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98" i="11" l="1"/>
  <c r="I99" i="9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L185" i="11"/>
  <c r="AN185" i="11"/>
  <c r="AO173" i="11"/>
  <c r="AN173" i="11"/>
  <c r="AM173" i="11"/>
  <c r="AL173" i="11"/>
  <c r="AK173" i="11"/>
  <c r="AJ17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N110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L117" i="11"/>
  <c r="AN117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L164" i="11"/>
  <c r="AN164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O5" i="11"/>
  <c r="AN5" i="11"/>
  <c r="AM5" i="11"/>
  <c r="AL5" i="11"/>
  <c r="AK5" i="11"/>
  <c r="AJ5" i="11"/>
  <c r="AF185" i="11"/>
  <c r="AF170" i="11"/>
  <c r="AF164" i="11"/>
  <c r="AF149" i="11"/>
  <c r="AF143" i="11"/>
  <c r="AF117" i="11"/>
  <c r="AG108" i="11"/>
  <c r="AF108" i="11"/>
  <c r="AH108" i="11" s="1"/>
  <c r="AC108" i="11"/>
  <c r="AB108" i="11"/>
  <c r="Y108" i="11"/>
  <c r="X108" i="11"/>
  <c r="Z108" i="11" s="1"/>
  <c r="W108" i="11"/>
  <c r="V108" i="11"/>
  <c r="S108" i="11"/>
  <c r="R108" i="11"/>
  <c r="O108" i="11"/>
  <c r="N108" i="11"/>
  <c r="K108" i="11"/>
  <c r="J108" i="11"/>
  <c r="G108" i="11"/>
  <c r="F108" i="11"/>
  <c r="AI109" i="11"/>
  <c r="AG107" i="11"/>
  <c r="AG98" i="11"/>
  <c r="AG97" i="11"/>
  <c r="AG95" i="11"/>
  <c r="AG94" i="11"/>
  <c r="AG93" i="11"/>
  <c r="AF97" i="11"/>
  <c r="AF95" i="11"/>
  <c r="AF93" i="11"/>
  <c r="AF86" i="11"/>
  <c r="AF53" i="11"/>
  <c r="AF21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3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4" i="11"/>
  <c r="AH154" i="11"/>
  <c r="AI153" i="11"/>
  <c r="AH153" i="11"/>
  <c r="AI148" i="11"/>
  <c r="AH148" i="11"/>
  <c r="AI147" i="11"/>
  <c r="AH147" i="11"/>
  <c r="AI146" i="11"/>
  <c r="AH146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6" i="11"/>
  <c r="AH116" i="11"/>
  <c r="AI115" i="11"/>
  <c r="AH115" i="11"/>
  <c r="AI114" i="11"/>
  <c r="AH114" i="11"/>
  <c r="AI113" i="11"/>
  <c r="AH113" i="11"/>
  <c r="AH109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6" i="11"/>
  <c r="AH96" i="11"/>
  <c r="AH94" i="11"/>
  <c r="AI92" i="11"/>
  <c r="AH92" i="11"/>
  <c r="AI91" i="11"/>
  <c r="AH91" i="11"/>
  <c r="AI90" i="11"/>
  <c r="AH90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10" i="11" l="1"/>
  <c r="AI108" i="11"/>
  <c r="AE108" i="11"/>
  <c r="AA108" i="11"/>
  <c r="AD108" i="11"/>
  <c r="L96" i="9"/>
  <c r="K96" i="9"/>
  <c r="I96" i="9"/>
  <c r="AL110" i="11" l="1"/>
  <c r="AF165" i="11"/>
  <c r="L98" i="9"/>
  <c r="K98" i="9"/>
  <c r="I98" i="9"/>
  <c r="AL165" i="11" l="1"/>
  <c r="AF186" i="11"/>
  <c r="AL186" i="11" s="1"/>
  <c r="L108" i="9"/>
  <c r="K108" i="9"/>
  <c r="L109" i="9" l="1"/>
  <c r="K109" i="9"/>
  <c r="I109" i="9"/>
  <c r="P110" i="9" l="1"/>
  <c r="O110" i="9"/>
  <c r="P109" i="9"/>
  <c r="G109" i="9"/>
  <c r="O109" i="9" s="1"/>
  <c r="F109" i="9"/>
  <c r="D109" i="9"/>
  <c r="N109" i="9" s="1"/>
  <c r="P99" i="9"/>
  <c r="L99" i="9"/>
  <c r="O99" i="9" s="1"/>
  <c r="K99" i="9"/>
  <c r="N99" i="9"/>
  <c r="G99" i="9"/>
  <c r="F99" i="9"/>
  <c r="D99" i="9"/>
  <c r="N110" i="9" l="1"/>
  <c r="L95" i="9"/>
  <c r="K95" i="9"/>
  <c r="L94" i="9" l="1"/>
  <c r="K94" i="9"/>
  <c r="I94" i="9"/>
  <c r="D191" i="9" l="1"/>
  <c r="D174" i="9"/>
  <c r="D166" i="9"/>
  <c r="D151" i="9"/>
  <c r="D145" i="9"/>
  <c r="E121" i="9" s="1"/>
  <c r="D118" i="9"/>
  <c r="G108" i="9"/>
  <c r="F108" i="9"/>
  <c r="G98" i="9"/>
  <c r="F98" i="9"/>
  <c r="G96" i="9"/>
  <c r="F96" i="9"/>
  <c r="G95" i="9"/>
  <c r="F95" i="9"/>
  <c r="G94" i="9"/>
  <c r="F94" i="9"/>
  <c r="D98" i="9"/>
  <c r="D96" i="9"/>
  <c r="D94" i="9"/>
  <c r="D87" i="9"/>
  <c r="D54" i="9"/>
  <c r="D22" i="9"/>
  <c r="D111" i="9" l="1"/>
  <c r="D167" i="9" s="1"/>
  <c r="E143" i="9"/>
  <c r="E136" i="9"/>
  <c r="E144" i="9"/>
  <c r="E135" i="9"/>
  <c r="E128" i="9"/>
  <c r="E127" i="9"/>
  <c r="E142" i="9"/>
  <c r="E134" i="9"/>
  <c r="E126" i="9"/>
  <c r="E141" i="9"/>
  <c r="E133" i="9"/>
  <c r="E125" i="9"/>
  <c r="E140" i="9"/>
  <c r="E132" i="9"/>
  <c r="E124" i="9"/>
  <c r="E139" i="9"/>
  <c r="E131" i="9"/>
  <c r="E123" i="9"/>
  <c r="E138" i="9"/>
  <c r="E130" i="9"/>
  <c r="E122" i="9"/>
  <c r="E137" i="9"/>
  <c r="E129" i="9"/>
  <c r="AB185" i="11"/>
  <c r="AH185" i="11" s="1"/>
  <c r="AB170" i="11"/>
  <c r="AB164" i="11"/>
  <c r="AH164" i="11" s="1"/>
  <c r="AB149" i="11"/>
  <c r="AH149" i="11" s="1"/>
  <c r="AB143" i="11"/>
  <c r="AH143" i="11" s="1"/>
  <c r="AB117" i="11"/>
  <c r="AH117" i="11" s="1"/>
  <c r="AC107" i="11"/>
  <c r="AI107" i="11" s="1"/>
  <c r="AC98" i="11"/>
  <c r="AC97" i="11"/>
  <c r="AI97" i="11" s="1"/>
  <c r="AC95" i="11"/>
  <c r="AI95" i="11" s="1"/>
  <c r="AC94" i="11"/>
  <c r="AI94" i="11" s="1"/>
  <c r="AC93" i="11"/>
  <c r="AB98" i="11"/>
  <c r="AB97" i="11"/>
  <c r="AH97" i="11" s="1"/>
  <c r="AB95" i="11"/>
  <c r="AH95" i="11" s="1"/>
  <c r="AB93" i="11"/>
  <c r="AB86" i="11"/>
  <c r="AH86" i="11" s="1"/>
  <c r="AB53" i="11"/>
  <c r="AH53" i="11" s="1"/>
  <c r="AB21" i="11"/>
  <c r="AH21" i="11" s="1"/>
  <c r="AH98" i="11" l="1"/>
  <c r="AI93" i="11"/>
  <c r="AH93" i="11"/>
  <c r="AI98" i="11"/>
  <c r="AB110" i="11"/>
  <c r="E110" i="9"/>
  <c r="E99" i="9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3" i="11"/>
  <c r="AD163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4" i="11"/>
  <c r="AD154" i="11"/>
  <c r="AE153" i="11"/>
  <c r="AD153" i="11"/>
  <c r="AE148" i="11"/>
  <c r="AD148" i="11"/>
  <c r="AE147" i="11"/>
  <c r="AD147" i="11"/>
  <c r="AE146" i="11"/>
  <c r="AD146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6" i="11"/>
  <c r="AD116" i="11"/>
  <c r="AE115" i="11"/>
  <c r="AD115" i="11"/>
  <c r="AE114" i="11"/>
  <c r="AD114" i="11"/>
  <c r="AE113" i="11"/>
  <c r="AD113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65" i="11" l="1"/>
  <c r="AH165" i="11" s="1"/>
  <c r="X185" i="11"/>
  <c r="AD185" i="11" s="1"/>
  <c r="X170" i="11"/>
  <c r="X164" i="11"/>
  <c r="AD164" i="11" s="1"/>
  <c r="X149" i="11"/>
  <c r="AD149" i="11" s="1"/>
  <c r="X143" i="11"/>
  <c r="AD143" i="11" s="1"/>
  <c r="X117" i="11"/>
  <c r="AD117" i="11" s="1"/>
  <c r="Y107" i="11"/>
  <c r="AE107" i="11" s="1"/>
  <c r="AD109" i="11"/>
  <c r="Y98" i="11"/>
  <c r="AE98" i="11" s="1"/>
  <c r="Y97" i="11"/>
  <c r="AE97" i="11" s="1"/>
  <c r="Y95" i="11"/>
  <c r="AE95" i="11" s="1"/>
  <c r="Y94" i="11"/>
  <c r="AE94" i="11" s="1"/>
  <c r="Y93" i="11"/>
  <c r="AE93" i="11" s="1"/>
  <c r="X98" i="11"/>
  <c r="AD98" i="11" s="1"/>
  <c r="X97" i="11"/>
  <c r="AD97" i="11" s="1"/>
  <c r="X95" i="11"/>
  <c r="AD95" i="11" s="1"/>
  <c r="X93" i="11"/>
  <c r="AD93" i="11" s="1"/>
  <c r="X86" i="11"/>
  <c r="AD86" i="11" s="1"/>
  <c r="X53" i="11"/>
  <c r="AD53" i="11" s="1"/>
  <c r="X21" i="11"/>
  <c r="AD21" i="11" s="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3" i="11"/>
  <c r="Z163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4" i="11"/>
  <c r="Z154" i="11"/>
  <c r="AA153" i="11"/>
  <c r="Z153" i="11"/>
  <c r="AA148" i="11"/>
  <c r="Z148" i="11"/>
  <c r="AA147" i="11"/>
  <c r="Z147" i="11"/>
  <c r="AA146" i="11"/>
  <c r="Z146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6" i="11"/>
  <c r="Z116" i="11"/>
  <c r="AA115" i="11"/>
  <c r="Z115" i="11"/>
  <c r="AA114" i="11"/>
  <c r="Z114" i="11"/>
  <c r="AA113" i="11"/>
  <c r="Z113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I22" i="9"/>
  <c r="AN165" i="11" l="1"/>
  <c r="AJ165" i="11"/>
  <c r="AA109" i="11"/>
  <c r="AE109" i="11"/>
  <c r="AB186" i="11"/>
  <c r="AH186" i="11" s="1"/>
  <c r="X110" i="11"/>
  <c r="X165" i="11" s="1"/>
  <c r="AD165" i="11" s="1"/>
  <c r="Z109" i="11"/>
  <c r="AN186" i="11" l="1"/>
  <c r="AJ186" i="11"/>
  <c r="X186" i="11"/>
  <c r="AD186" i="11" s="1"/>
  <c r="D192" i="9"/>
  <c r="T185" i="11" l="1"/>
  <c r="Z185" i="11" s="1"/>
  <c r="T170" i="11"/>
  <c r="T164" i="11"/>
  <c r="Z164" i="11" s="1"/>
  <c r="T149" i="11"/>
  <c r="Z149" i="11" s="1"/>
  <c r="T143" i="11"/>
  <c r="Z143" i="11" s="1"/>
  <c r="T117" i="11"/>
  <c r="Z117" i="11" s="1"/>
  <c r="U107" i="11"/>
  <c r="AA107" i="11" s="1"/>
  <c r="U98" i="11"/>
  <c r="AA98" i="11" s="1"/>
  <c r="U97" i="11"/>
  <c r="AA97" i="11" s="1"/>
  <c r="U95" i="11"/>
  <c r="AA95" i="11" s="1"/>
  <c r="U94" i="11"/>
  <c r="AA94" i="11" s="1"/>
  <c r="U93" i="11"/>
  <c r="AA93" i="11" s="1"/>
  <c r="T98" i="11"/>
  <c r="Z98" i="11" s="1"/>
  <c r="T97" i="11"/>
  <c r="Z97" i="11" s="1"/>
  <c r="T95" i="11"/>
  <c r="Z95" i="11" s="1"/>
  <c r="T93" i="11"/>
  <c r="Z93" i="11" s="1"/>
  <c r="T86" i="11"/>
  <c r="Z86" i="11" s="1"/>
  <c r="T53" i="11"/>
  <c r="Z53" i="11" s="1"/>
  <c r="T21" i="11"/>
  <c r="Z21" i="11" s="1"/>
  <c r="T110" i="11" l="1"/>
  <c r="T165" i="11" s="1"/>
  <c r="Z165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3" i="11"/>
  <c r="V163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4" i="11"/>
  <c r="V154" i="11"/>
  <c r="W153" i="11"/>
  <c r="V153" i="11"/>
  <c r="W148" i="11"/>
  <c r="V148" i="11"/>
  <c r="W147" i="11"/>
  <c r="V147" i="11"/>
  <c r="W146" i="11"/>
  <c r="V146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6" i="11"/>
  <c r="V116" i="11"/>
  <c r="W115" i="11"/>
  <c r="V115" i="11"/>
  <c r="W114" i="11"/>
  <c r="V114" i="11"/>
  <c r="W113" i="11"/>
  <c r="V113" i="11"/>
  <c r="W109" i="11"/>
  <c r="V109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V93" i="11"/>
  <c r="W92" i="11"/>
  <c r="V92" i="11"/>
  <c r="W91" i="11"/>
  <c r="V91" i="11"/>
  <c r="W90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86" i="11" l="1"/>
  <c r="Z186" i="11" s="1"/>
  <c r="P185" i="11" l="1"/>
  <c r="V185" i="11" s="1"/>
  <c r="P170" i="11"/>
  <c r="P164" i="11"/>
  <c r="V164" i="11" s="1"/>
  <c r="P149" i="11"/>
  <c r="V149" i="11" s="1"/>
  <c r="P143" i="11"/>
  <c r="V143" i="11" s="1"/>
  <c r="P117" i="11"/>
  <c r="V117" i="11" s="1"/>
  <c r="Q107" i="11"/>
  <c r="W107" i="11" s="1"/>
  <c r="Q98" i="11"/>
  <c r="W98" i="11" s="1"/>
  <c r="Q97" i="11"/>
  <c r="W97" i="11" s="1"/>
  <c r="Q95" i="11"/>
  <c r="W95" i="11" s="1"/>
  <c r="Q94" i="11"/>
  <c r="W94" i="11" s="1"/>
  <c r="Q93" i="11"/>
  <c r="W93" i="11" s="1"/>
  <c r="P98" i="11"/>
  <c r="V98" i="11" s="1"/>
  <c r="P97" i="11"/>
  <c r="V97" i="11" s="1"/>
  <c r="P95" i="11"/>
  <c r="V95" i="11" s="1"/>
  <c r="P86" i="11"/>
  <c r="V86" i="11" s="1"/>
  <c r="P53" i="11"/>
  <c r="V53" i="11" s="1"/>
  <c r="P21" i="11"/>
  <c r="V21" i="11" s="1"/>
  <c r="P110" i="11" l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3" i="11"/>
  <c r="R163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4" i="11"/>
  <c r="R154" i="11"/>
  <c r="S153" i="11"/>
  <c r="R153" i="11"/>
  <c r="S148" i="11"/>
  <c r="R148" i="11"/>
  <c r="S147" i="11"/>
  <c r="R147" i="11"/>
  <c r="S146" i="11"/>
  <c r="R146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6" i="11"/>
  <c r="R116" i="11"/>
  <c r="S115" i="11"/>
  <c r="R115" i="11"/>
  <c r="S114" i="11"/>
  <c r="R114" i="11"/>
  <c r="S113" i="11"/>
  <c r="R113" i="11"/>
  <c r="S109" i="11"/>
  <c r="R109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3" i="11"/>
  <c r="R93" i="11"/>
  <c r="S92" i="11"/>
  <c r="R92" i="11"/>
  <c r="S91" i="11"/>
  <c r="R91" i="11"/>
  <c r="S90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65" i="11" l="1"/>
  <c r="N84" i="11"/>
  <c r="J84" i="11"/>
  <c r="F84" i="11"/>
  <c r="L86" i="11"/>
  <c r="R86" i="11" s="1"/>
  <c r="L185" i="11"/>
  <c r="R185" i="11" s="1"/>
  <c r="L170" i="11"/>
  <c r="L164" i="11"/>
  <c r="R164" i="11" s="1"/>
  <c r="L149" i="11"/>
  <c r="R149" i="11" s="1"/>
  <c r="L143" i="11"/>
  <c r="R143" i="11" s="1"/>
  <c r="L117" i="11"/>
  <c r="R117" i="11" s="1"/>
  <c r="M107" i="11"/>
  <c r="S107" i="11" s="1"/>
  <c r="M98" i="11"/>
  <c r="M97" i="11"/>
  <c r="S97" i="11" s="1"/>
  <c r="M95" i="11"/>
  <c r="S95" i="11" s="1"/>
  <c r="M94" i="11"/>
  <c r="S94" i="11" s="1"/>
  <c r="L98" i="11"/>
  <c r="R98" i="11" s="1"/>
  <c r="L97" i="11"/>
  <c r="R97" i="11" s="1"/>
  <c r="L95" i="11"/>
  <c r="R95" i="11" s="1"/>
  <c r="L53" i="11"/>
  <c r="R53" i="11" s="1"/>
  <c r="L21" i="11"/>
  <c r="R21" i="11" s="1"/>
  <c r="I151" i="9"/>
  <c r="I97" i="11"/>
  <c r="H97" i="11"/>
  <c r="E97" i="11"/>
  <c r="D97" i="11"/>
  <c r="C97" i="11"/>
  <c r="B97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3" i="11"/>
  <c r="N163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4" i="11"/>
  <c r="N154" i="11"/>
  <c r="O153" i="11"/>
  <c r="N153" i="11"/>
  <c r="O148" i="11"/>
  <c r="N148" i="11"/>
  <c r="O147" i="11"/>
  <c r="N147" i="11"/>
  <c r="O146" i="11"/>
  <c r="N146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6" i="11"/>
  <c r="N116" i="11"/>
  <c r="O115" i="11"/>
  <c r="N115" i="11"/>
  <c r="O114" i="11"/>
  <c r="N114" i="11"/>
  <c r="O113" i="11"/>
  <c r="N113" i="11"/>
  <c r="O109" i="11"/>
  <c r="N109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3" i="11"/>
  <c r="N93" i="11"/>
  <c r="O92" i="11"/>
  <c r="N92" i="11"/>
  <c r="O91" i="11"/>
  <c r="N91" i="11"/>
  <c r="O90" i="11"/>
  <c r="N90" i="11"/>
  <c r="O85" i="11"/>
  <c r="N85" i="11"/>
  <c r="O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P186" i="11" l="1"/>
  <c r="V186" i="11" s="1"/>
  <c r="V165" i="11"/>
  <c r="N97" i="11"/>
  <c r="O98" i="11"/>
  <c r="S98" i="11"/>
  <c r="G97" i="11"/>
  <c r="K97" i="11"/>
  <c r="O97" i="11"/>
  <c r="J97" i="11"/>
  <c r="F97" i="11"/>
  <c r="N98" i="11"/>
  <c r="L110" i="11"/>
  <c r="L165" i="11" s="1"/>
  <c r="L186" i="11" s="1"/>
  <c r="R186" i="11" l="1"/>
  <c r="R165" i="11"/>
  <c r="P98" i="9"/>
  <c r="N98" i="9"/>
  <c r="O98" i="9"/>
  <c r="E98" i="9" l="1"/>
  <c r="H185" i="11" l="1"/>
  <c r="N185" i="11" s="1"/>
  <c r="H170" i="11"/>
  <c r="H164" i="11"/>
  <c r="N164" i="11" s="1"/>
  <c r="H149" i="11"/>
  <c r="N149" i="11" s="1"/>
  <c r="H143" i="11"/>
  <c r="N143" i="11" s="1"/>
  <c r="H117" i="11"/>
  <c r="N117" i="11" s="1"/>
  <c r="I107" i="11"/>
  <c r="O107" i="11" s="1"/>
  <c r="I95" i="11"/>
  <c r="O95" i="11" s="1"/>
  <c r="I94" i="11"/>
  <c r="O94" i="11" s="1"/>
  <c r="H95" i="11"/>
  <c r="N95" i="11" s="1"/>
  <c r="H86" i="11"/>
  <c r="N86" i="11" s="1"/>
  <c r="H53" i="11"/>
  <c r="N53" i="11" s="1"/>
  <c r="H21" i="11"/>
  <c r="N21" i="11" s="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8" i="11"/>
  <c r="J168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4" i="11"/>
  <c r="J154" i="11"/>
  <c r="K153" i="11"/>
  <c r="J153" i="11"/>
  <c r="K148" i="11"/>
  <c r="J148" i="11"/>
  <c r="K147" i="11"/>
  <c r="J147" i="11"/>
  <c r="K146" i="11"/>
  <c r="J146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6" i="11"/>
  <c r="J116" i="11"/>
  <c r="K115" i="11"/>
  <c r="J115" i="11"/>
  <c r="K114" i="11"/>
  <c r="J114" i="11"/>
  <c r="K113" i="11"/>
  <c r="J113" i="11"/>
  <c r="K109" i="11"/>
  <c r="J109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3" i="11"/>
  <c r="J93" i="11"/>
  <c r="K92" i="11"/>
  <c r="J92" i="11"/>
  <c r="K91" i="11"/>
  <c r="J91" i="11"/>
  <c r="K90" i="11"/>
  <c r="J90" i="11"/>
  <c r="K85" i="11"/>
  <c r="J85" i="11"/>
  <c r="K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10" i="11" l="1"/>
  <c r="H165" i="11" s="1"/>
  <c r="N165" i="11" s="1"/>
  <c r="H186" i="11" l="1"/>
  <c r="N186" i="11" s="1"/>
  <c r="P191" i="9"/>
  <c r="O94" i="9"/>
  <c r="O6" i="9"/>
  <c r="D185" i="11"/>
  <c r="J185" i="11" s="1"/>
  <c r="D170" i="11"/>
  <c r="D164" i="11"/>
  <c r="J164" i="11" s="1"/>
  <c r="D149" i="11"/>
  <c r="J149" i="11" s="1"/>
  <c r="D143" i="11"/>
  <c r="D117" i="11"/>
  <c r="J117" i="11" s="1"/>
  <c r="E107" i="11"/>
  <c r="K107" i="11" s="1"/>
  <c r="K98" i="11"/>
  <c r="E95" i="11"/>
  <c r="K95" i="11" s="1"/>
  <c r="E94" i="11"/>
  <c r="K94" i="11" s="1"/>
  <c r="J98" i="11"/>
  <c r="D95" i="11"/>
  <c r="D86" i="11"/>
  <c r="J86" i="11" s="1"/>
  <c r="D53" i="11"/>
  <c r="J53" i="11" s="1"/>
  <c r="D21" i="11"/>
  <c r="J21" i="11" s="1"/>
  <c r="J143" i="11" l="1"/>
  <c r="J95" i="11"/>
  <c r="D110" i="11"/>
  <c r="D165" i="11" s="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8" i="11"/>
  <c r="F168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4" i="11"/>
  <c r="F154" i="11"/>
  <c r="G153" i="11"/>
  <c r="F153" i="11"/>
  <c r="G148" i="11"/>
  <c r="F148" i="11"/>
  <c r="G147" i="11"/>
  <c r="F147" i="11"/>
  <c r="G146" i="11"/>
  <c r="F146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6" i="11"/>
  <c r="F116" i="11"/>
  <c r="G115" i="11"/>
  <c r="F115" i="11"/>
  <c r="G114" i="11"/>
  <c r="F114" i="11"/>
  <c r="G113" i="11"/>
  <c r="F113" i="11"/>
  <c r="G109" i="11"/>
  <c r="F109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G93" i="11"/>
  <c r="F93" i="11"/>
  <c r="G92" i="11"/>
  <c r="F92" i="11"/>
  <c r="G91" i="11"/>
  <c r="F91" i="11"/>
  <c r="G90" i="11"/>
  <c r="F90" i="11"/>
  <c r="G85" i="11"/>
  <c r="F85" i="11"/>
  <c r="G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J10" i="1"/>
  <c r="I10" i="1"/>
  <c r="H10" i="1"/>
  <c r="G10" i="1"/>
  <c r="F10" i="1"/>
  <c r="E10" i="1"/>
  <c r="D10" i="1"/>
  <c r="C10" i="1"/>
  <c r="J165" i="11" l="1"/>
  <c r="D186" i="11"/>
  <c r="J186" i="11" l="1"/>
  <c r="B185" i="11"/>
  <c r="B170" i="11"/>
  <c r="B164" i="11"/>
  <c r="B149" i="11"/>
  <c r="B143" i="11"/>
  <c r="B117" i="11"/>
  <c r="C107" i="11"/>
  <c r="G98" i="11"/>
  <c r="C95" i="11"/>
  <c r="C94" i="11"/>
  <c r="F98" i="11"/>
  <c r="B95" i="11"/>
  <c r="B86" i="11"/>
  <c r="B53" i="11"/>
  <c r="B21" i="11"/>
  <c r="F21" i="11" l="1"/>
  <c r="G107" i="11"/>
  <c r="F53" i="11"/>
  <c r="F117" i="11"/>
  <c r="F86" i="11"/>
  <c r="F143" i="11"/>
  <c r="F95" i="11"/>
  <c r="F164" i="11"/>
  <c r="F149" i="11"/>
  <c r="G94" i="11"/>
  <c r="G95" i="11"/>
  <c r="F185" i="11"/>
  <c r="B110" i="11"/>
  <c r="P143" i="9"/>
  <c r="O143" i="9"/>
  <c r="N143" i="9"/>
  <c r="P85" i="9"/>
  <c r="O85" i="9"/>
  <c r="N85" i="9"/>
  <c r="P20" i="9"/>
  <c r="O20" i="9"/>
  <c r="N20" i="9"/>
  <c r="B165" i="11" l="1"/>
  <c r="E85" i="9"/>
  <c r="E20" i="9"/>
  <c r="B186" i="11" l="1"/>
  <c r="F165" i="11"/>
  <c r="F186" i="11" l="1"/>
  <c r="P84" i="9" l="1"/>
  <c r="O84" i="9"/>
  <c r="N84" i="9"/>
  <c r="E84" i="9" l="1"/>
  <c r="I145" i="9" l="1"/>
  <c r="J142" i="9" s="1"/>
  <c r="I118" i="9"/>
  <c r="I111" i="9"/>
  <c r="J110" i="9" s="1"/>
  <c r="I87" i="9"/>
  <c r="J66" i="9" s="1"/>
  <c r="I54" i="9"/>
  <c r="J109" i="9" l="1"/>
  <c r="E109" i="9"/>
  <c r="J98" i="9"/>
  <c r="J99" i="9"/>
  <c r="J44" i="9"/>
  <c r="J30" i="9"/>
  <c r="J85" i="9"/>
  <c r="J80" i="9"/>
  <c r="J143" i="9"/>
  <c r="J125" i="9"/>
  <c r="J42" i="9"/>
  <c r="J50" i="9"/>
  <c r="J47" i="9"/>
  <c r="J43" i="9"/>
  <c r="J51" i="9"/>
  <c r="J49" i="9"/>
  <c r="J52" i="9"/>
  <c r="J46" i="9"/>
  <c r="J48" i="9"/>
  <c r="J45" i="9"/>
  <c r="J53" i="9"/>
  <c r="J130" i="9"/>
  <c r="J139" i="9"/>
  <c r="J84" i="9"/>
  <c r="J72" i="9"/>
  <c r="P97" i="9"/>
  <c r="O97" i="9"/>
  <c r="N97" i="9"/>
  <c r="J97" i="9"/>
  <c r="P164" i="9"/>
  <c r="O164" i="9"/>
  <c r="N164" i="9"/>
  <c r="P142" i="9"/>
  <c r="O142" i="9"/>
  <c r="N142" i="9"/>
  <c r="E97" i="9"/>
  <c r="E164" i="9" l="1"/>
  <c r="I191" i="9" l="1"/>
  <c r="J179" i="9" s="1"/>
  <c r="I174" i="9"/>
  <c r="I166" i="9"/>
  <c r="J164" i="9" l="1"/>
  <c r="I167" i="9"/>
  <c r="I192" i="9" s="1"/>
  <c r="J189" i="9" l="1"/>
  <c r="P190" i="9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2" i="9"/>
  <c r="O172" i="9"/>
  <c r="N172" i="9"/>
  <c r="J172" i="9"/>
  <c r="E172" i="9"/>
  <c r="P166" i="9"/>
  <c r="J159" i="9"/>
  <c r="E156" i="9"/>
  <c r="P165" i="9"/>
  <c r="O165" i="9"/>
  <c r="N165" i="9"/>
  <c r="P163" i="9"/>
  <c r="O163" i="9"/>
  <c r="N163" i="9"/>
  <c r="P162" i="9"/>
  <c r="O162" i="9"/>
  <c r="N162" i="9"/>
  <c r="P161" i="9"/>
  <c r="O161" i="9"/>
  <c r="N161" i="9"/>
  <c r="P160" i="9"/>
  <c r="O160" i="9"/>
  <c r="N160" i="9"/>
  <c r="E160" i="9"/>
  <c r="P159" i="9"/>
  <c r="O159" i="9"/>
  <c r="N159" i="9"/>
  <c r="P156" i="9"/>
  <c r="O156" i="9"/>
  <c r="N156" i="9"/>
  <c r="J156" i="9"/>
  <c r="P155" i="9"/>
  <c r="O155" i="9"/>
  <c r="N155" i="9"/>
  <c r="P151" i="9"/>
  <c r="N151" i="9"/>
  <c r="P150" i="9"/>
  <c r="O150" i="9"/>
  <c r="N150" i="9"/>
  <c r="J150" i="9"/>
  <c r="E150" i="9"/>
  <c r="P149" i="9"/>
  <c r="O149" i="9"/>
  <c r="N149" i="9"/>
  <c r="J149" i="9"/>
  <c r="E149" i="9"/>
  <c r="P148" i="9"/>
  <c r="O148" i="9"/>
  <c r="N148" i="9"/>
  <c r="J148" i="9"/>
  <c r="E148" i="9"/>
  <c r="P145" i="9"/>
  <c r="P144" i="9"/>
  <c r="O144" i="9"/>
  <c r="N144" i="9"/>
  <c r="P141" i="9"/>
  <c r="O141" i="9"/>
  <c r="N141" i="9"/>
  <c r="P140" i="9"/>
  <c r="O140" i="9"/>
  <c r="N140" i="9"/>
  <c r="P139" i="9"/>
  <c r="O139" i="9"/>
  <c r="N139" i="9"/>
  <c r="P138" i="9"/>
  <c r="O138" i="9"/>
  <c r="N138" i="9"/>
  <c r="P137" i="9"/>
  <c r="O137" i="9"/>
  <c r="N137" i="9"/>
  <c r="P136" i="9"/>
  <c r="O136" i="9"/>
  <c r="N136" i="9"/>
  <c r="P135" i="9"/>
  <c r="O135" i="9"/>
  <c r="N135" i="9"/>
  <c r="P134" i="9"/>
  <c r="O134" i="9"/>
  <c r="N134" i="9"/>
  <c r="P133" i="9"/>
  <c r="O133" i="9"/>
  <c r="N133" i="9"/>
  <c r="P132" i="9"/>
  <c r="O132" i="9"/>
  <c r="N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18" i="9"/>
  <c r="N118" i="9"/>
  <c r="E117" i="9"/>
  <c r="P117" i="9"/>
  <c r="O117" i="9"/>
  <c r="N117" i="9"/>
  <c r="P116" i="9"/>
  <c r="O116" i="9"/>
  <c r="N116" i="9"/>
  <c r="E116" i="9"/>
  <c r="P115" i="9"/>
  <c r="O115" i="9"/>
  <c r="N115" i="9"/>
  <c r="P114" i="9"/>
  <c r="O114" i="9"/>
  <c r="N114" i="9"/>
  <c r="E114" i="9"/>
  <c r="P111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8" i="9" l="1"/>
  <c r="J181" i="9"/>
  <c r="J183" i="9"/>
  <c r="J185" i="9"/>
  <c r="J180" i="9"/>
  <c r="J187" i="9"/>
  <c r="N191" i="9"/>
  <c r="J186" i="9"/>
  <c r="J190" i="9"/>
  <c r="J184" i="9"/>
  <c r="J161" i="9"/>
  <c r="J155" i="9"/>
  <c r="J160" i="9"/>
  <c r="J162" i="9"/>
  <c r="J163" i="9"/>
  <c r="J165" i="9"/>
  <c r="J124" i="9"/>
  <c r="J74" i="9"/>
  <c r="J58" i="9"/>
  <c r="J63" i="9"/>
  <c r="J69" i="9"/>
  <c r="J83" i="9"/>
  <c r="J62" i="9"/>
  <c r="J71" i="9"/>
  <c r="J61" i="9"/>
  <c r="J76" i="9"/>
  <c r="J78" i="9"/>
  <c r="J81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7" i="9"/>
  <c r="J140" i="9"/>
  <c r="J132" i="9"/>
  <c r="J135" i="9"/>
  <c r="J115" i="9"/>
  <c r="J116" i="9"/>
  <c r="J114" i="9"/>
  <c r="J19" i="9"/>
  <c r="J10" i="9"/>
  <c r="J12" i="9"/>
  <c r="J16" i="9"/>
  <c r="E155" i="9"/>
  <c r="E163" i="9"/>
  <c r="N166" i="9"/>
  <c r="E19" i="9"/>
  <c r="J60" i="9"/>
  <c r="J68" i="9"/>
  <c r="J75" i="9"/>
  <c r="J126" i="9"/>
  <c r="J134" i="9"/>
  <c r="J144" i="9"/>
  <c r="N145" i="9"/>
  <c r="E162" i="9"/>
  <c r="E8" i="9"/>
  <c r="E16" i="9"/>
  <c r="E13" i="9"/>
  <c r="J26" i="9"/>
  <c r="J28" i="9"/>
  <c r="J32" i="9"/>
  <c r="J34" i="9"/>
  <c r="J36" i="9"/>
  <c r="J38" i="9"/>
  <c r="J40" i="9"/>
  <c r="J57" i="9"/>
  <c r="J65" i="9"/>
  <c r="J73" i="9"/>
  <c r="E82" i="9"/>
  <c r="E115" i="9"/>
  <c r="J123" i="9"/>
  <c r="J131" i="9"/>
  <c r="E159" i="9"/>
  <c r="N96" i="9"/>
  <c r="J129" i="9"/>
  <c r="J137" i="9"/>
  <c r="J77" i="9"/>
  <c r="J82" i="9"/>
  <c r="J128" i="9"/>
  <c r="J136" i="9"/>
  <c r="E165" i="9"/>
  <c r="J121" i="9"/>
  <c r="E7" i="9"/>
  <c r="E15" i="9"/>
  <c r="E21" i="9"/>
  <c r="J59" i="9"/>
  <c r="J67" i="9"/>
  <c r="J79" i="9"/>
  <c r="J133" i="9"/>
  <c r="J141" i="9"/>
  <c r="E161" i="9"/>
  <c r="E96" i="9"/>
  <c r="E10" i="9"/>
  <c r="E18" i="9"/>
  <c r="J64" i="9"/>
  <c r="E81" i="9"/>
  <c r="J86" i="9"/>
  <c r="J117" i="9"/>
  <c r="J122" i="9"/>
  <c r="E102" i="9" l="1"/>
  <c r="E105" i="9"/>
  <c r="E108" i="9"/>
  <c r="E103" i="9"/>
  <c r="E93" i="9"/>
  <c r="E106" i="9"/>
  <c r="E94" i="9"/>
  <c r="E107" i="9"/>
  <c r="E91" i="9"/>
  <c r="E95" i="9"/>
  <c r="E104" i="9"/>
  <c r="E92" i="9"/>
  <c r="E145" i="9" l="1"/>
  <c r="E118" i="9"/>
  <c r="E151" i="9"/>
  <c r="E166" i="9"/>
  <c r="E54" i="9"/>
  <c r="E22" i="9"/>
  <c r="E87" i="9"/>
  <c r="E111" i="9"/>
  <c r="K10" i="1" l="1"/>
  <c r="K12" i="1" s="1"/>
  <c r="AT139" i="11" l="1"/>
  <c r="AT134" i="11"/>
  <c r="AQ134" i="11"/>
  <c r="AS134" i="11" s="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Q139" i="11" s="1"/>
  <c r="AS139" i="11" s="1"/>
  <c r="AT122" i="11"/>
  <c r="AQ122" i="11"/>
  <c r="AS122" i="11" s="1"/>
  <c r="AT118" i="11"/>
  <c r="AS118" i="11"/>
  <c r="AT117" i="11"/>
  <c r="AS117" i="11"/>
  <c r="AT116" i="11"/>
  <c r="AS116" i="11"/>
  <c r="AT115" i="11"/>
  <c r="AS115" i="11"/>
  <c r="AT114" i="11"/>
  <c r="AS114" i="11"/>
  <c r="AT113" i="11"/>
  <c r="AS113" i="11"/>
  <c r="AT112" i="11"/>
  <c r="AQ112" i="11"/>
  <c r="AS112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3" i="11" l="1"/>
  <c r="R174" i="9"/>
  <c r="R192" i="9"/>
  <c r="J106" i="9"/>
  <c r="N167" i="9" l="1"/>
  <c r="J94" i="9"/>
  <c r="J96" i="9"/>
  <c r="J108" i="9"/>
  <c r="J102" i="9"/>
  <c r="J104" i="9"/>
  <c r="J107" i="9"/>
  <c r="J93" i="9"/>
  <c r="N111" i="9"/>
  <c r="J92" i="9"/>
  <c r="J91" i="9"/>
  <c r="J95" i="9"/>
  <c r="J103" i="9"/>
  <c r="J54" i="9" l="1"/>
  <c r="J87" i="9"/>
  <c r="R167" i="9"/>
  <c r="J151" i="9"/>
  <c r="J22" i="9"/>
  <c r="J111" i="9"/>
  <c r="J166" i="9"/>
  <c r="J145" i="9"/>
  <c r="J118" i="9"/>
</calcChain>
</file>

<file path=xl/sharedStrings.xml><?xml version="1.0" encoding="utf-8"?>
<sst xmlns="http://schemas.openxmlformats.org/spreadsheetml/2006/main" count="718" uniqueCount="290">
  <si>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</si>
  <si>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</si>
  <si>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</si>
  <si>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</si>
  <si>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</si>
  <si>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</si>
  <si>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</si>
  <si>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</si>
  <si>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</si>
  <si>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</si>
  <si>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</si>
  <si>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</si>
  <si>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</si>
  <si>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</si>
  <si>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</si>
  <si>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</si>
  <si>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</si>
  <si>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</si>
  <si>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</si>
  <si>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</si>
  <si>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</si>
  <si>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</si>
  <si>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</si>
  <si>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</si>
  <si>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</si>
  <si>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</si>
  <si>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</si>
  <si>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</si>
  <si>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</si>
  <si>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</si>
  <si>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</si>
  <si>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</si>
  <si>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</si>
  <si>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</si>
  <si>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</si>
  <si>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</si>
  <si>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</si>
  <si>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</si>
  <si>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</si>
  <si>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</si>
  <si>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</si>
  <si>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</si>
  <si>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</si>
  <si>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</si>
  <si>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</si>
  <si>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</si>
  <si>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</si>
  <si>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</si>
  <si>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</si>
  <si>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</si>
  <si>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</si>
  <si>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</si>
  <si>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</si>
  <si>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</si>
  <si>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</si>
  <si>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</si>
  <si>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</si>
  <si>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</si>
  <si>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</si>
  <si>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</si>
  <si>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</si>
  <si>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</si>
  <si>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</si>
  <si>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</si>
  <si>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</si>
  <si>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</si>
  <si>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</si>
  <si>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</si>
  <si>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</si>
  <si>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</si>
  <si>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</si>
  <si>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</si>
  <si>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</si>
  <si>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</si>
  <si>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</si>
  <si>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</si>
  <si>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</si>
  <si>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</si>
  <si>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</si>
  <si>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</si>
  <si>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</si>
  <si>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</si>
  <si>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</si>
  <si>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</si>
  <si>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</si>
  <si>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</si>
  <si>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</si>
  <si>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</si>
  <si>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</si>
  <si>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</si>
  <si>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</si>
  <si>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</si>
  <si>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</si>
  <si>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</si>
  <si>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</si>
  <si>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</si>
  <si>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</si>
  <si>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</si>
  <si>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</si>
  <si>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</si>
  <si>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</si>
  <si>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</si>
  <si>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</si>
  <si>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</si>
  <si>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</si>
  <si>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</si>
  <si>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</si>
  <si>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</si>
  <si>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</si>
  <si>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</si>
  <si>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</si>
  <si>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</si>
  <si>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</si>
  <si>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</si>
  <si>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</si>
  <si>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</si>
  <si>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</si>
  <si>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</si>
  <si>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</si>
  <si>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</si>
  <si>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</si>
  <si>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</si>
  <si>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</si>
  <si>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</si>
  <si>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</si>
  <si>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</si>
  <si>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</si>
  <si>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</si>
  <si>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</si>
  <si>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</si>
  <si>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</si>
  <si>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</si>
  <si>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</si>
  <si>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</si>
  <si>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</si>
  <si>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</si>
  <si>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</si>
  <si>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</si>
  <si>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</si>
  <si>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</si>
  <si>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</si>
  <si>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</si>
  <si>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</si>
  <si>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</si>
  <si>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</si>
  <si>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</si>
  <si>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</si>
  <si>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</si>
  <si>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</si>
  <si>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</si>
  <si>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</si>
  <si>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</si>
  <si>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</si>
  <si>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</si>
  <si>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</si>
  <si>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</si>
  <si>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</si>
  <si>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</si>
  <si>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</si>
  <si>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</si>
  <si>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</si>
  <si>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</si>
  <si>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</si>
  <si>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</si>
  <si>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</si>
  <si>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</si>
  <si>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</si>
  <si>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</si>
  <si>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</si>
  <si>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</si>
  <si>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</si>
  <si>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</si>
  <si>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</si>
  <si>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</si>
  <si>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</si>
  <si>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</si>
  <si>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</si>
  <si>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</si>
  <si>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</si>
  <si>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</si>
  <si>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</si>
  <si>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</si>
  <si>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</si>
  <si>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</si>
  <si>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</si>
  <si>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</si>
  <si>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</si>
  <si>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</si>
  <si>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</si>
  <si>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</si>
  <si>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</si>
  <si>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</si>
  <si>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</si>
  <si>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</si>
  <si>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</si>
  <si>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</si>
  <si>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</si>
  <si>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</si>
  <si>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</si>
  <si>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</si>
  <si>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</si>
  <si>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</si>
  <si>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</si>
  <si>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</si>
  <si>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</si>
  <si>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</si>
  <si>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</si>
  <si>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</si>
  <si>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</si>
  <si>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</si>
  <si>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</si>
  <si>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</si>
  <si>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</si>
  <si>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</si>
  <si>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</si>
  <si>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</si>
  <si>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</si>
  <si>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</si>
  <si>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</si>
  <si>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</si>
  <si>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</si>
  <si>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</si>
  <si>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</si>
  <si>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</si>
  <si>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</si>
  <si>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</si>
  <si>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</si>
  <si>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</si>
  <si>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</si>
  <si>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</si>
  <si>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</si>
  <si>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</si>
  <si>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</si>
  <si>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</si>
  <si>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</si>
  <si>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</si>
  <si>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</si>
  <si>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</si>
  <si>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</si>
  <si>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</si>
  <si>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</si>
  <si>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</si>
  <si>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</si>
  <si>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</si>
  <si>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</si>
  <si>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</si>
  <si>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</si>
  <si>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</si>
  <si>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</si>
  <si>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</si>
  <si>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</si>
  <si>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</si>
  <si>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</si>
  <si>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</si>
  <si>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</si>
  <si>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</si>
  <si>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</si>
  <si>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</si>
  <si>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</si>
  <si>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</si>
  <si>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</si>
  <si>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</si>
  <si>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</si>
  <si>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</si>
  <si>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</si>
  <si>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</si>
  <si>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</si>
  <si>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</si>
  <si>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</si>
  <si>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</si>
  <si>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NAV and Unit Price as at Week Ended December 23, 2022</t>
  </si>
  <si>
    <t>NAV and Unit Price as at Week Ended December 30, 2022</t>
  </si>
  <si>
    <t>TOTAL</t>
  </si>
  <si>
    <t>NAV and Unit Price as at Week Ended January 6, 2023</t>
  </si>
  <si>
    <t>Norrenberger Dollar Fund</t>
  </si>
  <si>
    <t>NAV and Unit Price as at Week Ended January 13, 2023</t>
  </si>
  <si>
    <t>FBN Bond Fund</t>
  </si>
  <si>
    <t>NAV and Unit Price as at Week Ended January 20, 2023</t>
  </si>
  <si>
    <t>NAV and Unit Price as at Week Ended January 27, 2023</t>
  </si>
  <si>
    <t>NAV and Unit Price as at Week Ended February 3, 2023</t>
  </si>
  <si>
    <t>NAV, Unit Price and Yield as at Week Ended February 10, 2023</t>
  </si>
  <si>
    <t>(7.1o%)</t>
  </si>
  <si>
    <t>     0.2271%</t>
  </si>
  <si>
    <t>NAV and Unit Price as at Week Ended February 10, 2023</t>
  </si>
  <si>
    <t>NET ASSET VALUES AND UNIT PRICES OF COLLECTIVE INVESTMENT SCHEMES AS AT WEEK ENDED FEBRUARY 17, 2023</t>
  </si>
  <si>
    <t>NAV, Unit Price and Yield as at Week Ended February 17, 2023</t>
  </si>
  <si>
    <t>United Capital Nigerian Eurobond Fund</t>
  </si>
  <si>
    <t>United Capital Global Fixed Income Fund</t>
  </si>
  <si>
    <t>NAV and Unit Price as at Week Ended February 17, 2023</t>
  </si>
  <si>
    <t>The chart above shows that Money Market Fund category has 49.16% share of the Net Asset Value (NAV), followed by Bond/Fixed Income Fund with 22.16%, Dollar Fund (Eurobonds and Fixed Income) at 20.70%, Real Estate Investment Trust at 3.04%.  Next is Balanced Fund at 2.04%, Shari'ah Compliant Fund at 1.57%, Equity Fund at 1.12%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</si>
</sst>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90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5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4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 applyAlignment="1">
      <alignment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165" fontId="87" fillId="6" borderId="1" xfId="2" applyFont="1" applyFill="1" applyBorder="1" applyAlignment="1">
      <alignment horizontal="right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90" fillId="0" borderId="0" xfId="0" applyNumberFormat="1" applyFont="1"/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0" fontId="88" fillId="0" borderId="0" xfId="0" applyFont="1" applyBorder="1" applyAlignment="1">
      <alignment horizontal="right"/>
    </xf>
    <xf numFmtId="16" fontId="86" fillId="6" borderId="0" xfId="0" applyNumberFormat="1" applyFont="1" applyFill="1" applyBorder="1"/>
    <xf numFmtId="0" fontId="86" fillId="0" borderId="0" xfId="0" applyFont="1" applyBorder="1" applyAlignment="1">
      <alignment horizontal="right"/>
    </xf>
    <xf numFmtId="4" fontId="67" fillId="6" borderId="0" xfId="0" applyNumberFormat="1" applyFont="1" applyFill="1" applyBorder="1"/>
    <xf numFmtId="4" fontId="67" fillId="6" borderId="0" xfId="0" applyNumberFormat="1" applyFont="1" applyFill="1" applyBorder="1" applyAlignment="1">
      <alignment horizontal="right"/>
    </xf>
    <xf numFmtId="165" fontId="87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90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12" xfId="19778"/>
    <cellStyle name="Comma 2 13" xfId="19785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13" xfId="19783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17TH FEBRUARY,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17103979411.670002</c:v>
                </c:pt>
                <c:pt idx="1">
                  <c:v>734404198247.47839</c:v>
                </c:pt>
                <c:pt idx="2">
                  <c:v>338349672651.75592</c:v>
                </c:pt>
                <c:pt idx="3">
                  <c:v>318608459435.22919</c:v>
                </c:pt>
                <c:pt idx="4">
                  <c:v>46332605433.940002</c:v>
                </c:pt>
                <c:pt idx="5">
                  <c:v>31179910941.77726</c:v>
                </c:pt>
                <c:pt idx="6">
                  <c:v>3064465697.6700001</c:v>
                </c:pt>
                <c:pt idx="7">
                  <c:v>23806773999.320004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17,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45290</c:v>
                </c:pt>
                <c:pt idx="1">
                  <c:v>44932</c:v>
                </c:pt>
                <c:pt idx="2">
                  <c:v>44939</c:v>
                </c:pt>
                <c:pt idx="3">
                  <c:v>44946</c:v>
                </c:pt>
                <c:pt idx="4">
                  <c:v>44953</c:v>
                </c:pt>
                <c:pt idx="5">
                  <c:v>44960</c:v>
                </c:pt>
                <c:pt idx="6">
                  <c:v>44967</c:v>
                </c:pt>
                <c:pt idx="7">
                  <c:v>44974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1411045006243.8809</c:v>
                </c:pt>
                <c:pt idx="1">
                  <c:v>1422950870882.5374</c:v>
                </c:pt>
                <c:pt idx="2">
                  <c:v>1437907234781.4109</c:v>
                </c:pt>
                <c:pt idx="3">
                  <c:v>1449213690676.6555</c:v>
                </c:pt>
                <c:pt idx="4">
                  <c:v>1469823604527.4382</c:v>
                </c:pt>
                <c:pt idx="5">
                  <c:v>1490921997071.4626</c:v>
                </c:pt>
                <c:pt idx="6">
                  <c:v>1512850065818.8408</c:v>
                </c:pt>
                <c:pt idx="7">
                  <c:v>1523158681328.7776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MOVEMENT IN NAV BY CLASS OF FUND</a:t>
            </a:r>
          </a:p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(Eight (8) Weeks Ending February 17,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1"/>
                <c:pt idx="0">
                  <c:v>EQUITY BASED FUNDS MONEY MARKET FUNDS BONDS/FIXED INCOME FUNDS DOLLAR FUNDS REAL ESTATE INVESTMENT TRUST BALANCED FUNDS ETHICAL FUNDS 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45290</c:v>
                </c:pt>
                <c:pt idx="1">
                  <c:v>44932</c:v>
                </c:pt>
                <c:pt idx="2">
                  <c:v>44939</c:v>
                </c:pt>
                <c:pt idx="3">
                  <c:v>44946</c:v>
                </c:pt>
                <c:pt idx="4">
                  <c:v>44953</c:v>
                </c:pt>
                <c:pt idx="5">
                  <c:v>44960</c:v>
                </c:pt>
                <c:pt idx="6">
                  <c:v>44967</c:v>
                </c:pt>
                <c:pt idx="7">
                  <c:v>44974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22759261173.869999</c:v>
                </c:pt>
                <c:pt idx="1">
                  <c:v>22836936554.239998</c:v>
                </c:pt>
                <c:pt idx="2" formatCode="#,##0.00">
                  <c:v>22955463973.109997</c:v>
                </c:pt>
                <c:pt idx="3" formatCode="#,##0.00">
                  <c:v>23622969337.439999</c:v>
                </c:pt>
                <c:pt idx="4" formatCode="#,##0.00">
                  <c:v>22775267421.450001</c:v>
                </c:pt>
                <c:pt idx="5" formatCode="#,##0.00">
                  <c:v>23218611718.279995</c:v>
                </c:pt>
                <c:pt idx="6" formatCode="#,##0.00">
                  <c:v>23178272501.200001</c:v>
                </c:pt>
                <c:pt idx="7" formatCode="#,##0.00">
                  <c:v>23806773999.320004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45290</c:v>
                </c:pt>
                <c:pt idx="1">
                  <c:v>44932</c:v>
                </c:pt>
                <c:pt idx="2">
                  <c:v>44939</c:v>
                </c:pt>
                <c:pt idx="3">
                  <c:v>44946</c:v>
                </c:pt>
                <c:pt idx="4">
                  <c:v>44953</c:v>
                </c:pt>
                <c:pt idx="5">
                  <c:v>44960</c:v>
                </c:pt>
                <c:pt idx="6">
                  <c:v>44967</c:v>
                </c:pt>
                <c:pt idx="7">
                  <c:v>44974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2888057210.21</c:v>
                </c:pt>
                <c:pt idx="1">
                  <c:v>2949746784.8499999</c:v>
                </c:pt>
                <c:pt idx="2">
                  <c:v>2980827214.75</c:v>
                </c:pt>
                <c:pt idx="3">
                  <c:v>3032033408.75</c:v>
                </c:pt>
                <c:pt idx="4">
                  <c:v>3037541892</c:v>
                </c:pt>
                <c:pt idx="5">
                  <c:v>3046932460.8900003</c:v>
                </c:pt>
                <c:pt idx="6">
                  <c:v>3049787978.2799997</c:v>
                </c:pt>
                <c:pt idx="7">
                  <c:v>3064465697.6700001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45290</c:v>
                </c:pt>
                <c:pt idx="1">
                  <c:v>44932</c:v>
                </c:pt>
                <c:pt idx="2">
                  <c:v>44939</c:v>
                </c:pt>
                <c:pt idx="3">
                  <c:v>44946</c:v>
                </c:pt>
                <c:pt idx="4">
                  <c:v>44953</c:v>
                </c:pt>
                <c:pt idx="5">
                  <c:v>44960</c:v>
                </c:pt>
                <c:pt idx="6">
                  <c:v>44967</c:v>
                </c:pt>
                <c:pt idx="7">
                  <c:v>44974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30095632697.342506</c:v>
                </c:pt>
                <c:pt idx="1">
                  <c:v>30126566651.346909</c:v>
                </c:pt>
                <c:pt idx="2">
                  <c:v>30336361937.028297</c:v>
                </c:pt>
                <c:pt idx="3">
                  <c:v>31041156130.042023</c:v>
                </c:pt>
                <c:pt idx="4">
                  <c:v>30761564463.892384</c:v>
                </c:pt>
                <c:pt idx="5">
                  <c:v>30652475117.892384</c:v>
                </c:pt>
                <c:pt idx="6">
                  <c:v>31150543689.963333</c:v>
                </c:pt>
                <c:pt idx="7">
                  <c:v>31179910941.77726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45290</c:v>
                </c:pt>
                <c:pt idx="1">
                  <c:v>44932</c:v>
                </c:pt>
                <c:pt idx="2">
                  <c:v>44939</c:v>
                </c:pt>
                <c:pt idx="3">
                  <c:v>44946</c:v>
                </c:pt>
                <c:pt idx="4">
                  <c:v>44953</c:v>
                </c:pt>
                <c:pt idx="5">
                  <c:v>44960</c:v>
                </c:pt>
                <c:pt idx="6">
                  <c:v>44967</c:v>
                </c:pt>
                <c:pt idx="7">
                  <c:v>44974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15749133335.319998</c:v>
                </c:pt>
                <c:pt idx="1">
                  <c:v>16107237306.709997</c:v>
                </c:pt>
                <c:pt idx="2">
                  <c:v>16254149306.32</c:v>
                </c:pt>
                <c:pt idx="3">
                  <c:v>16656064177.77</c:v>
                </c:pt>
                <c:pt idx="4">
                  <c:v>16651193594.34</c:v>
                </c:pt>
                <c:pt idx="5">
                  <c:v>16797381909.850002</c:v>
                </c:pt>
                <c:pt idx="6">
                  <c:v>17133825597.439997</c:v>
                </c:pt>
                <c:pt idx="7">
                  <c:v>17103979411.670002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45290</c:v>
                </c:pt>
                <c:pt idx="1">
                  <c:v>44932</c:v>
                </c:pt>
                <c:pt idx="2">
                  <c:v>44939</c:v>
                </c:pt>
                <c:pt idx="3">
                  <c:v>44946</c:v>
                </c:pt>
                <c:pt idx="4">
                  <c:v>44953</c:v>
                </c:pt>
                <c:pt idx="5">
                  <c:v>44960</c:v>
                </c:pt>
                <c:pt idx="6">
                  <c:v>44967</c:v>
                </c:pt>
                <c:pt idx="7">
                  <c:v>44974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45659418904.860001</c:v>
                </c:pt>
                <c:pt idx="1">
                  <c:v>45655500617.019997</c:v>
                </c:pt>
                <c:pt idx="2">
                  <c:v>46204685553.529999</c:v>
                </c:pt>
                <c:pt idx="3">
                  <c:v>46216946191.18</c:v>
                </c:pt>
                <c:pt idx="4">
                  <c:v>46235461396.509995</c:v>
                </c:pt>
                <c:pt idx="5">
                  <c:v>46212263995.169998</c:v>
                </c:pt>
                <c:pt idx="6">
                  <c:v>46289004330.269997</c:v>
                </c:pt>
                <c:pt idx="7">
                  <c:v>46332605433.940002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45290</c:v>
                </c:pt>
                <c:pt idx="1">
                  <c:v>44932</c:v>
                </c:pt>
                <c:pt idx="2">
                  <c:v>44939</c:v>
                </c:pt>
                <c:pt idx="3">
                  <c:v>44946</c:v>
                </c:pt>
                <c:pt idx="4">
                  <c:v>44953</c:v>
                </c:pt>
                <c:pt idx="5">
                  <c:v>44960</c:v>
                </c:pt>
                <c:pt idx="6">
                  <c:v>44967</c:v>
                </c:pt>
                <c:pt idx="7">
                  <c:v>44974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599441283293.77356</c:v>
                </c:pt>
                <c:pt idx="1">
                  <c:v>614697197461.63013</c:v>
                </c:pt>
                <c:pt idx="2">
                  <c:v>638005833111.39978</c:v>
                </c:pt>
                <c:pt idx="3">
                  <c:v>652456174435.47937</c:v>
                </c:pt>
                <c:pt idx="4">
                  <c:v>668991989528.35986</c:v>
                </c:pt>
                <c:pt idx="5">
                  <c:v>689393093044.69934</c:v>
                </c:pt>
                <c:pt idx="6">
                  <c:v>708387215249.38928</c:v>
                </c:pt>
                <c:pt idx="7">
                  <c:v>734404198247.47839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45290</c:v>
                </c:pt>
                <c:pt idx="1">
                  <c:v>44932</c:v>
                </c:pt>
                <c:pt idx="2">
                  <c:v>44939</c:v>
                </c:pt>
                <c:pt idx="3">
                  <c:v>44946</c:v>
                </c:pt>
                <c:pt idx="4">
                  <c:v>44953</c:v>
                </c:pt>
                <c:pt idx="5">
                  <c:v>44960</c:v>
                </c:pt>
                <c:pt idx="6">
                  <c:v>44967</c:v>
                </c:pt>
                <c:pt idx="7">
                  <c:v>44974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345947135557.62299</c:v>
                </c:pt>
                <c:pt idx="1">
                  <c:v>347146151227.32391</c:v>
                </c:pt>
                <c:pt idx="2">
                  <c:v>346020331729.3703</c:v>
                </c:pt>
                <c:pt idx="3">
                  <c:v>345947135557.62299</c:v>
                </c:pt>
                <c:pt idx="4">
                  <c:v>343126814140.64636</c:v>
                </c:pt>
                <c:pt idx="5">
                  <c:v>342048621360.02881</c:v>
                </c:pt>
                <c:pt idx="6">
                  <c:v>346326319129.15698</c:v>
                </c:pt>
                <c:pt idx="7">
                  <c:v>338349672651.75592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45290</c:v>
                </c:pt>
                <c:pt idx="1">
                  <c:v>44932</c:v>
                </c:pt>
                <c:pt idx="2">
                  <c:v>44939</c:v>
                </c:pt>
                <c:pt idx="3">
                  <c:v>44946</c:v>
                </c:pt>
                <c:pt idx="4">
                  <c:v>44953</c:v>
                </c:pt>
                <c:pt idx="5">
                  <c:v>44960</c:v>
                </c:pt>
                <c:pt idx="6">
                  <c:v>44967</c:v>
                </c:pt>
                <c:pt idx="7">
                  <c:v>44974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328659495248.42633</c:v>
                </c:pt>
                <c:pt idx="1">
                  <c:v>331525669640.7597</c:v>
                </c:pt>
                <c:pt idx="2">
                  <c:v>320193218057.02887</c:v>
                </c:pt>
                <c:pt idx="3">
                  <c:v>318934755543.12677</c:v>
                </c:pt>
                <c:pt idx="4">
                  <c:v>317633858239.45715</c:v>
                </c:pt>
                <c:pt idx="5">
                  <c:v>318454224920.62793</c:v>
                </c:pt>
                <c:pt idx="6">
                  <c:v>315407028595.76306</c:v>
                </c:pt>
                <c:pt idx="7">
                  <c:v>318608459435.22919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29.42578125" style="3" customWidth="1"/>
    <col min="3" max="3" width="33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140625" style="237" customWidth="1"/>
    <col min="9" max="9" width="17.140625" style="233" customWidth="1"/>
    <col min="10" max="10" width="8.7109375" style="3" customWidth="1"/>
    <col min="11" max="11" width="9.7109375" style="3" customWidth="1"/>
    <col min="12" max="12" width="9.42578125" style="3" customWidth="1"/>
    <col min="13" max="13" width="7.85546875" style="2" customWidth="1"/>
    <col min="14" max="14" width="9" style="3" customWidth="1"/>
    <col min="15" max="15" width="9.42578125" style="3" customWidth="1"/>
    <col min="16" max="16" width="8.42578125" style="115" customWidth="1"/>
    <col min="17" max="17" width="6.7109375" style="115" customWidth="1"/>
    <col min="18" max="18" width="21.140625" style="116" customWidth="1"/>
    <col min="19" max="19" width="18.42578125" style="115" customWidth="1"/>
    <col min="20" max="20" width="18.140625" style="115" customWidth="1"/>
    <col min="21" max="21" width="9.42578125" style="115" customWidth="1"/>
    <col min="22" max="22" width="18.42578125" style="115" customWidth="1"/>
    <col min="23" max="23" width="8.85546875" style="115" customWidth="1"/>
    <col min="24" max="24" width="25.140625" style="115" customWidth="1"/>
    <col min="25" max="30" width="8.85546875" style="115"/>
    <col min="31" max="31" width="9" style="115" bestFit="1" customWidth="1"/>
    <col min="32" max="40" width="8.85546875" style="115"/>
    <col min="41" max="41" width="9.28515625" style="115" bestFit="1" customWidth="1"/>
    <col min="42" max="49" width="8.85546875" style="115"/>
    <col min="50" max="50" width="8.85546875" style="115" customWidth="1"/>
    <col min="51" max="101" width="8.85546875" style="115"/>
    <col min="102" max="16384" width="8.85546875" style="3"/>
  </cols>
  <sheetData>
    <row r="1" spans="1:24" s="122" customFormat="1" ht="22.5" customHeight="1">
      <c r="A1" s="445" t="s">
        <v>284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7"/>
      <c r="Q1" s="120"/>
      <c r="R1" s="314"/>
      <c r="S1" s="123"/>
    </row>
    <row r="2" spans="1:24" s="122" customFormat="1" ht="25.5" customHeight="1">
      <c r="A2" s="262"/>
      <c r="B2" s="263"/>
      <c r="C2" s="263"/>
      <c r="D2" s="454" t="s">
        <v>280</v>
      </c>
      <c r="E2" s="454"/>
      <c r="F2" s="454"/>
      <c r="G2" s="454"/>
      <c r="H2" s="454"/>
      <c r="I2" s="454" t="s">
        <v>285</v>
      </c>
      <c r="J2" s="454"/>
      <c r="K2" s="454"/>
      <c r="L2" s="454"/>
      <c r="M2" s="454"/>
      <c r="N2" s="455" t="s">
        <v>67</v>
      </c>
      <c r="O2" s="456"/>
      <c r="P2" s="333" t="s">
        <v>235</v>
      </c>
      <c r="Q2" s="120"/>
      <c r="R2" s="314"/>
      <c r="S2" s="123"/>
    </row>
    <row r="3" spans="1:24" s="122" customFormat="1" ht="12.95" customHeight="1">
      <c r="A3" s="320" t="s">
        <v>1</v>
      </c>
      <c r="B3" s="321" t="s">
        <v>210</v>
      </c>
      <c r="C3" s="321" t="s">
        <v>2</v>
      </c>
      <c r="D3" s="322" t="s">
        <v>219</v>
      </c>
      <c r="E3" s="323" t="s">
        <v>66</v>
      </c>
      <c r="F3" s="323" t="s">
        <v>232</v>
      </c>
      <c r="G3" s="323" t="s">
        <v>233</v>
      </c>
      <c r="H3" s="324" t="s">
        <v>234</v>
      </c>
      <c r="I3" s="325" t="s">
        <v>219</v>
      </c>
      <c r="J3" s="323" t="s">
        <v>66</v>
      </c>
      <c r="K3" s="323" t="s">
        <v>232</v>
      </c>
      <c r="L3" s="323" t="s">
        <v>233</v>
      </c>
      <c r="M3" s="323" t="s">
        <v>234</v>
      </c>
      <c r="N3" s="326" t="s">
        <v>220</v>
      </c>
      <c r="O3" s="327" t="s">
        <v>127</v>
      </c>
      <c r="P3" s="328" t="s">
        <v>234</v>
      </c>
      <c r="Q3" s="120"/>
      <c r="R3" s="314"/>
      <c r="S3" s="123"/>
    </row>
    <row r="4" spans="1:24" s="122" customFormat="1" ht="5.25" customHeight="1">
      <c r="A4" s="457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9"/>
      <c r="Q4" s="120"/>
      <c r="R4" s="314"/>
      <c r="S4" s="123"/>
    </row>
    <row r="5" spans="1:24" s="122" customFormat="1" ht="12.95" customHeight="1">
      <c r="A5" s="460" t="s">
        <v>0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2"/>
      <c r="Q5" s="120"/>
      <c r="R5" s="314"/>
      <c r="S5" s="123"/>
    </row>
    <row r="6" spans="1:24" s="122" customFormat="1" ht="12.95" customHeight="1">
      <c r="A6" s="427">
        <v>1</v>
      </c>
      <c r="B6" s="428" t="s">
        <v>5</v>
      </c>
      <c r="C6" s="429" t="s">
        <v>245</v>
      </c>
      <c r="D6" s="391">
        <v>7655640660.04</v>
      </c>
      <c r="E6" s="204">
        <f t="shared" ref="E6:E21" si="0">(D6/$D$22)</f>
        <v>0.44759412273476989</v>
      </c>
      <c r="F6" s="390">
        <v>12933.52</v>
      </c>
      <c r="G6" s="390">
        <v>13090.97</v>
      </c>
      <c r="H6" s="399">
        <v>5.8099999999999999E-2</v>
      </c>
      <c r="I6" s="391">
        <v>7561818233.3100004</v>
      </c>
      <c r="J6" s="204">
        <f t="shared" ref="J6:J19" si="1">(I6/$I$22)</f>
        <v>0.44453397516161175</v>
      </c>
      <c r="K6" s="390">
        <v>12776.94</v>
      </c>
      <c r="L6" s="390">
        <v>12931.66</v>
      </c>
      <c r="M6" s="399">
        <v>4.5199999999999997E-2</v>
      </c>
      <c r="N6" s="83">
        <f>((I6-D6)/D6)</f>
        <v>-1.2255333145365959E-2</v>
      </c>
      <c r="O6" s="394">
        <f t="shared" ref="O6:O21" si="2">((L6-G6)/G6)</f>
        <v>-1.2169457267108511E-2</v>
      </c>
      <c r="P6" s="241">
        <f>M6-H6</f>
        <v>-1.2900000000000002E-2</v>
      </c>
      <c r="Q6" s="120"/>
      <c r="S6" s="123"/>
    </row>
    <row r="7" spans="1:24" s="122" customFormat="1" ht="12.95" customHeight="1">
      <c r="A7" s="427">
        <v>2</v>
      </c>
      <c r="B7" s="428" t="s">
        <v>142</v>
      </c>
      <c r="C7" s="429" t="s">
        <v>49</v>
      </c>
      <c r="D7" s="391">
        <v>1043691566.0599999</v>
      </c>
      <c r="E7" s="204">
        <f t="shared" si="0"/>
        <v>6.1020394198316903E-2</v>
      </c>
      <c r="F7" s="390">
        <v>2.08</v>
      </c>
      <c r="G7" s="390">
        <v>2.13</v>
      </c>
      <c r="H7" s="399">
        <v>5.4199999999999998E-2</v>
      </c>
      <c r="I7" s="391">
        <v>1043563024.4400001</v>
      </c>
      <c r="J7" s="204">
        <f t="shared" si="1"/>
        <v>6.134757610841525E-2</v>
      </c>
      <c r="K7" s="390">
        <v>2.08</v>
      </c>
      <c r="L7" s="341">
        <v>2.13</v>
      </c>
      <c r="M7" s="399">
        <v>5.3999999999999999E-2</v>
      </c>
      <c r="N7" s="83">
        <f>((I7-D7)/D7)</f>
        <v>-1.2316054299944007E-4</v>
      </c>
      <c r="O7" s="83">
        <f t="shared" si="2"/>
        <v>0</v>
      </c>
      <c r="P7" s="241">
        <f>M7-H7</f>
        <v>-1.9999999999999879E-4</v>
      </c>
      <c r="Q7" s="120"/>
      <c r="R7" s="314"/>
      <c r="S7" s="123"/>
    </row>
    <row r="8" spans="1:24" s="122" customFormat="1" ht="12.95" customHeight="1">
      <c r="A8" s="427">
        <v>3</v>
      </c>
      <c r="B8" s="428" t="s">
        <v>61</v>
      </c>
      <c r="C8" s="429" t="s">
        <v>11</v>
      </c>
      <c r="D8" s="391">
        <v>256468055.13999999</v>
      </c>
      <c r="E8" s="204">
        <f t="shared" si="0"/>
        <v>1.4994642414326837E-2</v>
      </c>
      <c r="F8" s="390">
        <v>128.86000000000001</v>
      </c>
      <c r="G8" s="390">
        <v>134.71</v>
      </c>
      <c r="H8" s="399">
        <v>-2.23E-2</v>
      </c>
      <c r="I8" s="391">
        <v>262521928.58000001</v>
      </c>
      <c r="J8" s="204">
        <f t="shared" si="1"/>
        <v>1.5432785195059841E-2</v>
      </c>
      <c r="K8" s="390">
        <v>131.93</v>
      </c>
      <c r="L8" s="390">
        <v>135.05000000000001</v>
      </c>
      <c r="M8" s="399">
        <v>2.3800000000000002E-2</v>
      </c>
      <c r="N8" s="83">
        <f>((I8-D8)/D8)</f>
        <v>2.3604785542181296E-2</v>
      </c>
      <c r="O8" s="83">
        <f t="shared" si="2"/>
        <v>2.5239403162348999E-3</v>
      </c>
      <c r="P8" s="241">
        <f>M8-H8</f>
        <v>4.6100000000000002E-2</v>
      </c>
      <c r="Q8" s="120"/>
      <c r="R8" s="314"/>
      <c r="S8" s="123"/>
      <c r="T8" s="156"/>
      <c r="U8" s="124"/>
      <c r="V8" s="124"/>
      <c r="W8" s="125"/>
    </row>
    <row r="9" spans="1:24" s="122" customFormat="1" ht="12.95" customHeight="1">
      <c r="A9" s="427">
        <v>4</v>
      </c>
      <c r="B9" s="428" t="s">
        <v>12</v>
      </c>
      <c r="C9" s="429" t="s">
        <v>13</v>
      </c>
      <c r="D9" s="391">
        <v>759488412.97000003</v>
      </c>
      <c r="E9" s="204">
        <f t="shared" si="0"/>
        <v>4.4404193590867107E-2</v>
      </c>
      <c r="F9" s="390">
        <v>18.53</v>
      </c>
      <c r="G9" s="390">
        <v>18.87</v>
      </c>
      <c r="H9" s="399">
        <v>7.2099999999999997E-2</v>
      </c>
      <c r="I9" s="339">
        <v>765387225.60000002</v>
      </c>
      <c r="J9" s="204">
        <f t="shared" si="1"/>
        <v>4.4994552293668839E-2</v>
      </c>
      <c r="K9" s="341">
        <v>20.079999999999998</v>
      </c>
      <c r="L9" s="341">
        <v>20.45</v>
      </c>
      <c r="M9" s="343">
        <v>7.3800000000000004E-2</v>
      </c>
      <c r="N9" s="83">
        <f>((I9-D9)/D9)</f>
        <v>7.7668237319546835E-3</v>
      </c>
      <c r="O9" s="83">
        <f t="shared" si="2"/>
        <v>8.3730789613142453E-2</v>
      </c>
      <c r="P9" s="241">
        <f>M9-H9</f>
        <v>1.7000000000000071E-3</v>
      </c>
      <c r="Q9" s="120"/>
      <c r="R9" s="314"/>
      <c r="S9" s="123"/>
      <c r="T9" s="156"/>
      <c r="U9" s="124"/>
      <c r="V9" s="124"/>
      <c r="W9" s="125"/>
    </row>
    <row r="10" spans="1:24" s="122" customFormat="1" ht="12.95" customHeight="1">
      <c r="A10" s="427">
        <v>5</v>
      </c>
      <c r="B10" s="428" t="s">
        <v>62</v>
      </c>
      <c r="C10" s="429" t="s">
        <v>17</v>
      </c>
      <c r="D10" s="391">
        <v>427260800.79000002</v>
      </c>
      <c r="E10" s="204">
        <f t="shared" si="0"/>
        <v>2.4980198496876174E-2</v>
      </c>
      <c r="F10" s="390">
        <v>199.4736</v>
      </c>
      <c r="G10" s="390">
        <v>201.98869999999999</v>
      </c>
      <c r="H10" s="399">
        <v>5.8200000000000002E-2</v>
      </c>
      <c r="I10" s="391">
        <v>426597175.04000002</v>
      </c>
      <c r="J10" s="204">
        <f t="shared" si="1"/>
        <v>2.5078219571304902E-2</v>
      </c>
      <c r="K10" s="390">
        <v>199.35040000000001</v>
      </c>
      <c r="L10" s="390">
        <v>201.96209999999999</v>
      </c>
      <c r="M10" s="399">
        <v>5.7500000000000002E-2</v>
      </c>
      <c r="N10" s="119">
        <f>((I10-D10)/D10)</f>
        <v>-1.5532100037564038E-3</v>
      </c>
      <c r="O10" s="119">
        <f t="shared" si="2"/>
        <v>-1.3169053516361043E-4</v>
      </c>
      <c r="P10" s="241">
        <f t="shared" ref="P10:P22" si="3">M10-H10</f>
        <v>-6.9999999999999923E-4</v>
      </c>
      <c r="Q10" s="120"/>
      <c r="R10" s="314"/>
      <c r="S10" s="123"/>
      <c r="T10" s="156"/>
      <c r="U10" s="124"/>
      <c r="V10" s="124"/>
      <c r="W10" s="125"/>
    </row>
    <row r="11" spans="1:24" s="122" customFormat="1" ht="12.95" customHeight="1">
      <c r="A11" s="427">
        <v>6</v>
      </c>
      <c r="B11" s="428" t="s">
        <v>45</v>
      </c>
      <c r="C11" s="428" t="s">
        <v>81</v>
      </c>
      <c r="D11" s="390">
        <v>1978296792.0999999</v>
      </c>
      <c r="E11" s="204">
        <f t="shared" si="0"/>
        <v>0.11566295447889823</v>
      </c>
      <c r="F11" s="390">
        <v>1.0195000000000001</v>
      </c>
      <c r="G11" s="342">
        <v>1.0439000000000001</v>
      </c>
      <c r="H11" s="399">
        <v>6.9900000000000004E-2</v>
      </c>
      <c r="I11" s="390">
        <v>1983978131.98</v>
      </c>
      <c r="J11" s="204">
        <f t="shared" si="1"/>
        <v>0.11663143154615714</v>
      </c>
      <c r="K11" s="390">
        <v>1.0205</v>
      </c>
      <c r="L11" s="342">
        <v>1.0448</v>
      </c>
      <c r="M11" s="343">
        <v>7.0900000000000005E-2</v>
      </c>
      <c r="N11" s="83">
        <f t="shared" ref="N11:N22" si="4">((I11-D11)/D11)</f>
        <v>2.8718339445767708E-3</v>
      </c>
      <c r="O11" s="83">
        <f t="shared" si="2"/>
        <v>8.6215154708295892E-4</v>
      </c>
      <c r="P11" s="241">
        <f t="shared" si="3"/>
        <v>1.0000000000000009E-3</v>
      </c>
      <c r="Q11" s="120"/>
      <c r="R11" s="314"/>
      <c r="S11" s="123"/>
      <c r="T11" s="158"/>
      <c r="U11" s="125"/>
      <c r="V11" s="125"/>
      <c r="W11" s="126"/>
      <c r="X11" s="127"/>
    </row>
    <row r="12" spans="1:24" s="122" customFormat="1" ht="12.95" customHeight="1">
      <c r="A12" s="427">
        <v>7</v>
      </c>
      <c r="B12" s="428" t="s">
        <v>7</v>
      </c>
      <c r="C12" s="429" t="s">
        <v>14</v>
      </c>
      <c r="D12" s="390">
        <v>2460213036.2199998</v>
      </c>
      <c r="E12" s="204">
        <f t="shared" si="0"/>
        <v>0.14383863409829661</v>
      </c>
      <c r="F12" s="390">
        <v>23.4572</v>
      </c>
      <c r="G12" s="390">
        <v>24.1645</v>
      </c>
      <c r="H12" s="375">
        <v>0.2437</v>
      </c>
      <c r="I12" s="390">
        <v>2451774803.8299999</v>
      </c>
      <c r="J12" s="204">
        <f t="shared" si="1"/>
        <v>0.14413163158916012</v>
      </c>
      <c r="K12" s="390">
        <v>23.392399999999999</v>
      </c>
      <c r="L12" s="390">
        <v>24.0976</v>
      </c>
      <c r="M12" s="375">
        <v>-0.1444</v>
      </c>
      <c r="N12" s="83">
        <f t="shared" si="4"/>
        <v>-3.4298787404869655E-3</v>
      </c>
      <c r="O12" s="83">
        <f t="shared" si="2"/>
        <v>-2.7685240745722196E-3</v>
      </c>
      <c r="P12" s="241">
        <f t="shared" si="3"/>
        <v>-0.3881</v>
      </c>
      <c r="Q12" s="120"/>
      <c r="R12" s="154"/>
      <c r="S12" s="123"/>
    </row>
    <row r="13" spans="1:24" s="122" customFormat="1" ht="12.95" customHeight="1">
      <c r="A13" s="427">
        <v>8</v>
      </c>
      <c r="B13" s="428" t="s">
        <v>201</v>
      </c>
      <c r="C13" s="429" t="s">
        <v>57</v>
      </c>
      <c r="D13" s="390">
        <v>385648510.37</v>
      </c>
      <c r="E13" s="204">
        <f t="shared" si="0"/>
        <v>2.2547297391323624E-2</v>
      </c>
      <c r="F13" s="390">
        <v>177.27</v>
      </c>
      <c r="G13" s="390">
        <v>179.9</v>
      </c>
      <c r="H13" s="399">
        <v>-7.1000000000000004E-3</v>
      </c>
      <c r="I13" s="390">
        <v>380646987.55000001</v>
      </c>
      <c r="J13" s="204">
        <f t="shared" si="1"/>
        <v>2.2376961900977391E-2</v>
      </c>
      <c r="K13" s="390">
        <v>174.97</v>
      </c>
      <c r="L13" s="390">
        <v>177.57</v>
      </c>
      <c r="M13" s="399">
        <v>-1.2999999999999999E-2</v>
      </c>
      <c r="N13" s="83">
        <f>((I13-D13)/D13)</f>
        <v>-1.2969122622051405E-2</v>
      </c>
      <c r="O13" s="83">
        <f t="shared" si="2"/>
        <v>-1.2951639799888896E-2</v>
      </c>
      <c r="P13" s="241">
        <f t="shared" si="3"/>
        <v>-5.899999999999999E-3</v>
      </c>
      <c r="Q13" s="120"/>
      <c r="R13" s="154"/>
      <c r="S13" s="123"/>
    </row>
    <row r="14" spans="1:24" s="122" customFormat="1" ht="12.95" customHeight="1">
      <c r="A14" s="427">
        <v>9</v>
      </c>
      <c r="B14" s="428" t="s">
        <v>59</v>
      </c>
      <c r="C14" s="429" t="s">
        <v>58</v>
      </c>
      <c r="D14" s="390">
        <v>306310105.66000003</v>
      </c>
      <c r="E14" s="204">
        <f t="shared" si="0"/>
        <v>1.7908704067487676E-2</v>
      </c>
      <c r="F14" s="390">
        <v>13.0365</v>
      </c>
      <c r="G14" s="390">
        <v>13.078799999999999</v>
      </c>
      <c r="H14" s="399">
        <v>5.7599999999999998E-2</v>
      </c>
      <c r="I14" s="338">
        <v>309116527.25999999</v>
      </c>
      <c r="J14" s="204">
        <f t="shared" si="1"/>
        <v>1.8171925641604775E-2</v>
      </c>
      <c r="K14" s="341">
        <v>13.0562</v>
      </c>
      <c r="L14" s="341">
        <v>13.102399999999999</v>
      </c>
      <c r="M14" s="343">
        <v>5.9400000000000001E-2</v>
      </c>
      <c r="N14" s="83">
        <f t="shared" si="4"/>
        <v>9.1620274621793032E-3</v>
      </c>
      <c r="O14" s="83">
        <f t="shared" si="2"/>
        <v>1.8044468911520986E-3</v>
      </c>
      <c r="P14" s="241">
        <f t="shared" si="3"/>
        <v>1.800000000000003E-3</v>
      </c>
      <c r="Q14" s="120"/>
      <c r="R14" s="154"/>
      <c r="S14" s="159"/>
      <c r="T14" s="159"/>
    </row>
    <row r="15" spans="1:24" s="122" customFormat="1" ht="12.95" customHeight="1">
      <c r="A15" s="427">
        <v>10</v>
      </c>
      <c r="B15" s="428" t="s">
        <v>5</v>
      </c>
      <c r="C15" s="429" t="s">
        <v>72</v>
      </c>
      <c r="D15" s="391">
        <v>358114157.80000001</v>
      </c>
      <c r="E15" s="204">
        <f t="shared" si="0"/>
        <v>2.0937475962796097E-2</v>
      </c>
      <c r="F15" s="390">
        <v>3441.24</v>
      </c>
      <c r="G15" s="390">
        <v>3484.85</v>
      </c>
      <c r="H15" s="399">
        <v>6.4299999999999996E-2</v>
      </c>
      <c r="I15" s="391">
        <v>355419691.63</v>
      </c>
      <c r="J15" s="204">
        <f t="shared" si="1"/>
        <v>2.0893933640856531E-2</v>
      </c>
      <c r="K15" s="390">
        <v>3415.49</v>
      </c>
      <c r="L15" s="390">
        <v>3458.54</v>
      </c>
      <c r="M15" s="343">
        <v>5.6300000000000003E-2</v>
      </c>
      <c r="N15" s="83">
        <f t="shared" si="4"/>
        <v>-7.5240425750071156E-3</v>
      </c>
      <c r="O15" s="83">
        <f t="shared" si="2"/>
        <v>-7.5498228044248526E-3</v>
      </c>
      <c r="P15" s="241">
        <f t="shared" si="3"/>
        <v>-7.9999999999999932E-3</v>
      </c>
      <c r="Q15" s="120"/>
      <c r="R15" s="154"/>
      <c r="S15" s="160"/>
      <c r="T15" s="160"/>
    </row>
    <row r="16" spans="1:24" s="122" customFormat="1" ht="12.95" customHeight="1">
      <c r="A16" s="427">
        <v>11</v>
      </c>
      <c r="B16" s="428" t="s">
        <v>86</v>
      </c>
      <c r="C16" s="429" t="s">
        <v>87</v>
      </c>
      <c r="D16" s="391">
        <v>282006437.12</v>
      </c>
      <c r="E16" s="204">
        <f t="shared" si="0"/>
        <v>1.6487767573409712E-2</v>
      </c>
      <c r="F16" s="390">
        <v>141.97999999999999</v>
      </c>
      <c r="G16" s="390">
        <v>142.97</v>
      </c>
      <c r="H16" s="399">
        <v>7.3400000000000007E-2</v>
      </c>
      <c r="I16" s="391">
        <v>276196031.75999999</v>
      </c>
      <c r="J16" s="204">
        <f t="shared" si="1"/>
        <v>1.6236639936846549E-2</v>
      </c>
      <c r="K16" s="390">
        <v>141.97999999999999</v>
      </c>
      <c r="L16" s="390">
        <v>142.97</v>
      </c>
      <c r="M16" s="343">
        <v>3.3099999999999997E-2</v>
      </c>
      <c r="N16" s="83">
        <f t="shared" si="4"/>
        <v>-2.0603804010074982E-2</v>
      </c>
      <c r="O16" s="83">
        <f t="shared" si="2"/>
        <v>0</v>
      </c>
      <c r="P16" s="241">
        <f t="shared" si="3"/>
        <v>-4.0300000000000009E-2</v>
      </c>
      <c r="Q16" s="120"/>
      <c r="R16" s="154"/>
      <c r="S16" s="161"/>
      <c r="T16" s="161"/>
    </row>
    <row r="17" spans="1:23" s="122" customFormat="1" ht="12.95" customHeight="1">
      <c r="A17" s="427">
        <v>12</v>
      </c>
      <c r="B17" s="428" t="s">
        <v>264</v>
      </c>
      <c r="C17" s="429" t="s">
        <v>132</v>
      </c>
      <c r="D17" s="391">
        <v>349368508.86000001</v>
      </c>
      <c r="E17" s="204">
        <f t="shared" si="0"/>
        <v>2.0426153496280915E-2</v>
      </c>
      <c r="F17" s="390">
        <v>1.32</v>
      </c>
      <c r="G17" s="390">
        <v>1.36</v>
      </c>
      <c r="H17" s="399">
        <v>3.0700000000000002E-2</v>
      </c>
      <c r="I17" s="391">
        <v>349942952</v>
      </c>
      <c r="J17" s="204">
        <f t="shared" si="1"/>
        <v>2.0571974455442028E-2</v>
      </c>
      <c r="K17" s="341">
        <v>1.32</v>
      </c>
      <c r="L17" s="341">
        <v>1.36</v>
      </c>
      <c r="M17" s="343">
        <v>-1.1000000000000001E-3</v>
      </c>
      <c r="N17" s="83">
        <f t="shared" si="4"/>
        <v>1.6442327383037784E-3</v>
      </c>
      <c r="O17" s="83">
        <f t="shared" si="2"/>
        <v>0</v>
      </c>
      <c r="P17" s="241">
        <f t="shared" si="3"/>
        <v>-3.1800000000000002E-2</v>
      </c>
      <c r="Q17" s="120"/>
      <c r="R17" s="154"/>
      <c r="S17" s="160"/>
      <c r="T17" s="160"/>
    </row>
    <row r="18" spans="1:23" s="122" customFormat="1" ht="12.95" customHeight="1">
      <c r="A18" s="427">
        <v>13</v>
      </c>
      <c r="B18" s="428" t="s">
        <v>96</v>
      </c>
      <c r="C18" s="429" t="s">
        <v>135</v>
      </c>
      <c r="D18" s="390">
        <v>296691417.77999997</v>
      </c>
      <c r="E18" s="204">
        <f t="shared" si="0"/>
        <v>1.7346338570635098E-2</v>
      </c>
      <c r="F18" s="390">
        <v>1.508222</v>
      </c>
      <c r="G18" s="390">
        <v>1.5355380000000001</v>
      </c>
      <c r="H18" s="399">
        <v>3.9424921807238417E-2</v>
      </c>
      <c r="I18" s="390">
        <v>298632258.19999999</v>
      </c>
      <c r="J18" s="204">
        <f t="shared" si="1"/>
        <v>1.7555590567405879E-2</v>
      </c>
      <c r="K18" s="390">
        <v>1.518222</v>
      </c>
      <c r="L18" s="390">
        <v>1.5355380000000001</v>
      </c>
      <c r="M18" s="343">
        <v>6.4299999999999996E-2</v>
      </c>
      <c r="N18" s="83">
        <f t="shared" si="4"/>
        <v>6.5416129476288786E-3</v>
      </c>
      <c r="O18" s="83">
        <f t="shared" si="2"/>
        <v>0</v>
      </c>
      <c r="P18" s="241">
        <f t="shared" si="3"/>
        <v>2.4875078192761579E-2</v>
      </c>
      <c r="Q18" s="120"/>
      <c r="R18" s="154"/>
      <c r="S18" s="162"/>
      <c r="T18" s="162"/>
    </row>
    <row r="19" spans="1:23" s="122" customFormat="1" ht="12.95" customHeight="1">
      <c r="A19" s="427">
        <v>14</v>
      </c>
      <c r="B19" s="428" t="s">
        <v>145</v>
      </c>
      <c r="C19" s="429" t="s">
        <v>146</v>
      </c>
      <c r="D19" s="390">
        <v>461493096.73000002</v>
      </c>
      <c r="E19" s="204">
        <f t="shared" si="0"/>
        <v>2.6981621388945571E-2</v>
      </c>
      <c r="F19" s="390">
        <v>153.95930000000001</v>
      </c>
      <c r="G19" s="390">
        <v>155.60040000000001</v>
      </c>
      <c r="H19" s="399">
        <v>1.7E-5</v>
      </c>
      <c r="I19" s="338">
        <v>461422365.12</v>
      </c>
      <c r="J19" s="204">
        <f t="shared" si="1"/>
        <v>2.7125475893048662E-2</v>
      </c>
      <c r="K19" s="341">
        <v>153.94130000000001</v>
      </c>
      <c r="L19" s="341">
        <v>155.58160000000001</v>
      </c>
      <c r="M19" s="343">
        <v>-1.7200000000000001E-4</v>
      </c>
      <c r="N19" s="83">
        <v>5.6480000000000002E-3</v>
      </c>
      <c r="O19" s="83">
        <f t="shared" si="2"/>
        <v>-1.2082231151075972E-4</v>
      </c>
      <c r="P19" s="241">
        <f>M19-H19</f>
        <v>-1.8900000000000001E-4</v>
      </c>
      <c r="Q19" s="120"/>
      <c r="R19" s="340"/>
      <c r="S19" s="340"/>
      <c r="T19" s="162"/>
    </row>
    <row r="20" spans="1:23" s="395" customFormat="1" ht="12.95" customHeight="1">
      <c r="A20" s="427">
        <v>15</v>
      </c>
      <c r="B20" s="428" t="s">
        <v>237</v>
      </c>
      <c r="C20" s="429" t="s">
        <v>236</v>
      </c>
      <c r="D20" s="77">
        <v>26228019.760000002</v>
      </c>
      <c r="E20" s="398">
        <f>(D20/$D$22)</f>
        <v>1.5334454707133646E-3</v>
      </c>
      <c r="F20" s="390">
        <v>102.27</v>
      </c>
      <c r="G20" s="390">
        <v>105.62</v>
      </c>
      <c r="H20" s="399">
        <v>-2.2000000000000001E-3</v>
      </c>
      <c r="I20" s="77">
        <v>26318530.52</v>
      </c>
      <c r="J20" s="398">
        <v>0.96619999999999995</v>
      </c>
      <c r="K20" s="390">
        <v>102.63</v>
      </c>
      <c r="L20" s="390">
        <v>105.98</v>
      </c>
      <c r="M20" s="399">
        <v>3.5999999999999999E-3</v>
      </c>
      <c r="N20" s="394">
        <f>((I20-D20)/D20)</f>
        <v>3.4509185530672295E-3</v>
      </c>
      <c r="O20" s="394">
        <f>((L20-G20)/G20)</f>
        <v>3.4084453701950334E-3</v>
      </c>
      <c r="P20" s="401">
        <f>M20-H20</f>
        <v>5.7999999999999996E-3</v>
      </c>
      <c r="Q20" s="120"/>
      <c r="R20" s="340"/>
      <c r="S20" s="340"/>
      <c r="T20" s="162"/>
    </row>
    <row r="21" spans="1:23" s="122" customFormat="1" ht="12.95" customHeight="1">
      <c r="A21" s="427">
        <v>16</v>
      </c>
      <c r="B21" s="428" t="s">
        <v>267</v>
      </c>
      <c r="C21" s="429" t="s">
        <v>266</v>
      </c>
      <c r="D21" s="77">
        <v>57059834.270000003</v>
      </c>
      <c r="E21" s="204">
        <f t="shared" si="0"/>
        <v>3.3360560660560794E-3</v>
      </c>
      <c r="F21" s="390">
        <v>108.8051</v>
      </c>
      <c r="G21" s="390">
        <v>109.2428</v>
      </c>
      <c r="H21" s="399">
        <v>5.5323999999999998E-2</v>
      </c>
      <c r="I21" s="77">
        <v>57328459.93</v>
      </c>
      <c r="J21" s="204">
        <v>0.96619999999999995</v>
      </c>
      <c r="K21" s="390">
        <v>109.1079</v>
      </c>
      <c r="L21" s="390">
        <v>109.5461</v>
      </c>
      <c r="M21" s="399">
        <v>5.1378E-2</v>
      </c>
      <c r="N21" s="83">
        <f t="shared" si="4"/>
        <v>4.7077889979296713E-3</v>
      </c>
      <c r="O21" s="83">
        <f t="shared" si="2"/>
        <v>2.7763843475267294E-3</v>
      </c>
      <c r="P21" s="241">
        <f t="shared" si="3"/>
        <v>-3.9459999999999981E-3</v>
      </c>
      <c r="Q21" s="120"/>
      <c r="R21" s="155"/>
      <c r="S21" s="129"/>
      <c r="T21" s="129"/>
    </row>
    <row r="22" spans="1:23" s="122" customFormat="1" ht="12.95" customHeight="1">
      <c r="A22" s="228"/>
      <c r="B22" s="305"/>
      <c r="C22" s="265" t="s">
        <v>46</v>
      </c>
      <c r="D22" s="72">
        <f>SUM(D6:D21)</f>
        <v>17103979411.670002</v>
      </c>
      <c r="E22" s="284">
        <f>(D22/$D$167)</f>
        <v>1.1305799429907386E-2</v>
      </c>
      <c r="F22" s="286"/>
      <c r="G22" s="73"/>
      <c r="H22" s="306"/>
      <c r="I22" s="72">
        <f>SUM(I6:I21)</f>
        <v>17010664326.750002</v>
      </c>
      <c r="J22" s="284">
        <f>(I22/$I$167)</f>
        <v>1.1168018496871376E-2</v>
      </c>
      <c r="K22" s="286"/>
      <c r="L22" s="73"/>
      <c r="M22" s="306"/>
      <c r="N22" s="288">
        <f t="shared" si="4"/>
        <v>-5.4557528791417641E-3</v>
      </c>
      <c r="O22" s="288"/>
      <c r="P22" s="289">
        <f t="shared" si="3"/>
        <v>0</v>
      </c>
      <c r="Q22" s="120"/>
      <c r="R22" s="154"/>
      <c r="S22" s="163"/>
      <c r="V22" s="129"/>
      <c r="W22" s="129"/>
    </row>
    <row r="23" spans="1:23" s="122" customFormat="1" ht="5.25" customHeight="1">
      <c r="A23" s="451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3"/>
      <c r="Q23" s="120"/>
      <c r="R23" s="154"/>
      <c r="S23" s="163"/>
      <c r="V23" s="129"/>
      <c r="W23" s="129"/>
    </row>
    <row r="24" spans="1:23" s="122" customFormat="1" ht="12.95" customHeight="1">
      <c r="A24" s="448" t="s">
        <v>48</v>
      </c>
      <c r="B24" s="449"/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50"/>
      <c r="Q24" s="120"/>
      <c r="R24" s="164"/>
      <c r="T24" s="165"/>
    </row>
    <row r="25" spans="1:23" s="122" customFormat="1" ht="12.95" customHeight="1">
      <c r="A25" s="427">
        <v>17</v>
      </c>
      <c r="B25" s="428" t="s">
        <v>5</v>
      </c>
      <c r="C25" s="429" t="s">
        <v>38</v>
      </c>
      <c r="D25" s="385">
        <v>309565968511.10999</v>
      </c>
      <c r="E25" s="206">
        <v>3.6200000000000003E-2</v>
      </c>
      <c r="F25" s="342">
        <v>100</v>
      </c>
      <c r="G25" s="342">
        <v>100</v>
      </c>
      <c r="H25" s="399">
        <v>0.109</v>
      </c>
      <c r="I25" s="385">
        <v>318456254915.25</v>
      </c>
      <c r="J25" s="204">
        <f t="shared" ref="J25:J53" si="5">(I25/$I$54)</f>
        <v>0.42526127538948644</v>
      </c>
      <c r="K25" s="75">
        <v>100</v>
      </c>
      <c r="L25" s="75">
        <v>100</v>
      </c>
      <c r="M25" s="346">
        <v>0.10589999999999999</v>
      </c>
      <c r="N25" s="83">
        <f>((I25-D25)/D25)</f>
        <v>2.8718552129288564E-2</v>
      </c>
      <c r="O25" s="83">
        <f t="shared" ref="O25:O52" si="6">((L25-G25)/G25)</f>
        <v>0</v>
      </c>
      <c r="P25" s="241">
        <f t="shared" ref="P25:P54" si="7">M25-H25</f>
        <v>-3.1000000000000055E-3</v>
      </c>
      <c r="Q25" s="120"/>
      <c r="R25" s="166"/>
      <c r="S25" s="121"/>
      <c r="T25" s="121"/>
    </row>
    <row r="26" spans="1:23" s="122" customFormat="1" ht="12.95" customHeight="1">
      <c r="A26" s="427">
        <v>18</v>
      </c>
      <c r="B26" s="428" t="s">
        <v>201</v>
      </c>
      <c r="C26" s="429" t="s">
        <v>18</v>
      </c>
      <c r="D26" s="385">
        <v>176094192756.67001</v>
      </c>
      <c r="E26" s="206">
        <v>6.2600000000000003E-2</v>
      </c>
      <c r="F26" s="342">
        <v>100</v>
      </c>
      <c r="G26" s="342">
        <v>100</v>
      </c>
      <c r="H26" s="399">
        <v>0.1326</v>
      </c>
      <c r="I26" s="385">
        <v>181623521502.04999</v>
      </c>
      <c r="J26" s="204">
        <f t="shared" si="5"/>
        <v>0.24253708069023991</v>
      </c>
      <c r="K26" s="75">
        <v>100</v>
      </c>
      <c r="L26" s="75">
        <v>100</v>
      </c>
      <c r="M26" s="346">
        <v>0.125</v>
      </c>
      <c r="N26" s="83">
        <f t="shared" ref="N26:N54" si="8">((I26-D26)/D26)</f>
        <v>3.1399835842516939E-2</v>
      </c>
      <c r="O26" s="83">
        <f t="shared" si="6"/>
        <v>0</v>
      </c>
      <c r="P26" s="241">
        <f t="shared" si="7"/>
        <v>-7.5999999999999956E-3</v>
      </c>
      <c r="Q26" s="120"/>
      <c r="R26" s="167"/>
      <c r="S26" s="130"/>
      <c r="T26" s="165"/>
      <c r="U26" s="168"/>
    </row>
    <row r="27" spans="1:23" s="122" customFormat="1" ht="12.95" customHeight="1">
      <c r="A27" s="427">
        <v>19</v>
      </c>
      <c r="B27" s="428" t="s">
        <v>45</v>
      </c>
      <c r="C27" s="429" t="s">
        <v>82</v>
      </c>
      <c r="D27" s="385">
        <v>48650799152.230003</v>
      </c>
      <c r="E27" s="206">
        <v>5.2600000000000001E-2</v>
      </c>
      <c r="F27" s="342">
        <v>1</v>
      </c>
      <c r="G27" s="342">
        <v>1</v>
      </c>
      <c r="H27" s="399">
        <v>0.12709999999999999</v>
      </c>
      <c r="I27" s="385">
        <v>47752325115.870003</v>
      </c>
      <c r="J27" s="204">
        <f t="shared" si="5"/>
        <v>6.3767674109565201E-2</v>
      </c>
      <c r="K27" s="75">
        <v>1</v>
      </c>
      <c r="L27" s="75">
        <v>1</v>
      </c>
      <c r="M27" s="399">
        <v>0.1171</v>
      </c>
      <c r="N27" s="83">
        <f t="shared" si="8"/>
        <v>-1.8467816603559683E-2</v>
      </c>
      <c r="O27" s="83">
        <f t="shared" si="6"/>
        <v>0</v>
      </c>
      <c r="P27" s="241">
        <f t="shared" si="7"/>
        <v>-9.999999999999995E-3</v>
      </c>
      <c r="Q27" s="120"/>
      <c r="R27" s="154"/>
      <c r="S27" s="123"/>
    </row>
    <row r="28" spans="1:23" s="122" customFormat="1" ht="12.95" customHeight="1">
      <c r="A28" s="427">
        <v>20</v>
      </c>
      <c r="B28" s="428" t="s">
        <v>40</v>
      </c>
      <c r="C28" s="429" t="s">
        <v>41</v>
      </c>
      <c r="D28" s="385">
        <v>1750621270.98</v>
      </c>
      <c r="E28" s="206">
        <v>8.6400000000000005E-2</v>
      </c>
      <c r="F28" s="342">
        <v>100</v>
      </c>
      <c r="G28" s="342">
        <v>100</v>
      </c>
      <c r="H28" s="399">
        <v>0.134515</v>
      </c>
      <c r="I28" s="385">
        <v>1821844864.03</v>
      </c>
      <c r="J28" s="204">
        <f t="shared" si="5"/>
        <v>2.4328618404602176E-3</v>
      </c>
      <c r="K28" s="75">
        <v>100</v>
      </c>
      <c r="L28" s="75">
        <v>100</v>
      </c>
      <c r="M28" s="399">
        <v>0.13349</v>
      </c>
      <c r="N28" s="83">
        <f t="shared" si="8"/>
        <v>4.0684752453698278E-2</v>
      </c>
      <c r="O28" s="83">
        <f t="shared" si="6"/>
        <v>0</v>
      </c>
      <c r="P28" s="241">
        <f t="shared" si="7"/>
        <v>-1.0249999999999981E-3</v>
      </c>
      <c r="Q28" s="120"/>
      <c r="R28" s="154"/>
      <c r="S28" s="130"/>
    </row>
    <row r="29" spans="1:23" s="122" customFormat="1" ht="12.95" customHeight="1">
      <c r="A29" s="427">
        <v>21</v>
      </c>
      <c r="B29" s="428" t="s">
        <v>7</v>
      </c>
      <c r="C29" s="429" t="s">
        <v>19</v>
      </c>
      <c r="D29" s="385">
        <v>73481044105.070007</v>
      </c>
      <c r="E29" s="206">
        <v>6.54E-2</v>
      </c>
      <c r="F29" s="342">
        <v>1</v>
      </c>
      <c r="G29" s="342">
        <v>1</v>
      </c>
      <c r="H29" s="399">
        <v>0.1052</v>
      </c>
      <c r="I29" s="385">
        <v>73069609765.380005</v>
      </c>
      <c r="J29" s="204">
        <f t="shared" si="5"/>
        <v>9.7575962040083453E-2</v>
      </c>
      <c r="K29" s="75">
        <v>1</v>
      </c>
      <c r="L29" s="75">
        <v>1</v>
      </c>
      <c r="M29" s="346">
        <v>0.1014</v>
      </c>
      <c r="N29" s="83">
        <f t="shared" si="8"/>
        <v>-5.5991901680342961E-3</v>
      </c>
      <c r="O29" s="83">
        <f t="shared" si="6"/>
        <v>0</v>
      </c>
      <c r="P29" s="241">
        <f t="shared" si="7"/>
        <v>-3.7999999999999978E-3</v>
      </c>
      <c r="Q29" s="120"/>
      <c r="R29" s="164"/>
      <c r="S29" s="123"/>
    </row>
    <row r="30" spans="1:23" s="122" customFormat="1" ht="12.95" customHeight="1">
      <c r="A30" s="427">
        <v>22</v>
      </c>
      <c r="B30" s="428" t="s">
        <v>59</v>
      </c>
      <c r="C30" s="429" t="s">
        <v>60</v>
      </c>
      <c r="D30" s="376">
        <v>2210926077.0599999</v>
      </c>
      <c r="E30" s="206">
        <v>6.4500000000000002E-2</v>
      </c>
      <c r="F30" s="342">
        <v>10</v>
      </c>
      <c r="G30" s="342">
        <v>10</v>
      </c>
      <c r="H30" s="399">
        <v>0.1021</v>
      </c>
      <c r="I30" s="345">
        <v>2202197405.5100002</v>
      </c>
      <c r="J30" s="204">
        <f t="shared" si="5"/>
        <v>2.9407784047948181E-3</v>
      </c>
      <c r="K30" s="75">
        <v>10</v>
      </c>
      <c r="L30" s="75">
        <v>10</v>
      </c>
      <c r="M30" s="346">
        <v>9.8799999999999999E-2</v>
      </c>
      <c r="N30" s="83">
        <f t="shared" si="8"/>
        <v>-3.9479707804644234E-3</v>
      </c>
      <c r="O30" s="83">
        <f t="shared" si="6"/>
        <v>0</v>
      </c>
      <c r="P30" s="241">
        <f t="shared" si="7"/>
        <v>-3.2999999999999974E-3</v>
      </c>
      <c r="Q30" s="120"/>
      <c r="R30" s="154"/>
      <c r="S30" s="159"/>
      <c r="T30" s="470"/>
      <c r="U30" s="470"/>
    </row>
    <row r="31" spans="1:23" s="122" customFormat="1" ht="12.95" customHeight="1">
      <c r="A31" s="427">
        <v>23</v>
      </c>
      <c r="B31" s="428" t="s">
        <v>86</v>
      </c>
      <c r="C31" s="429" t="s">
        <v>88</v>
      </c>
      <c r="D31" s="385">
        <v>35530039124.43</v>
      </c>
      <c r="E31" s="206">
        <v>6.9800000000000001E-2</v>
      </c>
      <c r="F31" s="342">
        <v>1</v>
      </c>
      <c r="G31" s="342">
        <v>1</v>
      </c>
      <c r="H31" s="399">
        <v>0.1153</v>
      </c>
      <c r="I31" s="385">
        <v>35398254501.839996</v>
      </c>
      <c r="J31" s="204">
        <f t="shared" si="5"/>
        <v>4.727025022642517E-2</v>
      </c>
      <c r="K31" s="75">
        <v>1</v>
      </c>
      <c r="L31" s="75">
        <v>1</v>
      </c>
      <c r="M31" s="346">
        <v>0.11219999999999999</v>
      </c>
      <c r="N31" s="83">
        <f t="shared" si="8"/>
        <v>-3.7091043476895737E-3</v>
      </c>
      <c r="O31" s="83">
        <f t="shared" si="6"/>
        <v>0</v>
      </c>
      <c r="P31" s="241">
        <f t="shared" si="7"/>
        <v>-3.1000000000000055E-3</v>
      </c>
      <c r="Q31" s="120"/>
      <c r="R31" s="154"/>
      <c r="S31" s="123"/>
      <c r="T31" s="468"/>
      <c r="U31" s="468"/>
    </row>
    <row r="32" spans="1:23" s="122" customFormat="1" ht="12.95" customHeight="1">
      <c r="A32" s="427">
        <v>24</v>
      </c>
      <c r="B32" s="428" t="s">
        <v>93</v>
      </c>
      <c r="C32" s="429" t="s">
        <v>92</v>
      </c>
      <c r="D32" s="385">
        <v>1970958099.5981114</v>
      </c>
      <c r="E32" s="206">
        <v>4.2599999999999999E-2</v>
      </c>
      <c r="F32" s="342">
        <v>100</v>
      </c>
      <c r="G32" s="342">
        <v>100</v>
      </c>
      <c r="H32" s="399">
        <v>9.6100000000000005E-2</v>
      </c>
      <c r="I32" s="344">
        <v>1698977342.3900001</v>
      </c>
      <c r="J32" s="204">
        <f t="shared" si="5"/>
        <v>2.2687865612025467E-3</v>
      </c>
      <c r="K32" s="75">
        <v>100</v>
      </c>
      <c r="L32" s="75">
        <v>100</v>
      </c>
      <c r="M32" s="346">
        <v>8.6300000000000002E-2</v>
      </c>
      <c r="N32" s="83">
        <f>((I32-D32)/D32)</f>
        <v>-0.13799418529676993</v>
      </c>
      <c r="O32" s="83">
        <f t="shared" si="6"/>
        <v>0</v>
      </c>
      <c r="P32" s="241">
        <f t="shared" si="7"/>
        <v>-9.8000000000000032E-3</v>
      </c>
      <c r="Q32" s="120"/>
      <c r="R32" s="154"/>
      <c r="S32" s="123"/>
      <c r="T32" s="469"/>
      <c r="U32" s="469"/>
    </row>
    <row r="33" spans="1:21" s="122" customFormat="1" ht="12.95" customHeight="1">
      <c r="A33" s="427">
        <v>25</v>
      </c>
      <c r="B33" s="428" t="s">
        <v>94</v>
      </c>
      <c r="C33" s="429" t="s">
        <v>95</v>
      </c>
      <c r="D33" s="385">
        <v>5325109037.1199999</v>
      </c>
      <c r="E33" s="206">
        <v>7.0599999999999996E-2</v>
      </c>
      <c r="F33" s="342">
        <v>100</v>
      </c>
      <c r="G33" s="342">
        <v>100</v>
      </c>
      <c r="H33" s="399">
        <v>0.10059999999999999</v>
      </c>
      <c r="I33" s="385">
        <v>5316462812.9200001</v>
      </c>
      <c r="J33" s="204">
        <f t="shared" si="5"/>
        <v>7.0995175051117151E-3</v>
      </c>
      <c r="K33" s="75">
        <v>100</v>
      </c>
      <c r="L33" s="75">
        <v>100</v>
      </c>
      <c r="M33" s="399">
        <v>8.6699999999999999E-2</v>
      </c>
      <c r="N33" s="83">
        <f t="shared" si="8"/>
        <v>-1.6236708280955654E-3</v>
      </c>
      <c r="O33" s="83">
        <f t="shared" si="6"/>
        <v>0</v>
      </c>
      <c r="P33" s="241">
        <f t="shared" si="7"/>
        <v>-1.3899999999999996E-2</v>
      </c>
      <c r="Q33" s="120"/>
      <c r="R33" s="154"/>
      <c r="S33" s="123"/>
    </row>
    <row r="34" spans="1:21" s="122" customFormat="1" ht="12.95" customHeight="1">
      <c r="A34" s="427">
        <v>26</v>
      </c>
      <c r="B34" s="428" t="s">
        <v>96</v>
      </c>
      <c r="C34" s="429" t="s">
        <v>101</v>
      </c>
      <c r="D34" s="376">
        <v>677879695.49000001</v>
      </c>
      <c r="E34" s="206">
        <v>6.6600000000000006E-2</v>
      </c>
      <c r="F34" s="342">
        <v>10</v>
      </c>
      <c r="G34" s="342">
        <v>10</v>
      </c>
      <c r="H34" s="399">
        <v>0.1053</v>
      </c>
      <c r="I34" s="376">
        <v>681449850.38999999</v>
      </c>
      <c r="J34" s="204">
        <f t="shared" si="5"/>
        <v>9.0999698708366832E-4</v>
      </c>
      <c r="K34" s="75">
        <v>10</v>
      </c>
      <c r="L34" s="75">
        <v>10</v>
      </c>
      <c r="M34" s="346">
        <v>0</v>
      </c>
      <c r="N34" s="83">
        <f t="shared" si="8"/>
        <v>5.2666497075403882E-3</v>
      </c>
      <c r="O34" s="83">
        <f t="shared" si="6"/>
        <v>0</v>
      </c>
      <c r="P34" s="241">
        <f t="shared" si="7"/>
        <v>-0.1053</v>
      </c>
      <c r="Q34" s="120"/>
      <c r="R34" s="157"/>
      <c r="S34" s="169"/>
    </row>
    <row r="35" spans="1:21" s="122" customFormat="1" ht="12.95" customHeight="1">
      <c r="A35" s="427">
        <v>27</v>
      </c>
      <c r="B35" s="428" t="s">
        <v>12</v>
      </c>
      <c r="C35" s="429" t="s">
        <v>103</v>
      </c>
      <c r="D35" s="385">
        <v>4874828076.6199999</v>
      </c>
      <c r="E35" s="206">
        <v>5.3699999999999998E-2</v>
      </c>
      <c r="F35" s="342">
        <v>100</v>
      </c>
      <c r="G35" s="342">
        <v>100</v>
      </c>
      <c r="H35" s="399">
        <v>0.1074</v>
      </c>
      <c r="I35" s="385">
        <v>4875192092.2600002</v>
      </c>
      <c r="J35" s="204">
        <f t="shared" si="5"/>
        <v>6.5102518004395002E-3</v>
      </c>
      <c r="K35" s="75">
        <v>100</v>
      </c>
      <c r="L35" s="75">
        <v>100</v>
      </c>
      <c r="M35" s="346">
        <v>0.107</v>
      </c>
      <c r="N35" s="83">
        <f t="shared" si="8"/>
        <v>7.4672508297510344E-5</v>
      </c>
      <c r="O35" s="83">
        <f t="shared" si="6"/>
        <v>0</v>
      </c>
      <c r="P35" s="241">
        <f t="shared" si="7"/>
        <v>-3.9999999999999758E-4</v>
      </c>
      <c r="Q35" s="120"/>
      <c r="R35" s="170"/>
      <c r="S35" s="123"/>
      <c r="T35" s="470"/>
      <c r="U35" s="470"/>
    </row>
    <row r="36" spans="1:21" s="122" customFormat="1" ht="12.95" customHeight="1">
      <c r="A36" s="427">
        <v>28</v>
      </c>
      <c r="B36" s="428" t="s">
        <v>264</v>
      </c>
      <c r="C36" s="429" t="s">
        <v>104</v>
      </c>
      <c r="D36" s="385">
        <v>18333138416.959999</v>
      </c>
      <c r="E36" s="206">
        <v>4.7199999999999999E-2</v>
      </c>
      <c r="F36" s="342">
        <v>100</v>
      </c>
      <c r="G36" s="342">
        <v>100</v>
      </c>
      <c r="H36" s="399">
        <v>7.5899999999999995E-2</v>
      </c>
      <c r="I36" s="385">
        <v>18710694208</v>
      </c>
      <c r="J36" s="204">
        <f t="shared" si="5"/>
        <v>2.498595508646648E-2</v>
      </c>
      <c r="K36" s="75">
        <v>100</v>
      </c>
      <c r="L36" s="75">
        <v>100</v>
      </c>
      <c r="M36" s="346">
        <v>8.0399999999999999E-2</v>
      </c>
      <c r="N36" s="83">
        <f t="shared" si="8"/>
        <v>2.0594171191699713E-2</v>
      </c>
      <c r="O36" s="83">
        <f t="shared" si="6"/>
        <v>0</v>
      </c>
      <c r="P36" s="241">
        <f t="shared" si="7"/>
        <v>4.500000000000004E-3</v>
      </c>
      <c r="Q36" s="120"/>
      <c r="R36" s="154"/>
      <c r="S36" s="132"/>
    </row>
    <row r="37" spans="1:21" s="122" customFormat="1" ht="12.95" customHeight="1">
      <c r="A37" s="427">
        <v>29</v>
      </c>
      <c r="B37" s="428" t="s">
        <v>105</v>
      </c>
      <c r="C37" s="429" t="s">
        <v>107</v>
      </c>
      <c r="D37" s="385">
        <v>11286240521.299999</v>
      </c>
      <c r="E37" s="206">
        <v>4.5100000000000001E-2</v>
      </c>
      <c r="F37" s="71">
        <v>100</v>
      </c>
      <c r="G37" s="71">
        <v>100</v>
      </c>
      <c r="H37" s="399">
        <v>0.1008</v>
      </c>
      <c r="I37" s="385">
        <v>11521458203.9</v>
      </c>
      <c r="J37" s="204">
        <f t="shared" si="5"/>
        <v>1.5385566885602867E-2</v>
      </c>
      <c r="K37" s="71">
        <v>100</v>
      </c>
      <c r="L37" s="71">
        <v>100</v>
      </c>
      <c r="M37" s="399">
        <v>9.8500000000000004E-2</v>
      </c>
      <c r="N37" s="83">
        <f t="shared" si="8"/>
        <v>2.0841101353110892E-2</v>
      </c>
      <c r="O37" s="83">
        <f t="shared" si="6"/>
        <v>0</v>
      </c>
      <c r="P37" s="241">
        <f t="shared" si="7"/>
        <v>-2.2999999999999965E-3</v>
      </c>
      <c r="Q37" s="120"/>
      <c r="R37" s="154"/>
      <c r="S37" s="133"/>
    </row>
    <row r="38" spans="1:21" s="122" customFormat="1" ht="12.95" customHeight="1">
      <c r="A38" s="427">
        <v>30</v>
      </c>
      <c r="B38" s="428" t="s">
        <v>105</v>
      </c>
      <c r="C38" s="429" t="s">
        <v>106</v>
      </c>
      <c r="D38" s="385">
        <v>429441740.11000001</v>
      </c>
      <c r="E38" s="206">
        <v>5.2900000000000003E-2</v>
      </c>
      <c r="F38" s="71">
        <v>1000000</v>
      </c>
      <c r="G38" s="71">
        <v>1000000</v>
      </c>
      <c r="H38" s="399">
        <v>0.1142</v>
      </c>
      <c r="I38" s="385">
        <v>430376811.49000001</v>
      </c>
      <c r="J38" s="204">
        <f t="shared" si="5"/>
        <v>5.7471815650474622E-4</v>
      </c>
      <c r="K38" s="71">
        <v>1000000</v>
      </c>
      <c r="L38" s="71">
        <v>1000000</v>
      </c>
      <c r="M38" s="399">
        <v>0.11409999999999999</v>
      </c>
      <c r="N38" s="83">
        <f t="shared" si="8"/>
        <v>2.1774114918602927E-3</v>
      </c>
      <c r="O38" s="83">
        <f t="shared" si="6"/>
        <v>0</v>
      </c>
      <c r="P38" s="241">
        <f t="shared" si="7"/>
        <v>-1.0000000000000286E-4</v>
      </c>
      <c r="Q38" s="120"/>
      <c r="R38" s="154"/>
      <c r="S38" s="132"/>
    </row>
    <row r="39" spans="1:21" s="122" customFormat="1" ht="12.95" customHeight="1">
      <c r="A39" s="427">
        <v>31</v>
      </c>
      <c r="B39" s="428" t="s">
        <v>114</v>
      </c>
      <c r="C39" s="429" t="s">
        <v>115</v>
      </c>
      <c r="D39" s="385">
        <v>4141051273.54</v>
      </c>
      <c r="E39" s="206">
        <v>6.3E-2</v>
      </c>
      <c r="F39" s="342">
        <v>1</v>
      </c>
      <c r="G39" s="342">
        <v>1</v>
      </c>
      <c r="H39" s="399">
        <v>0.1176</v>
      </c>
      <c r="I39" s="344">
        <v>4165432378.1999998</v>
      </c>
      <c r="J39" s="204">
        <f t="shared" si="5"/>
        <v>5.562450284336262E-3</v>
      </c>
      <c r="K39" s="75">
        <v>1</v>
      </c>
      <c r="L39" s="75">
        <v>1</v>
      </c>
      <c r="M39" s="346">
        <v>0.1072</v>
      </c>
      <c r="N39" s="83">
        <f t="shared" si="8"/>
        <v>5.8876606565553408E-3</v>
      </c>
      <c r="O39" s="83">
        <f t="shared" si="6"/>
        <v>0</v>
      </c>
      <c r="P39" s="241">
        <f t="shared" si="7"/>
        <v>-1.0399999999999993E-2</v>
      </c>
      <c r="Q39" s="120"/>
      <c r="R39" s="154"/>
      <c r="S39" s="132"/>
      <c r="T39" s="134"/>
    </row>
    <row r="40" spans="1:21" s="122" customFormat="1" ht="12.95" customHeight="1">
      <c r="A40" s="427">
        <v>32</v>
      </c>
      <c r="B40" s="428" t="s">
        <v>15</v>
      </c>
      <c r="C40" s="429" t="s">
        <v>120</v>
      </c>
      <c r="D40" s="385">
        <v>19141466809.049999</v>
      </c>
      <c r="E40" s="206">
        <v>5.9200000000000003E-2</v>
      </c>
      <c r="F40" s="342">
        <v>1</v>
      </c>
      <c r="G40" s="342">
        <v>1</v>
      </c>
      <c r="H40" s="399">
        <v>0.1094</v>
      </c>
      <c r="I40" s="385">
        <v>19049536647.700001</v>
      </c>
      <c r="J40" s="204">
        <f t="shared" si="5"/>
        <v>2.5438439739660861E-2</v>
      </c>
      <c r="K40" s="75">
        <v>1</v>
      </c>
      <c r="L40" s="75">
        <v>1</v>
      </c>
      <c r="M40" s="346">
        <v>0.108</v>
      </c>
      <c r="N40" s="83">
        <f t="shared" si="8"/>
        <v>-4.8026706765509899E-3</v>
      </c>
      <c r="O40" s="83">
        <f t="shared" si="6"/>
        <v>0</v>
      </c>
      <c r="P40" s="241">
        <f t="shared" si="7"/>
        <v>-1.3999999999999985E-3</v>
      </c>
      <c r="Q40" s="120"/>
      <c r="R40" s="164"/>
      <c r="S40" s="471"/>
      <c r="T40" s="197"/>
    </row>
    <row r="41" spans="1:21" s="122" customFormat="1" ht="12.95" customHeight="1">
      <c r="A41" s="427">
        <v>33</v>
      </c>
      <c r="B41" s="428" t="s">
        <v>62</v>
      </c>
      <c r="C41" s="429" t="s">
        <v>123</v>
      </c>
      <c r="D41" s="385">
        <v>685280097.52999997</v>
      </c>
      <c r="E41" s="206">
        <v>7.9600000000000004E-2</v>
      </c>
      <c r="F41" s="342">
        <v>100</v>
      </c>
      <c r="G41" s="342">
        <v>100</v>
      </c>
      <c r="H41" s="399">
        <v>0.13400000000000001</v>
      </c>
      <c r="I41" s="385">
        <v>682759880.90999997</v>
      </c>
      <c r="J41" s="204">
        <f t="shared" si="5"/>
        <v>9.1174638041834337E-4</v>
      </c>
      <c r="K41" s="75">
        <v>100</v>
      </c>
      <c r="L41" s="75">
        <v>100</v>
      </c>
      <c r="M41" s="346">
        <v>0.13450000000000001</v>
      </c>
      <c r="N41" s="119">
        <f t="shared" si="8"/>
        <v>-3.677644555976143E-3</v>
      </c>
      <c r="O41" s="119">
        <f t="shared" si="6"/>
        <v>0</v>
      </c>
      <c r="P41" s="241">
        <f t="shared" si="7"/>
        <v>5.0000000000000044E-4</v>
      </c>
      <c r="Q41" s="120"/>
      <c r="R41" s="166"/>
      <c r="S41" s="471"/>
      <c r="T41" s="197"/>
    </row>
    <row r="42" spans="1:21" s="122" customFormat="1" ht="12.95" customHeight="1">
      <c r="A42" s="427">
        <v>34</v>
      </c>
      <c r="B42" s="428" t="s">
        <v>142</v>
      </c>
      <c r="C42" s="429" t="s">
        <v>130</v>
      </c>
      <c r="D42" s="406">
        <v>3381518075.29</v>
      </c>
      <c r="E42" s="206">
        <v>4.8399999999999999E-2</v>
      </c>
      <c r="F42" s="342">
        <v>1</v>
      </c>
      <c r="G42" s="342">
        <v>1</v>
      </c>
      <c r="H42" s="399">
        <v>8.9599999999999999E-2</v>
      </c>
      <c r="I42" s="406">
        <v>3456092475.77</v>
      </c>
      <c r="J42" s="204">
        <f t="shared" si="5"/>
        <v>4.6152093778189318E-3</v>
      </c>
      <c r="K42" s="75">
        <v>1</v>
      </c>
      <c r="L42" s="75">
        <v>1</v>
      </c>
      <c r="M42" s="399">
        <v>8.48E-2</v>
      </c>
      <c r="N42" s="119">
        <f t="shared" si="8"/>
        <v>2.2053527090374787E-2</v>
      </c>
      <c r="O42" s="119">
        <f t="shared" si="6"/>
        <v>0</v>
      </c>
      <c r="P42" s="241">
        <f t="shared" si="7"/>
        <v>-4.7999999999999987E-3</v>
      </c>
      <c r="Q42" s="120"/>
      <c r="R42" s="157"/>
      <c r="S42" s="132"/>
    </row>
    <row r="43" spans="1:21" s="122" customFormat="1" ht="12.95" customHeight="1">
      <c r="A43" s="427">
        <v>35</v>
      </c>
      <c r="B43" s="428" t="s">
        <v>191</v>
      </c>
      <c r="C43" s="429" t="s">
        <v>131</v>
      </c>
      <c r="D43" s="385">
        <v>549338285.57000005</v>
      </c>
      <c r="E43" s="206">
        <v>4.9799999999999997E-2</v>
      </c>
      <c r="F43" s="342">
        <v>10</v>
      </c>
      <c r="G43" s="342">
        <v>10</v>
      </c>
      <c r="H43" s="399">
        <v>8.2600000000000007E-2</v>
      </c>
      <c r="I43" s="385">
        <v>547999203.91999996</v>
      </c>
      <c r="J43" s="204">
        <f t="shared" si="5"/>
        <v>7.3178917598419157E-4</v>
      </c>
      <c r="K43" s="75">
        <v>10</v>
      </c>
      <c r="L43" s="75">
        <v>10</v>
      </c>
      <c r="M43" s="346">
        <v>9.1600000000000001E-2</v>
      </c>
      <c r="N43" s="119">
        <f t="shared" si="8"/>
        <v>-2.4376266595193671E-3</v>
      </c>
      <c r="O43" s="83">
        <f t="shared" si="6"/>
        <v>0</v>
      </c>
      <c r="P43" s="241">
        <f t="shared" si="7"/>
        <v>8.9999999999999941E-3</v>
      </c>
      <c r="Q43" s="120"/>
      <c r="R43" s="154"/>
      <c r="S43" s="171"/>
      <c r="T43" s="197"/>
    </row>
    <row r="44" spans="1:21" s="122" customFormat="1" ht="12.95" customHeight="1">
      <c r="A44" s="427">
        <v>36</v>
      </c>
      <c r="B44" s="428" t="s">
        <v>42</v>
      </c>
      <c r="C44" s="429" t="s">
        <v>141</v>
      </c>
      <c r="D44" s="385">
        <v>702862185.64999998</v>
      </c>
      <c r="E44" s="206">
        <v>2.2200000000000001E-2</v>
      </c>
      <c r="F44" s="342">
        <v>1</v>
      </c>
      <c r="G44" s="342">
        <v>1</v>
      </c>
      <c r="H44" s="399">
        <v>0.11119999999999999</v>
      </c>
      <c r="I44" s="385">
        <v>745348814.19000006</v>
      </c>
      <c r="J44" s="204">
        <f t="shared" si="5"/>
        <v>9.9532661846078274E-4</v>
      </c>
      <c r="K44" s="75">
        <v>1</v>
      </c>
      <c r="L44" s="75">
        <v>1</v>
      </c>
      <c r="M44" s="346">
        <v>0.10489999999999999</v>
      </c>
      <c r="N44" s="83">
        <f t="shared" si="8"/>
        <v>6.0448021543097911E-2</v>
      </c>
      <c r="O44" s="83">
        <f t="shared" si="6"/>
        <v>0</v>
      </c>
      <c r="P44" s="241">
        <f t="shared" si="7"/>
        <v>-6.3E-3</v>
      </c>
      <c r="Q44" s="120"/>
      <c r="R44" s="154"/>
      <c r="S44" s="171"/>
      <c r="T44" s="197"/>
    </row>
    <row r="45" spans="1:21" s="122" customFormat="1" ht="12.95" customHeight="1">
      <c r="A45" s="427">
        <v>37</v>
      </c>
      <c r="B45" s="428" t="s">
        <v>9</v>
      </c>
      <c r="C45" s="429" t="s">
        <v>250</v>
      </c>
      <c r="D45" s="385">
        <v>9009234563.539999</v>
      </c>
      <c r="E45" s="206">
        <v>6.1269999999999998E-2</v>
      </c>
      <c r="F45" s="342">
        <v>100</v>
      </c>
      <c r="G45" s="342">
        <v>100</v>
      </c>
      <c r="H45" s="399">
        <v>0.1202</v>
      </c>
      <c r="I45" s="344">
        <v>9916730673.4899998</v>
      </c>
      <c r="J45" s="204">
        <f t="shared" si="5"/>
        <v>1.3242639982137303E-2</v>
      </c>
      <c r="K45" s="75">
        <v>100</v>
      </c>
      <c r="L45" s="75">
        <v>100</v>
      </c>
      <c r="M45" s="346">
        <v>0.114797700657385</v>
      </c>
      <c r="N45" s="83">
        <f t="shared" si="8"/>
        <v>0.10072954628383193</v>
      </c>
      <c r="O45" s="83">
        <f t="shared" si="6"/>
        <v>0</v>
      </c>
      <c r="P45" s="241">
        <f t="shared" si="7"/>
        <v>-5.4022993426150051E-3</v>
      </c>
      <c r="Q45" s="120"/>
      <c r="R45" s="154"/>
      <c r="S45" s="132"/>
    </row>
    <row r="46" spans="1:21" s="122" customFormat="1" ht="12.95" customHeight="1">
      <c r="A46" s="427">
        <v>38</v>
      </c>
      <c r="B46" s="428" t="s">
        <v>143</v>
      </c>
      <c r="C46" s="429" t="s">
        <v>144</v>
      </c>
      <c r="D46" s="385">
        <v>273453910.26999998</v>
      </c>
      <c r="E46" s="204">
        <f>(D46/$I$54)</f>
        <v>3.6516588023246768E-4</v>
      </c>
      <c r="F46" s="342">
        <v>1</v>
      </c>
      <c r="G46" s="342">
        <v>1</v>
      </c>
      <c r="H46" s="382">
        <v>6.2899999999999998E-2</v>
      </c>
      <c r="I46" s="385">
        <v>298788464.45999998</v>
      </c>
      <c r="J46" s="204">
        <f t="shared" si="5"/>
        <v>3.9899722962496325E-4</v>
      </c>
      <c r="K46" s="75">
        <v>1</v>
      </c>
      <c r="L46" s="75">
        <v>1</v>
      </c>
      <c r="M46" s="347">
        <v>6.2899999999999998E-2</v>
      </c>
      <c r="N46" s="83">
        <f t="shared" si="8"/>
        <v>9.2646523741369932E-2</v>
      </c>
      <c r="O46" s="83">
        <f t="shared" si="6"/>
        <v>0</v>
      </c>
      <c r="P46" s="241">
        <f t="shared" si="7"/>
        <v>0</v>
      </c>
      <c r="Q46" s="120"/>
      <c r="R46" s="154"/>
      <c r="S46" s="132"/>
    </row>
    <row r="47" spans="1:21" s="122" customFormat="1" ht="12.95" customHeight="1">
      <c r="A47" s="427">
        <v>39</v>
      </c>
      <c r="B47" s="428" t="s">
        <v>145</v>
      </c>
      <c r="C47" s="429" t="s">
        <v>147</v>
      </c>
      <c r="D47" s="385">
        <v>442217360.69999999</v>
      </c>
      <c r="E47" s="206">
        <v>2.0000000000000001E-4</v>
      </c>
      <c r="F47" s="342">
        <v>100</v>
      </c>
      <c r="G47" s="342">
        <v>100</v>
      </c>
      <c r="H47" s="399">
        <v>1.158E-3</v>
      </c>
      <c r="I47" s="344">
        <v>441684363.88</v>
      </c>
      <c r="J47" s="204">
        <f t="shared" si="5"/>
        <v>5.8981807706427346E-4</v>
      </c>
      <c r="K47" s="75">
        <v>100</v>
      </c>
      <c r="L47" s="75">
        <v>100</v>
      </c>
      <c r="M47" s="399">
        <v>1.1000000000000001E-3</v>
      </c>
      <c r="N47" s="83">
        <f t="shared" si="8"/>
        <v>-1.2052824410970549E-3</v>
      </c>
      <c r="O47" s="83">
        <f t="shared" si="6"/>
        <v>0</v>
      </c>
      <c r="P47" s="241">
        <f t="shared" si="7"/>
        <v>-5.7999999999999892E-5</v>
      </c>
      <c r="Q47" s="120"/>
      <c r="R47" s="164"/>
      <c r="S47" s="132"/>
    </row>
    <row r="48" spans="1:21" s="122" customFormat="1" ht="12.95" customHeight="1">
      <c r="A48" s="427">
        <v>40</v>
      </c>
      <c r="B48" s="428" t="s">
        <v>159</v>
      </c>
      <c r="C48" s="429" t="s">
        <v>160</v>
      </c>
      <c r="D48" s="385">
        <v>695101758.38</v>
      </c>
      <c r="E48" s="206">
        <v>5.3145060299999998E-2</v>
      </c>
      <c r="F48" s="342">
        <v>1</v>
      </c>
      <c r="G48" s="342">
        <v>1</v>
      </c>
      <c r="H48" s="399">
        <v>0.13490828102426114</v>
      </c>
      <c r="I48" s="385">
        <v>697420849.95000005</v>
      </c>
      <c r="J48" s="204">
        <f t="shared" si="5"/>
        <v>9.3132439873692052E-4</v>
      </c>
      <c r="K48" s="75">
        <v>1</v>
      </c>
      <c r="L48" s="75">
        <v>1</v>
      </c>
      <c r="M48" s="399">
        <v>0.13311125608802757</v>
      </c>
      <c r="N48" s="83">
        <f t="shared" si="8"/>
        <v>3.3363339137638111E-3</v>
      </c>
      <c r="O48" s="83">
        <f t="shared" si="6"/>
        <v>0</v>
      </c>
      <c r="P48" s="241">
        <f t="shared" si="7"/>
        <v>-1.7970249362335711E-3</v>
      </c>
      <c r="Q48" s="120"/>
      <c r="R48" s="164"/>
      <c r="S48" s="132"/>
    </row>
    <row r="49" spans="1:21" s="122" customFormat="1" ht="12.95" customHeight="1">
      <c r="A49" s="427">
        <v>41</v>
      </c>
      <c r="B49" s="428" t="s">
        <v>113</v>
      </c>
      <c r="C49" s="429" t="s">
        <v>169</v>
      </c>
      <c r="D49" s="385">
        <v>942664777.26999998</v>
      </c>
      <c r="E49" s="206">
        <v>6.4199999999999993E-2</v>
      </c>
      <c r="F49" s="342">
        <v>1</v>
      </c>
      <c r="G49" s="342">
        <v>1</v>
      </c>
      <c r="H49" s="399">
        <v>0.1123</v>
      </c>
      <c r="I49" s="385">
        <v>928082945.66999996</v>
      </c>
      <c r="J49" s="204">
        <f t="shared" si="5"/>
        <v>1.239346789554786E-3</v>
      </c>
      <c r="K49" s="75">
        <v>1</v>
      </c>
      <c r="L49" s="75">
        <v>1</v>
      </c>
      <c r="M49" s="346">
        <v>0.1104</v>
      </c>
      <c r="N49" s="83">
        <f t="shared" si="8"/>
        <v>-1.5468734964543462E-2</v>
      </c>
      <c r="O49" s="83">
        <f t="shared" si="6"/>
        <v>0</v>
      </c>
      <c r="P49" s="241">
        <f t="shared" si="7"/>
        <v>-1.8999999999999989E-3</v>
      </c>
      <c r="Q49" s="120"/>
      <c r="R49" s="154"/>
      <c r="S49" s="132"/>
    </row>
    <row r="50" spans="1:21" s="122" customFormat="1" ht="12.95" customHeight="1">
      <c r="A50" s="427">
        <v>42</v>
      </c>
      <c r="B50" s="428" t="s">
        <v>171</v>
      </c>
      <c r="C50" s="429" t="s">
        <v>174</v>
      </c>
      <c r="D50" s="385">
        <v>137411921.59</v>
      </c>
      <c r="E50" s="206">
        <v>2.9985000000000001E-2</v>
      </c>
      <c r="F50" s="342">
        <v>1</v>
      </c>
      <c r="G50" s="342">
        <v>1</v>
      </c>
      <c r="H50" s="399">
        <v>3.6499999999999998E-2</v>
      </c>
      <c r="I50" s="385">
        <v>137391891.61000001</v>
      </c>
      <c r="J50" s="204">
        <f t="shared" si="5"/>
        <v>1.8347088541184988E-4</v>
      </c>
      <c r="K50" s="75">
        <v>1</v>
      </c>
      <c r="L50" s="75">
        <v>1</v>
      </c>
      <c r="M50" s="399">
        <v>5.0900000000000001E-2</v>
      </c>
      <c r="N50" s="83">
        <f t="shared" si="8"/>
        <v>-1.4576595515310026E-4</v>
      </c>
      <c r="O50" s="83">
        <f t="shared" si="6"/>
        <v>0</v>
      </c>
      <c r="P50" s="241">
        <f t="shared" si="7"/>
        <v>1.4400000000000003E-2</v>
      </c>
      <c r="Q50" s="120"/>
      <c r="R50" s="154"/>
      <c r="S50" s="132"/>
    </row>
    <row r="51" spans="1:21" s="122" customFormat="1" ht="12.95" customHeight="1">
      <c r="A51" s="427">
        <v>43</v>
      </c>
      <c r="B51" s="428" t="s">
        <v>184</v>
      </c>
      <c r="C51" s="429" t="s">
        <v>185</v>
      </c>
      <c r="D51" s="385">
        <v>1084925020.8199999</v>
      </c>
      <c r="E51" s="206">
        <v>9.0300000000000005E-2</v>
      </c>
      <c r="F51" s="342">
        <v>1</v>
      </c>
      <c r="G51" s="342">
        <v>1</v>
      </c>
      <c r="H51" s="399">
        <v>0.1331</v>
      </c>
      <c r="I51" s="385">
        <v>1088639256.3900001</v>
      </c>
      <c r="J51" s="204">
        <f t="shared" si="5"/>
        <v>1.453751061459537E-3</v>
      </c>
      <c r="K51" s="75">
        <v>1</v>
      </c>
      <c r="L51" s="75">
        <v>1</v>
      </c>
      <c r="M51" s="346">
        <v>0.1356</v>
      </c>
      <c r="N51" s="83">
        <f t="shared" si="8"/>
        <v>3.4234951713003224E-3</v>
      </c>
      <c r="O51" s="83">
        <f t="shared" si="6"/>
        <v>0</v>
      </c>
      <c r="P51" s="241">
        <f t="shared" si="7"/>
        <v>2.5000000000000022E-3</v>
      </c>
      <c r="Q51" s="120"/>
      <c r="R51" s="96"/>
      <c r="S51" s="132"/>
    </row>
    <row r="52" spans="1:21" s="122" customFormat="1" ht="12.95" customHeight="1">
      <c r="A52" s="427">
        <v>44</v>
      </c>
      <c r="B52" s="428" t="s">
        <v>194</v>
      </c>
      <c r="C52" s="429" t="s">
        <v>195</v>
      </c>
      <c r="D52" s="385">
        <v>36923152.729999997</v>
      </c>
      <c r="E52" s="206">
        <v>3.7000000000000002E-3</v>
      </c>
      <c r="F52" s="342">
        <v>100</v>
      </c>
      <c r="G52" s="342">
        <v>100</v>
      </c>
      <c r="H52" s="399">
        <v>9.2200000000000004E-2</v>
      </c>
      <c r="I52" s="344">
        <v>42423296.57</v>
      </c>
      <c r="J52" s="204">
        <f t="shared" si="5"/>
        <v>5.6651376530148014E-5</v>
      </c>
      <c r="K52" s="75">
        <v>100</v>
      </c>
      <c r="L52" s="75">
        <v>100</v>
      </c>
      <c r="M52" s="346">
        <v>8.6900000000000005E-2</v>
      </c>
      <c r="N52" s="83">
        <f t="shared" si="8"/>
        <v>0.14896192316565499</v>
      </c>
      <c r="O52" s="83">
        <f t="shared" si="6"/>
        <v>0</v>
      </c>
      <c r="P52" s="241">
        <f t="shared" si="7"/>
        <v>-5.2999999999999992E-3</v>
      </c>
      <c r="Q52" s="120"/>
      <c r="S52" s="132"/>
    </row>
    <row r="53" spans="1:21" s="122" customFormat="1" ht="12.95" customHeight="1">
      <c r="A53" s="427">
        <v>45</v>
      </c>
      <c r="B53" s="428" t="s">
        <v>188</v>
      </c>
      <c r="C53" s="429" t="s">
        <v>204</v>
      </c>
      <c r="D53" s="385">
        <v>2999562470.8000002</v>
      </c>
      <c r="E53" s="206">
        <v>7.8700000000000006E-2</v>
      </c>
      <c r="F53" s="342">
        <v>100</v>
      </c>
      <c r="G53" s="342">
        <v>100</v>
      </c>
      <c r="H53" s="399">
        <v>0.1138</v>
      </c>
      <c r="I53" s="385">
        <v>3091518265.77</v>
      </c>
      <c r="J53" s="204">
        <f t="shared" si="5"/>
        <v>4.1283629393340767E-3</v>
      </c>
      <c r="K53" s="75">
        <v>100</v>
      </c>
      <c r="L53" s="75">
        <v>100</v>
      </c>
      <c r="M53" s="346">
        <v>0.1026</v>
      </c>
      <c r="N53" s="83">
        <f>((I53-D53)/D53)</f>
        <v>3.065640268044648E-2</v>
      </c>
      <c r="O53" s="83">
        <f>((L53-G53)/G53)</f>
        <v>0</v>
      </c>
      <c r="P53" s="241">
        <f t="shared" si="7"/>
        <v>-1.1200000000000002E-2</v>
      </c>
      <c r="Q53" s="120"/>
      <c r="R53" s="172"/>
      <c r="S53" s="132"/>
    </row>
    <row r="54" spans="1:21" s="122" customFormat="1" ht="12.95" customHeight="1">
      <c r="A54" s="228"/>
      <c r="B54" s="117"/>
      <c r="C54" s="265" t="s">
        <v>46</v>
      </c>
      <c r="D54" s="81">
        <f>SUM(D25:D53)</f>
        <v>734404198247.47839</v>
      </c>
      <c r="E54" s="284">
        <f>(D54/$D$167)</f>
        <v>0.48544413940318465</v>
      </c>
      <c r="F54" s="286"/>
      <c r="G54" s="76"/>
      <c r="H54" s="304"/>
      <c r="I54" s="81">
        <f>SUM(I25:I53)</f>
        <v>748848468799.76001</v>
      </c>
      <c r="J54" s="284">
        <f>(I54/$I$167)</f>
        <v>0.49164179542112935</v>
      </c>
      <c r="K54" s="286"/>
      <c r="L54" s="76"/>
      <c r="M54" s="304"/>
      <c r="N54" s="288">
        <f t="shared" si="8"/>
        <v>1.966801195683553E-2</v>
      </c>
      <c r="O54" s="288"/>
      <c r="P54" s="289">
        <f t="shared" si="7"/>
        <v>0</v>
      </c>
      <c r="Q54" s="120"/>
    </row>
    <row r="55" spans="1:21" s="122" customFormat="1" ht="4.5" customHeight="1">
      <c r="A55" s="451"/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3"/>
      <c r="Q55" s="120"/>
    </row>
    <row r="56" spans="1:21" s="122" customFormat="1" ht="12.95" customHeight="1">
      <c r="A56" s="448" t="s">
        <v>209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449"/>
      <c r="O56" s="449"/>
      <c r="P56" s="450"/>
      <c r="Q56" s="120"/>
      <c r="T56" s="134"/>
      <c r="U56" s="135"/>
    </row>
    <row r="57" spans="1:21" s="122" customFormat="1" ht="12.95" customHeight="1">
      <c r="A57" s="427">
        <v>46</v>
      </c>
      <c r="B57" s="428" t="s">
        <v>5</v>
      </c>
      <c r="C57" s="429" t="s">
        <v>20</v>
      </c>
      <c r="D57" s="391">
        <v>44924763261.139999</v>
      </c>
      <c r="E57" s="204">
        <f t="shared" ref="E57:E80" si="9">(D57/$D$87)</f>
        <v>0.13277613927937357</v>
      </c>
      <c r="F57" s="392">
        <v>246.1</v>
      </c>
      <c r="G57" s="392">
        <v>246.1</v>
      </c>
      <c r="H57" s="399">
        <v>4.1999999999999997E-3</v>
      </c>
      <c r="I57" s="391">
        <v>44117869609.199997</v>
      </c>
      <c r="J57" s="204">
        <f t="shared" ref="J57:J66" si="10">(I57/$I$87)</f>
        <v>0.13069739514382803</v>
      </c>
      <c r="K57" s="392">
        <v>246.38</v>
      </c>
      <c r="L57" s="392">
        <v>246.38</v>
      </c>
      <c r="M57" s="351">
        <v>5.3E-3</v>
      </c>
      <c r="N57" s="83">
        <f>((I57-D57)/D57)</f>
        <v>-1.7960999532700195E-2</v>
      </c>
      <c r="O57" s="83">
        <f>((L57-G57)/G57)</f>
        <v>1.1377488825680664E-3</v>
      </c>
      <c r="P57" s="241">
        <f t="shared" ref="P57:P87" si="11">M57-H57</f>
        <v>1.1000000000000003E-3</v>
      </c>
      <c r="Q57" s="120"/>
      <c r="R57" s="154"/>
    </row>
    <row r="58" spans="1:21" s="122" customFormat="1" ht="12.95" customHeight="1">
      <c r="A58" s="427">
        <v>47</v>
      </c>
      <c r="B58" s="428" t="s">
        <v>62</v>
      </c>
      <c r="C58" s="429" t="s">
        <v>21</v>
      </c>
      <c r="D58" s="391">
        <v>1469837436.77</v>
      </c>
      <c r="E58" s="204">
        <f t="shared" si="9"/>
        <v>4.3441373099326747E-3</v>
      </c>
      <c r="F58" s="392">
        <v>317.47230000000002</v>
      </c>
      <c r="G58" s="392">
        <v>317.47230000000002</v>
      </c>
      <c r="H58" s="399">
        <v>0.13700000000000001</v>
      </c>
      <c r="I58" s="391">
        <v>1491562874.8399999</v>
      </c>
      <c r="J58" s="204">
        <f t="shared" si="10"/>
        <v>4.4186943785285504E-3</v>
      </c>
      <c r="K58" s="392">
        <v>322.14299999999997</v>
      </c>
      <c r="L58" s="392">
        <v>322.14299999999997</v>
      </c>
      <c r="M58" s="351">
        <v>0.13700000000000001</v>
      </c>
      <c r="N58" s="119">
        <f>((I58-D58)/D58)</f>
        <v>1.4780844144058584E-2</v>
      </c>
      <c r="O58" s="119">
        <f>((L58-G58)/G58)</f>
        <v>1.4712149689909809E-2</v>
      </c>
      <c r="P58" s="241">
        <f t="shared" si="11"/>
        <v>0</v>
      </c>
      <c r="Q58" s="120"/>
      <c r="R58" s="154"/>
      <c r="S58" s="136"/>
    </row>
    <row r="59" spans="1:21" s="122" customFormat="1" ht="12.95" customHeight="1">
      <c r="A59" s="427">
        <v>48</v>
      </c>
      <c r="B59" s="428" t="s">
        <v>201</v>
      </c>
      <c r="C59" s="429" t="s">
        <v>276</v>
      </c>
      <c r="D59" s="391">
        <v>66073147157.080002</v>
      </c>
      <c r="E59" s="204">
        <f t="shared" si="9"/>
        <v>0.19528065932277502</v>
      </c>
      <c r="F59" s="353">
        <v>1490.89</v>
      </c>
      <c r="G59" s="391">
        <v>1490.89</v>
      </c>
      <c r="H59" s="399">
        <v>0.12509999999999999</v>
      </c>
      <c r="I59" s="391">
        <v>66432295735.940002</v>
      </c>
      <c r="J59" s="204">
        <f t="shared" si="10"/>
        <v>0.19680297537080543</v>
      </c>
      <c r="K59" s="353">
        <v>1494.54</v>
      </c>
      <c r="L59" s="391">
        <v>1494.54</v>
      </c>
      <c r="M59" s="399">
        <v>0.1255</v>
      </c>
      <c r="N59" s="83">
        <f>((I59-D59)/D59)</f>
        <v>5.4356208885611773E-3</v>
      </c>
      <c r="O59" s="83">
        <f>((L59-G59)/G59)</f>
        <v>2.4482020806363067E-3</v>
      </c>
      <c r="P59" s="241">
        <f t="shared" si="11"/>
        <v>4.0000000000001146E-4</v>
      </c>
      <c r="Q59" s="120"/>
      <c r="R59" s="154"/>
      <c r="S59" s="137"/>
      <c r="T59" s="130"/>
    </row>
    <row r="60" spans="1:21" s="138" customFormat="1" ht="12.95" customHeight="1">
      <c r="A60" s="427">
        <v>49</v>
      </c>
      <c r="B60" s="428" t="s">
        <v>184</v>
      </c>
      <c r="C60" s="429" t="s">
        <v>186</v>
      </c>
      <c r="D60" s="391">
        <v>683545437.17999995</v>
      </c>
      <c r="E60" s="204">
        <f t="shared" si="9"/>
        <v>2.0202337771537742E-3</v>
      </c>
      <c r="F60" s="353">
        <v>1.0799000000000001</v>
      </c>
      <c r="G60" s="353">
        <v>1.0799000000000001</v>
      </c>
      <c r="H60" s="399">
        <v>0.10159584338466914</v>
      </c>
      <c r="I60" s="391">
        <v>684829394.50999999</v>
      </c>
      <c r="J60" s="204">
        <f t="shared" si="10"/>
        <v>2.0287792400954284E-3</v>
      </c>
      <c r="K60" s="352">
        <v>1.0819000000000001</v>
      </c>
      <c r="L60" s="352">
        <v>1.0819000000000001</v>
      </c>
      <c r="M60" s="351">
        <v>9.6569788207898632E-2</v>
      </c>
      <c r="N60" s="83">
        <f>(I60/D60)/D60</f>
        <v>1.4657085314453697E-9</v>
      </c>
      <c r="O60" s="83">
        <f>(L60-G60)/G60</f>
        <v>1.8520233354940288E-3</v>
      </c>
      <c r="P60" s="241">
        <f t="shared" si="11"/>
        <v>-5.0260551767705025E-3</v>
      </c>
      <c r="Q60" s="120"/>
      <c r="R60" s="164"/>
      <c r="S60" s="173"/>
    </row>
    <row r="61" spans="1:21" s="122" customFormat="1" ht="12.95" customHeight="1">
      <c r="A61" s="427">
        <v>50</v>
      </c>
      <c r="B61" s="428" t="s">
        <v>9</v>
      </c>
      <c r="C61" s="429" t="s">
        <v>22</v>
      </c>
      <c r="D61" s="391">
        <v>2801866564.71591</v>
      </c>
      <c r="E61" s="204">
        <f t="shared" si="9"/>
        <v>8.2809790911182943E-3</v>
      </c>
      <c r="F61" s="391">
        <v>3745.6839867844401</v>
      </c>
      <c r="G61" s="391">
        <v>3745.6839867844401</v>
      </c>
      <c r="H61" s="399">
        <v>7.5432946741709486E-2</v>
      </c>
      <c r="I61" s="348">
        <v>2806857804.0954599</v>
      </c>
      <c r="J61" s="204">
        <f t="shared" si="10"/>
        <v>8.315202134282159E-3</v>
      </c>
      <c r="K61" s="349">
        <v>3750.97828280573</v>
      </c>
      <c r="L61" s="391">
        <v>3750.97828280573</v>
      </c>
      <c r="M61" s="351">
        <v>7.3700750539584997E-2</v>
      </c>
      <c r="N61" s="83">
        <f t="shared" ref="N61:N87" si="12">((I61-D61)/D61)</f>
        <v>1.7813979589195953E-3</v>
      </c>
      <c r="O61" s="83">
        <f t="shared" ref="O61:O86" si="13">((L61-G61)/G61)</f>
        <v>1.4134390514440958E-3</v>
      </c>
      <c r="P61" s="241">
        <f t="shared" si="11"/>
        <v>-1.7321962021244891E-3</v>
      </c>
      <c r="Q61" s="120"/>
      <c r="R61" s="154"/>
      <c r="S61" s="141"/>
      <c r="T61" s="141"/>
    </row>
    <row r="62" spans="1:21" s="122" customFormat="1" ht="12.95" customHeight="1">
      <c r="A62" s="427">
        <v>51</v>
      </c>
      <c r="B62" s="428" t="s">
        <v>45</v>
      </c>
      <c r="C62" s="429" t="s">
        <v>167</v>
      </c>
      <c r="D62" s="391">
        <v>101080280753.25</v>
      </c>
      <c r="E62" s="204">
        <f t="shared" si="9"/>
        <v>0.29874502304391526</v>
      </c>
      <c r="F62" s="391">
        <v>1.968</v>
      </c>
      <c r="G62" s="391">
        <v>1.968</v>
      </c>
      <c r="H62" s="399">
        <v>7.4999999999999997E-2</v>
      </c>
      <c r="I62" s="391">
        <v>101154044855.03999</v>
      </c>
      <c r="J62" s="204">
        <f t="shared" si="10"/>
        <v>0.29966474555377787</v>
      </c>
      <c r="K62" s="391">
        <v>1.9702999999999999</v>
      </c>
      <c r="L62" s="391">
        <v>1.9702999999999999</v>
      </c>
      <c r="M62" s="351">
        <v>7.3200000000000001E-2</v>
      </c>
      <c r="N62" s="119">
        <f t="shared" si="12"/>
        <v>7.2975758714067065E-4</v>
      </c>
      <c r="O62" s="119">
        <f t="shared" si="13"/>
        <v>1.1686991869918541E-3</v>
      </c>
      <c r="P62" s="241">
        <f t="shared" si="11"/>
        <v>-1.799999999999996E-3</v>
      </c>
      <c r="Q62" s="120"/>
      <c r="R62" s="154"/>
      <c r="S62" s="141"/>
      <c r="T62" s="141"/>
    </row>
    <row r="63" spans="1:21" s="122" customFormat="1" ht="12" customHeight="1">
      <c r="A63" s="427">
        <v>52</v>
      </c>
      <c r="B63" s="428" t="s">
        <v>264</v>
      </c>
      <c r="C63" s="429" t="s">
        <v>53</v>
      </c>
      <c r="D63" s="391">
        <v>9886268816.0599995</v>
      </c>
      <c r="E63" s="204">
        <f t="shared" si="9"/>
        <v>2.9219087870185036E-2</v>
      </c>
      <c r="F63" s="392">
        <v>1</v>
      </c>
      <c r="G63" s="392">
        <v>1</v>
      </c>
      <c r="H63" s="399">
        <v>0.06</v>
      </c>
      <c r="I63" s="391">
        <v>9888728146.8999996</v>
      </c>
      <c r="J63" s="204">
        <f t="shared" si="10"/>
        <v>2.9294955117591854E-2</v>
      </c>
      <c r="K63" s="350">
        <v>1</v>
      </c>
      <c r="L63" s="350">
        <v>1</v>
      </c>
      <c r="M63" s="351">
        <v>0.06</v>
      </c>
      <c r="N63" s="83">
        <f t="shared" si="12"/>
        <v>2.487622869413616E-4</v>
      </c>
      <c r="O63" s="83">
        <f t="shared" si="13"/>
        <v>0</v>
      </c>
      <c r="P63" s="241">
        <f t="shared" si="11"/>
        <v>0</v>
      </c>
      <c r="Q63" s="120"/>
      <c r="R63" s="154"/>
      <c r="S63" s="175"/>
      <c r="T63" s="141"/>
    </row>
    <row r="64" spans="1:21" s="122" customFormat="1" ht="12.75" customHeight="1">
      <c r="A64" s="427">
        <v>53</v>
      </c>
      <c r="B64" s="428" t="s">
        <v>15</v>
      </c>
      <c r="C64" s="429" t="s">
        <v>23</v>
      </c>
      <c r="D64" s="391">
        <v>3471159531.71</v>
      </c>
      <c r="E64" s="204">
        <f t="shared" si="9"/>
        <v>1.0259089374922101E-2</v>
      </c>
      <c r="F64" s="392">
        <v>23.717600000000001</v>
      </c>
      <c r="G64" s="392">
        <v>23.717600000000001</v>
      </c>
      <c r="H64" s="399">
        <v>8.0999999999999996E-3</v>
      </c>
      <c r="I64" s="391">
        <v>3475256348.6399999</v>
      </c>
      <c r="J64" s="204">
        <f t="shared" si="10"/>
        <v>1.0295305649336756E-2</v>
      </c>
      <c r="K64" s="392">
        <v>23.777699999999999</v>
      </c>
      <c r="L64" s="392">
        <v>23.777699999999999</v>
      </c>
      <c r="M64" s="351">
        <v>9.2999999999999992E-3</v>
      </c>
      <c r="N64" s="83">
        <f t="shared" si="12"/>
        <v>1.1802444954126352E-3</v>
      </c>
      <c r="O64" s="83">
        <f t="shared" si="13"/>
        <v>2.5339832023475598E-3</v>
      </c>
      <c r="P64" s="241">
        <f t="shared" si="11"/>
        <v>1.1999999999999997E-3</v>
      </c>
      <c r="Q64" s="120"/>
      <c r="R64" s="157"/>
      <c r="S64" s="195"/>
      <c r="T64" s="176"/>
    </row>
    <row r="65" spans="1:21" s="122" customFormat="1" ht="12" customHeight="1">
      <c r="A65" s="427">
        <v>54</v>
      </c>
      <c r="B65" s="428" t="s">
        <v>109</v>
      </c>
      <c r="C65" s="429" t="s">
        <v>112</v>
      </c>
      <c r="D65" s="391">
        <v>419497477.39999998</v>
      </c>
      <c r="E65" s="204">
        <f t="shared" si="9"/>
        <v>1.2398341458771409E-3</v>
      </c>
      <c r="F65" s="392">
        <v>2.1385999999999998</v>
      </c>
      <c r="G65" s="392">
        <v>2.1385999999999998</v>
      </c>
      <c r="H65" s="399">
        <v>0.31890155384697855</v>
      </c>
      <c r="I65" s="348">
        <v>419606403.51999998</v>
      </c>
      <c r="J65" s="204">
        <f t="shared" si="10"/>
        <v>1.2430669116964292E-3</v>
      </c>
      <c r="K65" s="350">
        <v>2.1391</v>
      </c>
      <c r="L65" s="392">
        <v>2.1391</v>
      </c>
      <c r="M65" s="399">
        <v>1.2190885893312112E-2</v>
      </c>
      <c r="N65" s="119">
        <f t="shared" si="12"/>
        <v>2.5965858167995931E-4</v>
      </c>
      <c r="O65" s="119">
        <f t="shared" si="13"/>
        <v>2.3379781165256102E-4</v>
      </c>
      <c r="P65" s="241">
        <f t="shared" si="11"/>
        <v>-0.30671066795366642</v>
      </c>
      <c r="Q65" s="120"/>
      <c r="R65" s="164"/>
      <c r="S65" s="197"/>
      <c r="T65" s="177"/>
      <c r="U65" s="195"/>
    </row>
    <row r="66" spans="1:21" s="122" customFormat="1" ht="12.95" customHeight="1">
      <c r="A66" s="427">
        <v>55</v>
      </c>
      <c r="B66" s="428" t="s">
        <v>5</v>
      </c>
      <c r="C66" s="429" t="s">
        <v>68</v>
      </c>
      <c r="D66" s="391">
        <v>15125976500.41</v>
      </c>
      <c r="E66" s="204">
        <f t="shared" si="9"/>
        <v>4.4705160734641251E-2</v>
      </c>
      <c r="F66" s="392">
        <v>334.76</v>
      </c>
      <c r="G66" s="392">
        <v>334.76</v>
      </c>
      <c r="H66" s="399">
        <v>6.7000000000000002E-3</v>
      </c>
      <c r="I66" s="391">
        <v>14935685735.74</v>
      </c>
      <c r="J66" s="204">
        <f t="shared" si="10"/>
        <v>4.4246361794880965E-2</v>
      </c>
      <c r="K66" s="392">
        <v>335.18</v>
      </c>
      <c r="L66" s="392">
        <v>335.18</v>
      </c>
      <c r="M66" s="351">
        <v>8.0000000000000002E-3</v>
      </c>
      <c r="N66" s="83">
        <f t="shared" si="12"/>
        <v>-1.2580395365868916E-2</v>
      </c>
      <c r="O66" s="83">
        <f t="shared" si="13"/>
        <v>1.2546301828175886E-3</v>
      </c>
      <c r="P66" s="241">
        <f t="shared" si="11"/>
        <v>1.2999999999999999E-3</v>
      </c>
      <c r="Q66" s="120"/>
      <c r="R66" s="154"/>
      <c r="S66" s="141"/>
      <c r="T66" s="177"/>
      <c r="U66" s="195"/>
    </row>
    <row r="67" spans="1:21" s="122" customFormat="1" ht="12.95" customHeight="1">
      <c r="A67" s="427">
        <v>56</v>
      </c>
      <c r="B67" s="428" t="s">
        <v>24</v>
      </c>
      <c r="C67" s="429" t="s">
        <v>39</v>
      </c>
      <c r="D67" s="391">
        <v>6547686679.6000004</v>
      </c>
      <c r="E67" s="204">
        <f t="shared" si="9"/>
        <v>1.9351833942334449E-2</v>
      </c>
      <c r="F67" s="392">
        <v>1.01</v>
      </c>
      <c r="G67" s="392">
        <v>1.01</v>
      </c>
      <c r="H67" s="399">
        <v>0.1105</v>
      </c>
      <c r="I67" s="391">
        <v>6545118096.0600004</v>
      </c>
      <c r="J67" s="204">
        <f>(I67/$I$118)</f>
        <v>0.1411733175672204</v>
      </c>
      <c r="K67" s="350">
        <v>1.01</v>
      </c>
      <c r="L67" s="350">
        <v>1.01</v>
      </c>
      <c r="M67" s="351">
        <v>0.1105</v>
      </c>
      <c r="N67" s="83">
        <f t="shared" si="12"/>
        <v>-3.9228870678901774E-4</v>
      </c>
      <c r="O67" s="83">
        <f t="shared" si="13"/>
        <v>0</v>
      </c>
      <c r="P67" s="241">
        <f t="shared" si="11"/>
        <v>0</v>
      </c>
      <c r="Q67" s="120"/>
      <c r="R67" s="154"/>
      <c r="S67" s="178"/>
      <c r="T67" s="174"/>
    </row>
    <row r="68" spans="1:21" s="122" customFormat="1" ht="12.95" customHeight="1">
      <c r="A68" s="427">
        <v>57</v>
      </c>
      <c r="B68" s="428" t="s">
        <v>142</v>
      </c>
      <c r="C68" s="429" t="s">
        <v>119</v>
      </c>
      <c r="D68" s="391">
        <v>1504770352.8699999</v>
      </c>
      <c r="E68" s="204">
        <f t="shared" si="9"/>
        <v>4.4473823221894302E-3</v>
      </c>
      <c r="F68" s="392">
        <v>3.55</v>
      </c>
      <c r="G68" s="392">
        <v>3.55</v>
      </c>
      <c r="H68" s="382" t="s">
        <v>281</v>
      </c>
      <c r="I68" s="391">
        <v>1504042386.28</v>
      </c>
      <c r="J68" s="204">
        <f t="shared" ref="J68:J86" si="14">(I68/$I$87)</f>
        <v>4.4556644238259203E-3</v>
      </c>
      <c r="K68" s="392">
        <v>3.55</v>
      </c>
      <c r="L68" s="392">
        <v>3.55</v>
      </c>
      <c r="M68" s="382">
        <v>-5.3699999999999998E-2</v>
      </c>
      <c r="N68" s="83">
        <f t="shared" si="12"/>
        <v>-4.8377254948669545E-4</v>
      </c>
      <c r="O68" s="83">
        <f t="shared" si="13"/>
        <v>0</v>
      </c>
      <c r="P68" s="241" t="e">
        <f t="shared" si="11"/>
        <v>#VALUE!</v>
      </c>
      <c r="Q68" s="120"/>
      <c r="R68" s="96"/>
      <c r="S68" s="177"/>
      <c r="T68" s="197"/>
    </row>
    <row r="69" spans="1:21" s="122" customFormat="1" ht="12" customHeight="1">
      <c r="A69" s="427">
        <v>58</v>
      </c>
      <c r="B69" s="428" t="s">
        <v>5</v>
      </c>
      <c r="C69" s="429" t="s">
        <v>73</v>
      </c>
      <c r="D69" s="391">
        <v>40527765481.970001</v>
      </c>
      <c r="E69" s="204">
        <f t="shared" si="9"/>
        <v>0.11978071432533327</v>
      </c>
      <c r="F69" s="391">
        <v>4608.74</v>
      </c>
      <c r="G69" s="391">
        <v>4608.74</v>
      </c>
      <c r="H69" s="399">
        <v>8.0999999999999996E-3</v>
      </c>
      <c r="I69" s="391">
        <v>40407572233.879997</v>
      </c>
      <c r="J69" s="204">
        <f t="shared" si="14"/>
        <v>0.11970579000833928</v>
      </c>
      <c r="K69" s="391">
        <v>4616.88</v>
      </c>
      <c r="L69" s="391">
        <v>4616.88</v>
      </c>
      <c r="M69" s="351">
        <v>9.7999999999999997E-3</v>
      </c>
      <c r="N69" s="83">
        <f t="shared" si="12"/>
        <v>-2.965701332422967E-3</v>
      </c>
      <c r="O69" s="83">
        <f t="shared" si="13"/>
        <v>1.7662094194943363E-3</v>
      </c>
      <c r="P69" s="241">
        <f t="shared" si="11"/>
        <v>1.7000000000000001E-3</v>
      </c>
      <c r="Q69" s="120"/>
      <c r="S69" s="177"/>
      <c r="T69" s="197"/>
    </row>
    <row r="70" spans="1:21" s="122" customFormat="1" ht="12.95" customHeight="1">
      <c r="A70" s="427">
        <v>59</v>
      </c>
      <c r="B70" s="428" t="s">
        <v>5</v>
      </c>
      <c r="C70" s="429" t="s">
        <v>74</v>
      </c>
      <c r="D70" s="391">
        <v>246408335.30000001</v>
      </c>
      <c r="E70" s="204">
        <f t="shared" si="9"/>
        <v>7.2826532790417123E-4</v>
      </c>
      <c r="F70" s="391">
        <v>4355.41</v>
      </c>
      <c r="G70" s="391">
        <v>4372.3100000000004</v>
      </c>
      <c r="H70" s="399">
        <v>2.6599999999999999E-2</v>
      </c>
      <c r="I70" s="391">
        <v>246084212.38999999</v>
      </c>
      <c r="J70" s="204">
        <f t="shared" si="14"/>
        <v>7.2901447486681454E-4</v>
      </c>
      <c r="K70" s="391">
        <v>4349.7700000000004</v>
      </c>
      <c r="L70" s="391">
        <v>4366.49</v>
      </c>
      <c r="M70" s="351">
        <v>2.53E-2</v>
      </c>
      <c r="N70" s="83">
        <f t="shared" si="12"/>
        <v>-1.3153893905634702E-3</v>
      </c>
      <c r="O70" s="83">
        <f t="shared" si="13"/>
        <v>-1.3311041531823265E-3</v>
      </c>
      <c r="P70" s="241">
        <f t="shared" si="11"/>
        <v>-1.2999999999999991E-3</v>
      </c>
      <c r="Q70" s="120"/>
      <c r="S70" s="466"/>
      <c r="T70" s="466"/>
    </row>
    <row r="71" spans="1:21" s="138" customFormat="1" ht="12.95" customHeight="1">
      <c r="A71" s="427">
        <v>60</v>
      </c>
      <c r="B71" s="428" t="s">
        <v>96</v>
      </c>
      <c r="C71" s="429" t="s">
        <v>97</v>
      </c>
      <c r="D71" s="391">
        <v>53594505.380000003</v>
      </c>
      <c r="E71" s="204">
        <f t="shared" si="9"/>
        <v>1.5839975537721823E-4</v>
      </c>
      <c r="F71" s="353">
        <v>11.504403</v>
      </c>
      <c r="G71" s="391">
        <v>11.707857000000001</v>
      </c>
      <c r="H71" s="399">
        <v>3.5299999999999998E-2</v>
      </c>
      <c r="I71" s="391">
        <v>52388518.450000003</v>
      </c>
      <c r="J71" s="204">
        <f t="shared" si="14"/>
        <v>1.5519885609869855E-4</v>
      </c>
      <c r="K71" s="353">
        <v>11.49</v>
      </c>
      <c r="L71" s="391">
        <v>11.7</v>
      </c>
      <c r="M71" s="351">
        <v>3.7199999999999997E-2</v>
      </c>
      <c r="N71" s="83">
        <f t="shared" si="12"/>
        <v>-2.2502062878446506E-2</v>
      </c>
      <c r="O71" s="83">
        <f t="shared" si="13"/>
        <v>-6.7108780026962531E-4</v>
      </c>
      <c r="P71" s="241">
        <f t="shared" si="11"/>
        <v>1.8999999999999989E-3</v>
      </c>
      <c r="Q71" s="120"/>
      <c r="R71" s="179"/>
      <c r="S71" s="180"/>
      <c r="T71" s="473"/>
      <c r="U71" s="139"/>
    </row>
    <row r="72" spans="1:21" s="122" customFormat="1" ht="12.95" customHeight="1">
      <c r="A72" s="427">
        <v>61</v>
      </c>
      <c r="B72" s="428" t="s">
        <v>27</v>
      </c>
      <c r="C72" s="429" t="s">
        <v>91</v>
      </c>
      <c r="D72" s="391">
        <v>15393079324.059999</v>
      </c>
      <c r="E72" s="398">
        <f t="shared" si="9"/>
        <v>4.5494589084184578E-2</v>
      </c>
      <c r="F72" s="391">
        <v>1168.4100000000001</v>
      </c>
      <c r="G72" s="391">
        <v>1168.4100000000001</v>
      </c>
      <c r="H72" s="399">
        <v>7.1000000000000004E-3</v>
      </c>
      <c r="I72" s="391">
        <v>15385839766.059999</v>
      </c>
      <c r="J72" s="398">
        <f t="shared" si="14"/>
        <v>4.5579924809085327E-2</v>
      </c>
      <c r="K72" s="391">
        <v>1172.68</v>
      </c>
      <c r="L72" s="391">
        <v>1172.68</v>
      </c>
      <c r="M72" s="399">
        <v>1.0699999999999999E-2</v>
      </c>
      <c r="N72" s="83">
        <f t="shared" si="12"/>
        <v>-4.7031252471260124E-4</v>
      </c>
      <c r="O72" s="83">
        <f t="shared" si="13"/>
        <v>3.6545390744687064E-3</v>
      </c>
      <c r="P72" s="241">
        <f t="shared" si="11"/>
        <v>3.599999999999999E-3</v>
      </c>
      <c r="Q72" s="120"/>
      <c r="S72" s="181"/>
      <c r="T72" s="473"/>
    </row>
    <row r="73" spans="1:21" s="122" customFormat="1" ht="12.95" customHeight="1">
      <c r="A73" s="427">
        <v>62</v>
      </c>
      <c r="B73" s="428" t="s">
        <v>191</v>
      </c>
      <c r="C73" s="429" t="s">
        <v>190</v>
      </c>
      <c r="D73" s="391">
        <v>21935492.049999997</v>
      </c>
      <c r="E73" s="204">
        <f t="shared" si="9"/>
        <v>6.4830835738910112E-5</v>
      </c>
      <c r="F73" s="391">
        <v>0.64910000000000001</v>
      </c>
      <c r="G73" s="391">
        <v>0.64910000000000001</v>
      </c>
      <c r="H73" s="399">
        <v>-5.5899999999999998E-2</v>
      </c>
      <c r="I73" s="391">
        <v>21935411</v>
      </c>
      <c r="J73" s="204">
        <f t="shared" si="14"/>
        <v>6.4982763322538826E-5</v>
      </c>
      <c r="K73" s="391">
        <v>0.64910000000000001</v>
      </c>
      <c r="L73" s="391">
        <v>0.64910000000000001</v>
      </c>
      <c r="M73" s="399">
        <v>-5.7500000000000002E-2</v>
      </c>
      <c r="N73" s="119">
        <f>((I73-D73)/D73)</f>
        <v>-3.694925092734347E-6</v>
      </c>
      <c r="O73" s="119">
        <f>((L73-G73)/G73)</f>
        <v>0</v>
      </c>
      <c r="P73" s="241">
        <f t="shared" si="11"/>
        <v>-1.6000000000000042E-3</v>
      </c>
      <c r="Q73" s="120"/>
      <c r="R73" s="182"/>
      <c r="S73" s="140"/>
      <c r="T73" s="473"/>
    </row>
    <row r="74" spans="1:21" s="122" customFormat="1" ht="12.95" customHeight="1">
      <c r="A74" s="427">
        <v>63</v>
      </c>
      <c r="B74" s="428" t="s">
        <v>105</v>
      </c>
      <c r="C74" s="429" t="s">
        <v>108</v>
      </c>
      <c r="D74" s="391">
        <v>359816791.54000002</v>
      </c>
      <c r="E74" s="204">
        <f t="shared" si="9"/>
        <v>1.0634465484183843E-3</v>
      </c>
      <c r="F74" s="77">
        <v>1115.21</v>
      </c>
      <c r="G74" s="77">
        <v>1118.3499999999999</v>
      </c>
      <c r="H74" s="399">
        <v>7.0000000000000001E-3</v>
      </c>
      <c r="I74" s="391">
        <v>359930585.42000002</v>
      </c>
      <c r="J74" s="204">
        <f t="shared" si="14"/>
        <v>1.0662797266434035E-3</v>
      </c>
      <c r="K74" s="77">
        <v>1115.3</v>
      </c>
      <c r="L74" s="77">
        <v>1118.81</v>
      </c>
      <c r="M74" s="399">
        <v>7.4999999999999997E-3</v>
      </c>
      <c r="N74" s="83">
        <f t="shared" si="12"/>
        <v>3.1625505722776982E-4</v>
      </c>
      <c r="O74" s="83">
        <f t="shared" si="13"/>
        <v>4.1132024858053063E-4</v>
      </c>
      <c r="P74" s="241">
        <f t="shared" si="11"/>
        <v>4.9999999999999958E-4</v>
      </c>
      <c r="Q74" s="120"/>
      <c r="R74" s="133"/>
      <c r="S74" s="140"/>
      <c r="T74" s="473"/>
    </row>
    <row r="75" spans="1:21" s="122" customFormat="1" ht="12.95" customHeight="1">
      <c r="A75" s="427">
        <v>64</v>
      </c>
      <c r="B75" s="428" t="s">
        <v>110</v>
      </c>
      <c r="C75" s="429" t="s">
        <v>111</v>
      </c>
      <c r="D75" s="391">
        <v>780786261.21000004</v>
      </c>
      <c r="E75" s="204">
        <f t="shared" si="9"/>
        <v>2.3076312002631044E-3</v>
      </c>
      <c r="F75" s="392">
        <v>196.684866</v>
      </c>
      <c r="G75" s="392">
        <v>199.10397399999999</v>
      </c>
      <c r="H75" s="399">
        <v>0.1042</v>
      </c>
      <c r="I75" s="391">
        <v>778347987.40999997</v>
      </c>
      <c r="J75" s="204">
        <f t="shared" si="14"/>
        <v>2.3058242696450256E-3</v>
      </c>
      <c r="K75" s="392">
        <v>195.807401</v>
      </c>
      <c r="L75" s="392">
        <v>198.27907500000001</v>
      </c>
      <c r="M75" s="399">
        <v>0.11799999999999999</v>
      </c>
      <c r="N75" s="83">
        <f t="shared" si="12"/>
        <v>-3.1228441394722159E-3</v>
      </c>
      <c r="O75" s="83">
        <f t="shared" si="13"/>
        <v>-4.1430564314099919E-3</v>
      </c>
      <c r="P75" s="241">
        <f t="shared" si="11"/>
        <v>1.3799999999999993E-2</v>
      </c>
      <c r="Q75" s="120"/>
      <c r="R75" s="154"/>
      <c r="S75" s="183"/>
      <c r="T75" s="473"/>
    </row>
    <row r="76" spans="1:21" s="122" customFormat="1" ht="12.95" customHeight="1">
      <c r="A76" s="427">
        <v>65</v>
      </c>
      <c r="B76" s="428" t="s">
        <v>114</v>
      </c>
      <c r="C76" s="429" t="s">
        <v>117</v>
      </c>
      <c r="D76" s="391">
        <v>335225579.20999998</v>
      </c>
      <c r="E76" s="204">
        <f t="shared" si="9"/>
        <v>9.9076667219072097E-4</v>
      </c>
      <c r="F76" s="392">
        <v>1.3714</v>
      </c>
      <c r="G76" s="392">
        <v>1.3714</v>
      </c>
      <c r="H76" s="399">
        <v>2.4400000000000002E-2</v>
      </c>
      <c r="I76" s="391">
        <v>335085343.69</v>
      </c>
      <c r="J76" s="204">
        <f t="shared" si="14"/>
        <v>9.9267670807986455E-4</v>
      </c>
      <c r="K76" s="392">
        <v>1.3712</v>
      </c>
      <c r="L76" s="392">
        <v>1.3712</v>
      </c>
      <c r="M76" s="399">
        <v>2.4199999999999999E-2</v>
      </c>
      <c r="N76" s="83">
        <f t="shared" si="12"/>
        <v>-4.183318001283287E-4</v>
      </c>
      <c r="O76" s="83">
        <f t="shared" si="13"/>
        <v>-1.4583637159105875E-4</v>
      </c>
      <c r="P76" s="241">
        <f t="shared" si="11"/>
        <v>-2.0000000000000226E-4</v>
      </c>
      <c r="Q76" s="120"/>
      <c r="R76" s="164"/>
      <c r="S76" s="183"/>
      <c r="T76" s="473"/>
    </row>
    <row r="77" spans="1:21" s="122" customFormat="1" ht="12.95" customHeight="1">
      <c r="A77" s="427">
        <v>66</v>
      </c>
      <c r="B77" s="428" t="s">
        <v>145</v>
      </c>
      <c r="C77" s="429" t="s">
        <v>148</v>
      </c>
      <c r="D77" s="391">
        <v>426430973.39999998</v>
      </c>
      <c r="E77" s="204">
        <f t="shared" si="9"/>
        <v>1.2603262478663637E-3</v>
      </c>
      <c r="F77" s="392">
        <v>1.2234</v>
      </c>
      <c r="G77" s="392">
        <v>1.2234</v>
      </c>
      <c r="H77" s="399">
        <v>-9.7599999999999998E-4</v>
      </c>
      <c r="I77" s="348">
        <v>430345693.22000003</v>
      </c>
      <c r="J77" s="204">
        <f t="shared" si="14"/>
        <v>1.2748816208362436E-3</v>
      </c>
      <c r="K77" s="350">
        <v>1.2306999999999999</v>
      </c>
      <c r="L77" s="350">
        <v>1.2306999999999999</v>
      </c>
      <c r="M77" s="351">
        <v>5.3880000000000004E-3</v>
      </c>
      <c r="N77" s="83">
        <v>-8.3999999999999995E-5</v>
      </c>
      <c r="O77" s="83">
        <f t="shared" si="13"/>
        <v>5.9669772764425876E-3</v>
      </c>
      <c r="P77" s="241">
        <f t="shared" si="11"/>
        <v>6.3640000000000007E-3</v>
      </c>
      <c r="Q77" s="120"/>
      <c r="R77" s="154"/>
      <c r="S77" s="183"/>
      <c r="T77" s="473"/>
    </row>
    <row r="78" spans="1:21" s="122" customFormat="1" ht="12.95" customHeight="1">
      <c r="A78" s="427">
        <v>67</v>
      </c>
      <c r="B78" s="428" t="s">
        <v>7</v>
      </c>
      <c r="C78" s="429" t="s">
        <v>154</v>
      </c>
      <c r="D78" s="391">
        <v>1003134841.78</v>
      </c>
      <c r="E78" s="204">
        <f t="shared" si="9"/>
        <v>2.9647873867236444E-3</v>
      </c>
      <c r="F78" s="392">
        <v>1.1192</v>
      </c>
      <c r="G78" s="392">
        <v>1.1192</v>
      </c>
      <c r="H78" s="399">
        <v>5.1299999999999998E-2</v>
      </c>
      <c r="I78" s="391">
        <v>1004149663.9400001</v>
      </c>
      <c r="J78" s="204">
        <f t="shared" si="14"/>
        <v>2.9747525565953577E-3</v>
      </c>
      <c r="K78" s="392">
        <v>1.1204000000000001</v>
      </c>
      <c r="L78" s="392">
        <v>1.1204000000000001</v>
      </c>
      <c r="M78" s="351">
        <v>5.5899999999999998E-2</v>
      </c>
      <c r="N78" s="83">
        <f t="shared" si="12"/>
        <v>1.0116507948217085E-3</v>
      </c>
      <c r="O78" s="83">
        <f t="shared" si="13"/>
        <v>1.0721944245890725E-3</v>
      </c>
      <c r="P78" s="241">
        <f t="shared" si="11"/>
        <v>4.5999999999999999E-3</v>
      </c>
      <c r="Q78" s="120"/>
      <c r="R78" s="154"/>
      <c r="S78" s="183"/>
      <c r="T78" s="473"/>
    </row>
    <row r="79" spans="1:21" s="122" customFormat="1" ht="12.95" customHeight="1">
      <c r="A79" s="427">
        <v>68</v>
      </c>
      <c r="B79" s="428" t="s">
        <v>5</v>
      </c>
      <c r="C79" s="429" t="s">
        <v>178</v>
      </c>
      <c r="D79" s="391">
        <v>20037422223.549999</v>
      </c>
      <c r="E79" s="204">
        <f t="shared" si="9"/>
        <v>5.9221048055138448E-2</v>
      </c>
      <c r="F79" s="392">
        <v>116.05</v>
      </c>
      <c r="G79" s="392">
        <v>116.05</v>
      </c>
      <c r="H79" s="399">
        <v>9.1000000000000004E-3</v>
      </c>
      <c r="I79" s="391">
        <v>19937518624.34</v>
      </c>
      <c r="J79" s="204">
        <f t="shared" si="14"/>
        <v>5.9064088382214323E-2</v>
      </c>
      <c r="K79" s="392">
        <v>116.28</v>
      </c>
      <c r="L79" s="392">
        <v>116.28</v>
      </c>
      <c r="M79" s="351">
        <v>1.11E-2</v>
      </c>
      <c r="N79" s="83">
        <f>((I79-D79)/D79)</f>
        <v>-4.9858508791905528E-3</v>
      </c>
      <c r="O79" s="83">
        <f>((L79-G79)/G79)</f>
        <v>1.9819043515726322E-3</v>
      </c>
      <c r="P79" s="241">
        <f t="shared" si="11"/>
        <v>2E-3</v>
      </c>
      <c r="Q79" s="120"/>
      <c r="R79" s="154"/>
      <c r="S79" s="183"/>
      <c r="T79" s="473"/>
    </row>
    <row r="80" spans="1:21" s="122" customFormat="1" ht="12.95" customHeight="1">
      <c r="A80" s="427">
        <v>69</v>
      </c>
      <c r="B80" s="428" t="s">
        <v>157</v>
      </c>
      <c r="C80" s="429" t="s">
        <v>183</v>
      </c>
      <c r="D80" s="391">
        <v>244211454.37</v>
      </c>
      <c r="E80" s="204">
        <f t="shared" si="9"/>
        <v>7.2177239734277194E-4</v>
      </c>
      <c r="F80" s="77">
        <v>1103.78</v>
      </c>
      <c r="G80" s="77">
        <v>1103.78</v>
      </c>
      <c r="H80" s="399">
        <v>-2.01E-2</v>
      </c>
      <c r="I80" s="391">
        <v>244068967.06999999</v>
      </c>
      <c r="J80" s="398">
        <f t="shared" si="14"/>
        <v>7.2304439253435154E-4</v>
      </c>
      <c r="K80" s="77">
        <v>1103.1400000000001</v>
      </c>
      <c r="L80" s="77">
        <v>1103.1400000000001</v>
      </c>
      <c r="M80" s="351">
        <v>0</v>
      </c>
      <c r="N80" s="83">
        <f>((I80-D80)/D80)</f>
        <v>-5.8345870945157303E-4</v>
      </c>
      <c r="O80" s="83">
        <f t="shared" si="13"/>
        <v>-5.7982568990185782E-4</v>
      </c>
      <c r="P80" s="241">
        <f t="shared" si="11"/>
        <v>2.01E-2</v>
      </c>
      <c r="Q80" s="120"/>
      <c r="R80" s="154"/>
      <c r="S80" s="183"/>
      <c r="T80" s="473"/>
    </row>
    <row r="81" spans="1:20" s="122" customFormat="1" ht="12.95" customHeight="1">
      <c r="A81" s="427">
        <v>70</v>
      </c>
      <c r="B81" s="428" t="s">
        <v>193</v>
      </c>
      <c r="C81" s="429" t="s">
        <v>192</v>
      </c>
      <c r="D81" s="391">
        <v>1346391519.6800001</v>
      </c>
      <c r="E81" s="204">
        <f>(D81/$I$87)</f>
        <v>3.9886301406816052E-3</v>
      </c>
      <c r="F81" s="392">
        <v>1.0125999999999999</v>
      </c>
      <c r="G81" s="392">
        <v>1.0125999999999999</v>
      </c>
      <c r="H81" s="399">
        <v>8.5400000000000004E-2</v>
      </c>
      <c r="I81" s="391">
        <v>1311437218.8099999</v>
      </c>
      <c r="J81" s="204">
        <f t="shared" si="14"/>
        <v>3.885079445390779E-3</v>
      </c>
      <c r="K81" s="392">
        <v>1.0125999999999999</v>
      </c>
      <c r="L81" s="392">
        <v>1.0125999999999999</v>
      </c>
      <c r="M81" s="351">
        <v>8.3900000000000002E-2</v>
      </c>
      <c r="N81" s="83">
        <f>((I81-D81)/D81)</f>
        <v>-2.5961468383511353E-2</v>
      </c>
      <c r="O81" s="83">
        <f>((L81-G81)/G81)</f>
        <v>0</v>
      </c>
      <c r="P81" s="241">
        <f>M81-H81</f>
        <v>-1.5000000000000013E-3</v>
      </c>
      <c r="Q81" s="120"/>
      <c r="R81" s="154"/>
      <c r="S81" s="183"/>
      <c r="T81" s="473"/>
    </row>
    <row r="82" spans="1:20" s="122" customFormat="1" ht="12.95" customHeight="1">
      <c r="A82" s="427">
        <v>71</v>
      </c>
      <c r="B82" s="431" t="s">
        <v>12</v>
      </c>
      <c r="C82" s="428" t="s">
        <v>252</v>
      </c>
      <c r="D82" s="391">
        <v>1891581941.0999999</v>
      </c>
      <c r="E82" s="204">
        <f>(D82/$D$87)</f>
        <v>5.5906125939920674E-3</v>
      </c>
      <c r="F82" s="392">
        <v>108.22</v>
      </c>
      <c r="G82" s="392">
        <v>108.22</v>
      </c>
      <c r="H82" s="399">
        <v>9.7299999999999998E-2</v>
      </c>
      <c r="I82" s="391">
        <v>1889307273.45</v>
      </c>
      <c r="J82" s="204">
        <f t="shared" si="14"/>
        <v>5.5969959894598053E-3</v>
      </c>
      <c r="K82" s="350">
        <v>108.45</v>
      </c>
      <c r="L82" s="350">
        <v>108.45</v>
      </c>
      <c r="M82" s="351">
        <v>8.7800000000000003E-2</v>
      </c>
      <c r="N82" s="83">
        <f>((I82-D82)/D82)</f>
        <v>-1.2025213397190099E-3</v>
      </c>
      <c r="O82" s="83">
        <f>((L82-G82)/G82)</f>
        <v>2.1253003141748659E-3</v>
      </c>
      <c r="P82" s="241">
        <f>M82-H82</f>
        <v>-9.4999999999999946E-3</v>
      </c>
      <c r="Q82" s="120"/>
      <c r="R82" s="154"/>
      <c r="S82" s="183"/>
      <c r="T82" s="473"/>
    </row>
    <row r="83" spans="1:20" s="122" customFormat="1" ht="12.95" customHeight="1">
      <c r="A83" s="427">
        <v>72</v>
      </c>
      <c r="B83" s="428" t="s">
        <v>94</v>
      </c>
      <c r="C83" s="429" t="s">
        <v>242</v>
      </c>
      <c r="D83" s="391">
        <v>368789026.88999999</v>
      </c>
      <c r="E83" s="204">
        <f>(D83/$D$87)</f>
        <v>1.0899641900040304E-3</v>
      </c>
      <c r="F83" s="392">
        <v>106.65</v>
      </c>
      <c r="G83" s="392">
        <v>106.65</v>
      </c>
      <c r="H83" s="399">
        <v>0.10001</v>
      </c>
      <c r="I83" s="391">
        <v>370249049.13999999</v>
      </c>
      <c r="J83" s="204">
        <f t="shared" si="14"/>
        <v>1.0968477559257798E-3</v>
      </c>
      <c r="K83" s="392">
        <v>106.82</v>
      </c>
      <c r="L83" s="392">
        <v>106.82</v>
      </c>
      <c r="M83" s="399">
        <v>9.4049999999999995E-2</v>
      </c>
      <c r="N83" s="83">
        <f t="shared" si="12"/>
        <v>3.9589633734831431E-3</v>
      </c>
      <c r="O83" s="83">
        <f t="shared" si="13"/>
        <v>1.5939990623533753E-3</v>
      </c>
      <c r="P83" s="241">
        <f t="shared" si="11"/>
        <v>-5.960000000000007E-3</v>
      </c>
      <c r="Q83" s="120"/>
      <c r="R83" s="154"/>
      <c r="S83" s="183"/>
      <c r="T83" s="473"/>
    </row>
    <row r="84" spans="1:20" s="395" customFormat="1" ht="12.95" customHeight="1">
      <c r="A84" s="427">
        <v>73</v>
      </c>
      <c r="B84" s="428" t="s">
        <v>7</v>
      </c>
      <c r="C84" s="429" t="s">
        <v>246</v>
      </c>
      <c r="D84" s="391">
        <v>868095152.28999996</v>
      </c>
      <c r="E84" s="398">
        <f>(D84/$D$87)</f>
        <v>2.5656745741364467E-3</v>
      </c>
      <c r="F84" s="392">
        <v>1.0430999999999999</v>
      </c>
      <c r="G84" s="392">
        <v>1.0430999999999999</v>
      </c>
      <c r="H84" s="399">
        <v>6.0100000000000001E-2</v>
      </c>
      <c r="I84" s="391">
        <v>860056293.79999995</v>
      </c>
      <c r="J84" s="398">
        <f t="shared" si="14"/>
        <v>2.5478818055456229E-3</v>
      </c>
      <c r="K84" s="392">
        <v>1.0443</v>
      </c>
      <c r="L84" s="392">
        <v>1.0443</v>
      </c>
      <c r="M84" s="399">
        <v>5.5899999999999998E-2</v>
      </c>
      <c r="N84" s="394">
        <f>((I84-D84)/D84)</f>
        <v>-9.2603425658970978E-3</v>
      </c>
      <c r="O84" s="394">
        <f>((L84-G84)/G84)</f>
        <v>1.1504170261720736E-3</v>
      </c>
      <c r="P84" s="401">
        <f>M84-H84</f>
        <v>-4.2000000000000023E-3</v>
      </c>
      <c r="Q84" s="120"/>
      <c r="R84" s="154"/>
      <c r="S84" s="183"/>
      <c r="T84" s="404"/>
    </row>
    <row r="85" spans="1:20" s="395" customFormat="1" ht="12.95" customHeight="1">
      <c r="A85" s="427">
        <v>74</v>
      </c>
      <c r="B85" s="428" t="s">
        <v>258</v>
      </c>
      <c r="C85" s="429" t="s">
        <v>259</v>
      </c>
      <c r="D85" s="391">
        <v>400914957.50999999</v>
      </c>
      <c r="E85" s="398">
        <f>(D85/$D$87)</f>
        <v>1.1849130941014355E-3</v>
      </c>
      <c r="F85" s="77">
        <v>1000</v>
      </c>
      <c r="G85" s="77">
        <v>1000</v>
      </c>
      <c r="H85" s="399">
        <v>0.1699</v>
      </c>
      <c r="I85" s="391">
        <v>411763668.46999997</v>
      </c>
      <c r="J85" s="398">
        <f t="shared" si="14"/>
        <v>1.2198331279503426E-3</v>
      </c>
      <c r="K85" s="77">
        <v>1000</v>
      </c>
      <c r="L85" s="77">
        <v>1000</v>
      </c>
      <c r="M85" s="399">
        <v>0.16619999999999999</v>
      </c>
      <c r="N85" s="394">
        <f>((I85-D85)/D85)</f>
        <v>2.7059880797112391E-2</v>
      </c>
      <c r="O85" s="394">
        <f>((L85-G85)/G85)</f>
        <v>0</v>
      </c>
      <c r="P85" s="401">
        <f>M85-H85</f>
        <v>-3.7000000000000088E-3</v>
      </c>
      <c r="Q85" s="120"/>
      <c r="R85" s="154"/>
      <c r="S85" s="183"/>
      <c r="T85" s="405"/>
    </row>
    <row r="86" spans="1:20" s="122" customFormat="1" ht="12.95" customHeight="1">
      <c r="A86" s="427">
        <v>75</v>
      </c>
      <c r="B86" s="428" t="s">
        <v>267</v>
      </c>
      <c r="C86" s="429" t="s">
        <v>268</v>
      </c>
      <c r="D86" s="391">
        <v>55288822.280000001</v>
      </c>
      <c r="E86" s="204">
        <f>(D86/$D$87)</f>
        <v>1.6340734674481463E-4</v>
      </c>
      <c r="F86" s="77">
        <v>102.95269999999999</v>
      </c>
      <c r="G86" s="77">
        <v>102.95269999999999</v>
      </c>
      <c r="H86" s="399">
        <v>1.8723E-2</v>
      </c>
      <c r="I86" s="391">
        <v>55396984.780000001</v>
      </c>
      <c r="J86" s="204">
        <f t="shared" si="14"/>
        <v>1.6411131529475449E-4</v>
      </c>
      <c r="K86" s="77">
        <v>103.13549999999999</v>
      </c>
      <c r="L86" s="77">
        <v>103.13549999999999</v>
      </c>
      <c r="M86" s="399">
        <v>1.9023000000000002E-2</v>
      </c>
      <c r="N86" s="83">
        <f t="shared" si="12"/>
        <v>1.9563176703643829E-3</v>
      </c>
      <c r="O86" s="83">
        <f t="shared" si="13"/>
        <v>1.7755726658941467E-3</v>
      </c>
      <c r="P86" s="241">
        <f t="shared" si="11"/>
        <v>3.0000000000000165E-4</v>
      </c>
      <c r="Q86" s="120"/>
      <c r="R86" s="154"/>
      <c r="S86" s="183"/>
      <c r="T86" s="317"/>
    </row>
    <row r="87" spans="1:20" s="122" customFormat="1" ht="12.95" customHeight="1">
      <c r="A87" s="228"/>
      <c r="B87" s="117"/>
      <c r="C87" s="265" t="s">
        <v>46</v>
      </c>
      <c r="D87" s="81">
        <f>SUM(D57:D86)</f>
        <v>338349672651.75592</v>
      </c>
      <c r="E87" s="284">
        <f>(D87/$D$167)</f>
        <v>0.22365049934318623</v>
      </c>
      <c r="F87" s="78"/>
      <c r="G87" s="78"/>
      <c r="H87" s="238"/>
      <c r="I87" s="81">
        <f>SUM(I57:I86)</f>
        <v>337557374886.08539</v>
      </c>
      <c r="J87" s="284">
        <f>(I87/$I$167)</f>
        <v>0.22161668316239128</v>
      </c>
      <c r="K87" s="286"/>
      <c r="L87" s="76"/>
      <c r="M87" s="303"/>
      <c r="N87" s="288">
        <f t="shared" si="12"/>
        <v>-2.3416537083102169E-3</v>
      </c>
      <c r="O87" s="288"/>
      <c r="P87" s="289">
        <f t="shared" si="11"/>
        <v>0</v>
      </c>
      <c r="Q87" s="120"/>
      <c r="R87" s="96"/>
      <c r="S87" s="184"/>
      <c r="T87" s="196"/>
    </row>
    <row r="88" spans="1:20" s="122" customFormat="1" ht="5.25" customHeight="1">
      <c r="A88" s="451"/>
      <c r="B88" s="452"/>
      <c r="C88" s="452"/>
      <c r="D88" s="452"/>
      <c r="E88" s="452"/>
      <c r="F88" s="452"/>
      <c r="G88" s="452"/>
      <c r="H88" s="452"/>
      <c r="I88" s="452"/>
      <c r="J88" s="452"/>
      <c r="K88" s="452"/>
      <c r="L88" s="452"/>
      <c r="M88" s="452"/>
      <c r="N88" s="452"/>
      <c r="O88" s="452"/>
      <c r="P88" s="453"/>
      <c r="Q88" s="120"/>
      <c r="R88" s="96"/>
      <c r="S88" s="184"/>
      <c r="T88" s="196"/>
    </row>
    <row r="89" spans="1:20" s="122" customFormat="1" ht="12" customHeight="1">
      <c r="A89" s="448" t="s">
        <v>211</v>
      </c>
      <c r="B89" s="449"/>
      <c r="C89" s="449"/>
      <c r="D89" s="449"/>
      <c r="E89" s="449"/>
      <c r="F89" s="449"/>
      <c r="G89" s="449"/>
      <c r="H89" s="449"/>
      <c r="I89" s="449"/>
      <c r="J89" s="449"/>
      <c r="K89" s="449"/>
      <c r="L89" s="449"/>
      <c r="M89" s="449"/>
      <c r="N89" s="449"/>
      <c r="O89" s="449"/>
      <c r="P89" s="450"/>
      <c r="Q89" s="120"/>
      <c r="R89" s="96"/>
      <c r="S89" s="184"/>
      <c r="T89" s="196"/>
    </row>
    <row r="90" spans="1:20" s="122" customFormat="1" ht="12.95" customHeight="1">
      <c r="A90" s="463" t="s">
        <v>212</v>
      </c>
      <c r="B90" s="464"/>
      <c r="C90" s="464"/>
      <c r="D90" s="464"/>
      <c r="E90" s="464"/>
      <c r="F90" s="464"/>
      <c r="G90" s="464"/>
      <c r="H90" s="464"/>
      <c r="I90" s="464"/>
      <c r="J90" s="464"/>
      <c r="K90" s="464"/>
      <c r="L90" s="464"/>
      <c r="M90" s="464"/>
      <c r="N90" s="464"/>
      <c r="O90" s="464"/>
      <c r="P90" s="465"/>
      <c r="Q90" s="120"/>
      <c r="R90" s="96"/>
      <c r="S90" s="184"/>
      <c r="T90" s="196"/>
    </row>
    <row r="91" spans="1:20" s="122" customFormat="1" ht="12.95" customHeight="1">
      <c r="A91" s="427">
        <v>76</v>
      </c>
      <c r="B91" s="428" t="s">
        <v>201</v>
      </c>
      <c r="C91" s="429" t="s">
        <v>260</v>
      </c>
      <c r="D91" s="391">
        <v>13163655023.09</v>
      </c>
      <c r="E91" s="204">
        <f t="shared" ref="E91:E99" si="15">(D91/$D$111)</f>
        <v>4.131608760929989E-2</v>
      </c>
      <c r="F91" s="391">
        <v>55652.29</v>
      </c>
      <c r="G91" s="391">
        <v>55652.29</v>
      </c>
      <c r="H91" s="399">
        <v>6.8699999999999997E-2</v>
      </c>
      <c r="I91" s="391">
        <v>13156524115.709999</v>
      </c>
      <c r="J91" s="204">
        <f t="shared" ref="J91:J99" si="16">(I91/$I$111)</f>
        <v>4.172072413159901E-2</v>
      </c>
      <c r="K91" s="391">
        <v>55622.14</v>
      </c>
      <c r="L91" s="391">
        <v>55622.14</v>
      </c>
      <c r="M91" s="354">
        <v>6.83E-2</v>
      </c>
      <c r="N91" s="83">
        <f t="shared" ref="N91:N96" si="17">((I91-D91)/D91)</f>
        <v>-5.4171180933357353E-4</v>
      </c>
      <c r="O91" s="83">
        <f t="shared" ref="O91:O97" si="18">((L91-G91)/G91)</f>
        <v>-5.417566824294464E-4</v>
      </c>
      <c r="P91" s="241">
        <f t="shared" ref="P91:P96" si="19">M91-H91</f>
        <v>-3.9999999999999758E-4</v>
      </c>
      <c r="Q91" s="120"/>
      <c r="R91" s="96"/>
      <c r="S91" s="184"/>
      <c r="T91" s="196"/>
    </row>
    <row r="92" spans="1:20" s="122" customFormat="1" ht="12.95" customHeight="1">
      <c r="A92" s="427">
        <v>77</v>
      </c>
      <c r="B92" s="428" t="s">
        <v>45</v>
      </c>
      <c r="C92" s="429" t="s">
        <v>286</v>
      </c>
      <c r="D92" s="391">
        <v>74233890489.979996</v>
      </c>
      <c r="E92" s="204">
        <f t="shared" si="15"/>
        <v>0.23299409758789286</v>
      </c>
      <c r="F92" s="391">
        <v>58208.49</v>
      </c>
      <c r="G92" s="391">
        <v>58208.49</v>
      </c>
      <c r="H92" s="399">
        <v>5.5500000000000001E-2</v>
      </c>
      <c r="I92" s="391">
        <v>73852641480.039993</v>
      </c>
      <c r="J92" s="204">
        <f t="shared" si="16"/>
        <v>0.23419450718745988</v>
      </c>
      <c r="K92" s="391">
        <v>58235.07</v>
      </c>
      <c r="L92" s="391">
        <v>58235.07</v>
      </c>
      <c r="M92" s="399">
        <v>5.5199999999999999E-2</v>
      </c>
      <c r="N92" s="83">
        <f t="shared" si="17"/>
        <v>-5.1357810755110964E-3</v>
      </c>
      <c r="O92" s="83">
        <f t="shared" si="18"/>
        <v>4.5663441879357716E-4</v>
      </c>
      <c r="P92" s="241">
        <f t="shared" si="19"/>
        <v>-3.0000000000000165E-4</v>
      </c>
      <c r="Q92" s="120"/>
      <c r="S92" s="175"/>
      <c r="T92" s="174"/>
    </row>
    <row r="93" spans="1:20" s="122" customFormat="1" ht="12.95" customHeight="1">
      <c r="A93" s="427">
        <v>78</v>
      </c>
      <c r="B93" s="428" t="s">
        <v>142</v>
      </c>
      <c r="C93" s="429" t="s">
        <v>129</v>
      </c>
      <c r="D93" s="391">
        <v>6318388736.75</v>
      </c>
      <c r="E93" s="204">
        <f t="shared" si="15"/>
        <v>1.9831202058947475E-2</v>
      </c>
      <c r="F93" s="391">
        <v>460.52</v>
      </c>
      <c r="G93" s="391">
        <v>460.52</v>
      </c>
      <c r="H93" s="382">
        <v>8.0699999999999994E-2</v>
      </c>
      <c r="I93" s="391">
        <v>6343533464.6800003</v>
      </c>
      <c r="J93" s="204">
        <f t="shared" si="16"/>
        <v>2.0116012966027875E-2</v>
      </c>
      <c r="K93" s="391">
        <v>460.5</v>
      </c>
      <c r="L93" s="391">
        <v>460.5</v>
      </c>
      <c r="M93" s="355">
        <v>7.5899999999999995E-2</v>
      </c>
      <c r="N93" s="83">
        <f t="shared" si="17"/>
        <v>3.9796107801581765E-3</v>
      </c>
      <c r="O93" s="83">
        <f t="shared" si="18"/>
        <v>-4.3429167028536896E-5</v>
      </c>
      <c r="P93" s="241">
        <f t="shared" si="19"/>
        <v>-4.7999999999999987E-3</v>
      </c>
      <c r="Q93" s="120"/>
      <c r="R93">
        <v>461</v>
      </c>
      <c r="S93" s="185"/>
      <c r="T93" s="174"/>
    </row>
    <row r="94" spans="1:20" s="122" customFormat="1" ht="12.95" customHeight="1">
      <c r="A94" s="427">
        <v>79</v>
      </c>
      <c r="B94" s="428" t="s">
        <v>96</v>
      </c>
      <c r="C94" s="429" t="s">
        <v>137</v>
      </c>
      <c r="D94" s="391">
        <f>1673281.9*460.99</f>
        <v>771366223.08099997</v>
      </c>
      <c r="E94" s="204">
        <f t="shared" si="15"/>
        <v>2.4210475278915598E-3</v>
      </c>
      <c r="F94" s="391">
        <f>121.503771*460.99</f>
        <v>56012.023393290001</v>
      </c>
      <c r="G94" s="391">
        <f>124.594756*460.99</f>
        <v>57436.936568440004</v>
      </c>
      <c r="H94" s="399">
        <v>0</v>
      </c>
      <c r="I94" s="391">
        <f>1660839.34*461</f>
        <v>765646935.74000001</v>
      </c>
      <c r="J94" s="204">
        <f t="shared" si="16"/>
        <v>2.4279471011701037E-3</v>
      </c>
      <c r="K94" s="391">
        <f>120.6*461</f>
        <v>55596.6</v>
      </c>
      <c r="L94" s="391">
        <f>124.43*461</f>
        <v>57362.23</v>
      </c>
      <c r="M94" s="354">
        <v>6.7500000000000004E-2</v>
      </c>
      <c r="N94" s="83">
        <f t="shared" si="17"/>
        <v>-7.4144902510196991E-3</v>
      </c>
      <c r="O94" s="394">
        <f t="shared" si="18"/>
        <v>-1.3006711865801281E-3</v>
      </c>
      <c r="P94" s="241">
        <f t="shared" si="19"/>
        <v>6.7500000000000004E-2</v>
      </c>
      <c r="Q94" s="120"/>
      <c r="S94" s="185"/>
      <c r="T94" s="174"/>
    </row>
    <row r="95" spans="1:20" s="122" customFormat="1" ht="12.95" customHeight="1">
      <c r="A95" s="427">
        <v>80</v>
      </c>
      <c r="B95" s="428" t="s">
        <v>62</v>
      </c>
      <c r="C95" s="429" t="s">
        <v>155</v>
      </c>
      <c r="D95" s="391">
        <v>791632314.23000002</v>
      </c>
      <c r="E95" s="204">
        <f t="shared" si="15"/>
        <v>2.4846556668120519E-3</v>
      </c>
      <c r="F95" s="391">
        <f>106.339*460.99</f>
        <v>49021.215609999999</v>
      </c>
      <c r="G95" s="391">
        <f>106.339*460.99</f>
        <v>49021.215609999999</v>
      </c>
      <c r="H95" s="399">
        <v>8.48E-2</v>
      </c>
      <c r="I95" s="391">
        <v>800573217.45000005</v>
      </c>
      <c r="J95" s="204">
        <f t="shared" si="16"/>
        <v>2.5387020202771544E-3</v>
      </c>
      <c r="K95" s="391">
        <f>106.4609*460.5</f>
        <v>49025.244449999998</v>
      </c>
      <c r="L95" s="391">
        <f>106.4609*460.5</f>
        <v>49025.244449999998</v>
      </c>
      <c r="M95" s="354">
        <v>8.48E-2</v>
      </c>
      <c r="N95" s="83">
        <f t="shared" si="17"/>
        <v>1.1294262575292433E-2</v>
      </c>
      <c r="O95" s="83">
        <f t="shared" si="18"/>
        <v>8.2185640438854794E-5</v>
      </c>
      <c r="P95" s="241">
        <f t="shared" si="19"/>
        <v>0</v>
      </c>
      <c r="Q95" s="120"/>
      <c r="R95" s="134"/>
      <c r="S95" s="185"/>
      <c r="T95" s="141"/>
    </row>
    <row r="96" spans="1:20" s="122" customFormat="1" ht="12.95" customHeight="1">
      <c r="A96" s="427">
        <v>81</v>
      </c>
      <c r="B96" s="428" t="s">
        <v>7</v>
      </c>
      <c r="C96" s="429" t="s">
        <v>156</v>
      </c>
      <c r="D96" s="391">
        <f>11182378.13 *461</f>
        <v>5155076317.9300003</v>
      </c>
      <c r="E96" s="204">
        <f t="shared" si="15"/>
        <v>1.6179973146563581E-2</v>
      </c>
      <c r="F96" s="391">
        <f>1.1322*461</f>
        <v>521.94420000000002</v>
      </c>
      <c r="G96" s="391">
        <f>1.1322*461</f>
        <v>521.94420000000002</v>
      </c>
      <c r="H96" s="399">
        <v>4.6100000000000002E-2</v>
      </c>
      <c r="I96" s="391">
        <f>11204270.26 *460.5</f>
        <v>5159566454.7299995</v>
      </c>
      <c r="J96" s="204">
        <f t="shared" si="16"/>
        <v>1.6361528835674998E-2</v>
      </c>
      <c r="K96" s="391">
        <f>1.1335*460.5</f>
        <v>521.97674999999992</v>
      </c>
      <c r="L96" s="391">
        <f>1.1335*460.5</f>
        <v>521.97674999999992</v>
      </c>
      <c r="M96" s="354">
        <v>5.9900000000000002E-2</v>
      </c>
      <c r="N96" s="83">
        <f t="shared" si="17"/>
        <v>8.7101267237925839E-4</v>
      </c>
      <c r="O96" s="83">
        <f t="shared" si="18"/>
        <v>6.2362988227287596E-5</v>
      </c>
      <c r="P96" s="241">
        <f t="shared" si="19"/>
        <v>1.38E-2</v>
      </c>
      <c r="Q96" s="120"/>
      <c r="S96" s="185"/>
      <c r="T96" s="141"/>
    </row>
    <row r="97" spans="1:41" s="395" customFormat="1" ht="12.95" customHeight="1">
      <c r="A97" s="427">
        <v>82</v>
      </c>
      <c r="B97" s="428" t="s">
        <v>184</v>
      </c>
      <c r="C97" s="429" t="s">
        <v>187</v>
      </c>
      <c r="D97" s="391">
        <v>1007824006.0574</v>
      </c>
      <c r="E97" s="398">
        <f t="shared" si="15"/>
        <v>3.1632054209856388E-3</v>
      </c>
      <c r="F97" s="391">
        <v>48600.682298</v>
      </c>
      <c r="G97" s="391">
        <v>48600.682298</v>
      </c>
      <c r="H97" s="399">
        <v>6.1100000000000002E-2</v>
      </c>
      <c r="I97" s="391">
        <v>1006925825.6799999</v>
      </c>
      <c r="J97" s="398">
        <f t="shared" si="16"/>
        <v>3.1930678821174919E-3</v>
      </c>
      <c r="K97" s="391">
        <v>48646.333500000001</v>
      </c>
      <c r="L97" s="391">
        <v>48646.333500000001</v>
      </c>
      <c r="M97" s="399">
        <v>5.1200000000000002E-2</v>
      </c>
      <c r="N97" s="394">
        <f>((I97-D97)/D97)</f>
        <v>-8.9120756402074166E-4</v>
      </c>
      <c r="O97" s="394">
        <f t="shared" si="18"/>
        <v>9.3931195698212545E-4</v>
      </c>
      <c r="P97" s="401">
        <f>M97-H97</f>
        <v>-9.8999999999999991E-3</v>
      </c>
      <c r="Q97" s="120"/>
      <c r="S97" s="397"/>
      <c r="T97" s="396"/>
    </row>
    <row r="98" spans="1:41" s="395" customFormat="1" ht="12.95" customHeight="1">
      <c r="A98" s="427">
        <v>83</v>
      </c>
      <c r="B98" s="428" t="s">
        <v>237</v>
      </c>
      <c r="C98" s="429" t="s">
        <v>257</v>
      </c>
      <c r="D98" s="391">
        <f>79752.44*460.99</f>
        <v>36765077.3156</v>
      </c>
      <c r="E98" s="398">
        <f t="shared" si="15"/>
        <v>1.1539265900463035E-4</v>
      </c>
      <c r="F98" s="391">
        <f>100.92*460.99</f>
        <v>46523.110800000002</v>
      </c>
      <c r="G98" s="391">
        <f>100.92*460.99</f>
        <v>46523.110800000002</v>
      </c>
      <c r="H98" s="399">
        <v>1E-3</v>
      </c>
      <c r="I98" s="391">
        <f>79805.48*461</f>
        <v>36790326.280000001</v>
      </c>
      <c r="J98" s="398">
        <f t="shared" si="16"/>
        <v>1.1666600083274082E-4</v>
      </c>
      <c r="K98" s="391">
        <f>100.99*461</f>
        <v>46556.39</v>
      </c>
      <c r="L98" s="391">
        <f>100.99*461</f>
        <v>46556.39</v>
      </c>
      <c r="M98" s="399">
        <v>1E-3</v>
      </c>
      <c r="N98" s="394">
        <f t="shared" ref="N98:N99" si="20">((I98-D98)/D98)</f>
        <v>6.8676489330507507E-4</v>
      </c>
      <c r="O98" s="394">
        <f t="shared" ref="O98:O99" si="21">((L98-G98)/G98)</f>
        <v>7.1532619869428885E-4</v>
      </c>
      <c r="P98" s="401">
        <f t="shared" ref="P98:P99" si="22">M98-H98</f>
        <v>0</v>
      </c>
      <c r="Q98" s="120"/>
      <c r="S98" s="397"/>
      <c r="T98" s="396"/>
    </row>
    <row r="99" spans="1:41" s="395" customFormat="1" ht="12.95" customHeight="1">
      <c r="A99" s="427">
        <v>84</v>
      </c>
      <c r="B99" s="428" t="s">
        <v>188</v>
      </c>
      <c r="C99" s="429" t="s">
        <v>274</v>
      </c>
      <c r="D99" s="391">
        <f>987259.97*460.99</f>
        <v>455116973.57029998</v>
      </c>
      <c r="E99" s="398">
        <f t="shared" si="15"/>
        <v>1.428452258854169E-3</v>
      </c>
      <c r="F99" s="391">
        <f>101.24*460.99</f>
        <v>46670.6276</v>
      </c>
      <c r="G99" s="391">
        <f>101.24*460.99</f>
        <v>46670.6276</v>
      </c>
      <c r="H99" s="399">
        <v>0.10059999999999999</v>
      </c>
      <c r="I99" s="391">
        <f>973055.3*461</f>
        <v>448578493.30000001</v>
      </c>
      <c r="J99" s="398">
        <f t="shared" si="16"/>
        <v>1.4224896641195925E-3</v>
      </c>
      <c r="K99" s="391">
        <f>101.45*461</f>
        <v>46768.450000000004</v>
      </c>
      <c r="L99" s="391">
        <f>101.45*461</f>
        <v>46768.450000000004</v>
      </c>
      <c r="M99" s="399">
        <v>0.10150000000000001</v>
      </c>
      <c r="N99" s="394">
        <f t="shared" si="20"/>
        <v>-1.4366592876127921E-2</v>
      </c>
      <c r="O99" s="394">
        <f t="shared" si="21"/>
        <v>2.0960163818325118E-3</v>
      </c>
      <c r="P99" s="401">
        <f t="shared" si="22"/>
        <v>9.000000000000119E-4</v>
      </c>
      <c r="Q99" s="120"/>
      <c r="S99" s="397"/>
      <c r="T99" s="396"/>
    </row>
    <row r="100" spans="1:41" s="122" customFormat="1" ht="4.5" customHeight="1">
      <c r="A100" s="451"/>
      <c r="B100" s="452"/>
      <c r="C100" s="452"/>
      <c r="D100" s="452"/>
      <c r="E100" s="452"/>
      <c r="F100" s="452"/>
      <c r="G100" s="452"/>
      <c r="H100" s="452"/>
      <c r="I100" s="452"/>
      <c r="J100" s="452"/>
      <c r="K100" s="452"/>
      <c r="L100" s="452"/>
      <c r="M100" s="452"/>
      <c r="N100" s="452"/>
      <c r="O100" s="452"/>
      <c r="P100" s="453"/>
      <c r="Q100" s="120"/>
      <c r="S100" s="186"/>
      <c r="T100" s="141"/>
    </row>
    <row r="101" spans="1:41" s="122" customFormat="1" ht="12.95" customHeight="1">
      <c r="A101" s="463" t="s">
        <v>213</v>
      </c>
      <c r="B101" s="464"/>
      <c r="C101" s="464"/>
      <c r="D101" s="464"/>
      <c r="E101" s="464"/>
      <c r="F101" s="464"/>
      <c r="G101" s="464"/>
      <c r="H101" s="464"/>
      <c r="I101" s="464"/>
      <c r="J101" s="464"/>
      <c r="K101" s="464"/>
      <c r="L101" s="464"/>
      <c r="M101" s="464"/>
      <c r="N101" s="464"/>
      <c r="O101" s="464"/>
      <c r="P101" s="465"/>
      <c r="Q101" s="120"/>
      <c r="R101" s="187"/>
      <c r="S101" s="186"/>
      <c r="T101" s="141"/>
      <c r="AE101" s="122">
        <v>136.96</v>
      </c>
      <c r="AO101" s="131">
        <v>185280902</v>
      </c>
    </row>
    <row r="102" spans="1:41" s="122" customFormat="1" ht="12.95" customHeight="1">
      <c r="A102" s="427">
        <v>85</v>
      </c>
      <c r="B102" s="428" t="s">
        <v>5</v>
      </c>
      <c r="C102" s="429" t="s">
        <v>99</v>
      </c>
      <c r="D102" s="391">
        <v>197230770544.98999</v>
      </c>
      <c r="E102" s="204">
        <f t="shared" ref="E102:E108" si="23">(D102/$D$111)</f>
        <v>0.61903808484747902</v>
      </c>
      <c r="F102" s="390">
        <v>634.65</v>
      </c>
      <c r="G102" s="390">
        <v>634.65</v>
      </c>
      <c r="H102" s="399">
        <v>7.6E-3</v>
      </c>
      <c r="I102" s="391">
        <v>193651807461.64001</v>
      </c>
      <c r="J102" s="204">
        <f>(I102/$I$111)</f>
        <v>0.61409028445782665</v>
      </c>
      <c r="K102" s="390">
        <v>635.14</v>
      </c>
      <c r="L102" s="390">
        <v>635.14</v>
      </c>
      <c r="M102" s="357">
        <v>8.8999999999999999E-3</v>
      </c>
      <c r="N102" s="83">
        <f t="shared" ref="N102:N111" si="24">((I102-D102)/D102)</f>
        <v>-1.8146068554417496E-2</v>
      </c>
      <c r="O102" s="83">
        <f t="shared" ref="O102:O107" si="25">((L102-G102)/G102)</f>
        <v>7.7207909871584198E-4</v>
      </c>
      <c r="P102" s="241">
        <f t="shared" ref="P102:P111" si="26">M102-H102</f>
        <v>1.2999999999999999E-3</v>
      </c>
      <c r="Q102" s="120"/>
      <c r="R102"/>
      <c r="S102" s="467"/>
      <c r="T102" s="141"/>
    </row>
    <row r="103" spans="1:41" s="122" customFormat="1" ht="12.95" customHeight="1">
      <c r="A103" s="427">
        <v>86</v>
      </c>
      <c r="B103" s="428" t="s">
        <v>264</v>
      </c>
      <c r="C103" s="429" t="s">
        <v>133</v>
      </c>
      <c r="D103" s="390">
        <v>4183159164.9699998</v>
      </c>
      <c r="E103" s="204">
        <f t="shared" si="23"/>
        <v>1.3129466720328579E-2</v>
      </c>
      <c r="F103" s="390">
        <v>459.99</v>
      </c>
      <c r="G103" s="390">
        <v>459.99</v>
      </c>
      <c r="H103" s="399">
        <v>6.9999999999999999E-4</v>
      </c>
      <c r="I103" s="390">
        <v>4164052459</v>
      </c>
      <c r="J103" s="204">
        <f>(I103/$I$111)</f>
        <v>1.3204649068670081E-2</v>
      </c>
      <c r="K103" s="390">
        <v>460.47</v>
      </c>
      <c r="L103" s="390">
        <v>460.47</v>
      </c>
      <c r="M103" s="357">
        <v>4.4999999999999997E-3</v>
      </c>
      <c r="N103" s="83">
        <f t="shared" si="24"/>
        <v>-4.5675302364778219E-3</v>
      </c>
      <c r="O103" s="83">
        <f t="shared" si="25"/>
        <v>1.0435009456727716E-3</v>
      </c>
      <c r="P103" s="241">
        <f t="shared" si="26"/>
        <v>3.7999999999999996E-3</v>
      </c>
      <c r="Q103" s="120"/>
      <c r="S103" s="467"/>
      <c r="T103" s="142"/>
    </row>
    <row r="104" spans="1:41" s="122" customFormat="1" ht="12.75" customHeight="1">
      <c r="A104" s="427">
        <v>87</v>
      </c>
      <c r="B104" s="428" t="s">
        <v>94</v>
      </c>
      <c r="C104" s="429" t="s">
        <v>152</v>
      </c>
      <c r="D104" s="390">
        <v>6232916362.9099998</v>
      </c>
      <c r="E104" s="204">
        <f t="shared" si="23"/>
        <v>1.9562934311156001E-2</v>
      </c>
      <c r="F104" s="390">
        <v>53784.13</v>
      </c>
      <c r="G104" s="390">
        <v>53784.13</v>
      </c>
      <c r="H104" s="399">
        <v>5.5390000000000002E-2</v>
      </c>
      <c r="I104" s="390">
        <v>6336330775.5600004</v>
      </c>
      <c r="J104" s="204">
        <f>(I104/$I$111)</f>
        <v>2.0093172479958888E-2</v>
      </c>
      <c r="K104" s="390">
        <v>54378.2</v>
      </c>
      <c r="L104" s="390">
        <v>54378.2</v>
      </c>
      <c r="M104" s="399">
        <v>5.7549999999999997E-2</v>
      </c>
      <c r="N104" s="83">
        <f t="shared" si="24"/>
        <v>1.6591657360491011E-2</v>
      </c>
      <c r="O104" s="83">
        <f t="shared" si="25"/>
        <v>1.1045451511440266E-2</v>
      </c>
      <c r="P104" s="241">
        <f t="shared" si="26"/>
        <v>2.1599999999999953E-3</v>
      </c>
      <c r="Q104" s="120"/>
      <c r="R104" s="188"/>
      <c r="S104" s="189"/>
      <c r="T104" s="190"/>
      <c r="U104" s="197"/>
      <c r="V104" s="195"/>
      <c r="W104" s="152"/>
    </row>
    <row r="105" spans="1:41" s="122" customFormat="1" ht="12.95" customHeight="1" thickBot="1">
      <c r="A105" s="427">
        <v>88</v>
      </c>
      <c r="B105" s="428" t="s">
        <v>157</v>
      </c>
      <c r="C105" s="429" t="s">
        <v>158</v>
      </c>
      <c r="D105" s="390">
        <v>371544378.24000001</v>
      </c>
      <c r="E105" s="204">
        <f t="shared" si="23"/>
        <v>1.1661472482513676E-3</v>
      </c>
      <c r="F105" s="391">
        <v>44352.58</v>
      </c>
      <c r="G105" s="391">
        <v>44352.58</v>
      </c>
      <c r="H105" s="399">
        <v>1.32E-2</v>
      </c>
      <c r="I105" s="390">
        <v>373117340.68000001</v>
      </c>
      <c r="J105" s="204">
        <f>(I105/$I$87)</f>
        <v>1.1053449530051445E-3</v>
      </c>
      <c r="K105" s="391">
        <v>44541.3</v>
      </c>
      <c r="L105" s="391">
        <v>44541.3</v>
      </c>
      <c r="M105" s="357">
        <v>0</v>
      </c>
      <c r="N105" s="83">
        <f t="shared" si="24"/>
        <v>4.2335788996488025E-3</v>
      </c>
      <c r="O105" s="83">
        <f t="shared" si="25"/>
        <v>4.2549948616292703E-3</v>
      </c>
      <c r="P105" s="241">
        <f t="shared" si="26"/>
        <v>-1.32E-2</v>
      </c>
      <c r="Q105" s="120"/>
      <c r="R105" s="177"/>
      <c r="S105" s="171"/>
      <c r="T105" s="190"/>
      <c r="U105" s="197"/>
      <c r="V105" s="195"/>
      <c r="W105" s="153"/>
    </row>
    <row r="106" spans="1:41" s="122" customFormat="1" ht="12.75" customHeight="1">
      <c r="A106" s="427">
        <v>89</v>
      </c>
      <c r="B106" s="428" t="s">
        <v>9</v>
      </c>
      <c r="C106" s="429" t="s">
        <v>163</v>
      </c>
      <c r="D106" s="390">
        <v>1867520833.8013735</v>
      </c>
      <c r="E106" s="204">
        <f t="shared" si="23"/>
        <v>5.8614916788831432E-3</v>
      </c>
      <c r="F106" s="390">
        <v>525.0532684556332</v>
      </c>
      <c r="G106" s="390">
        <v>525.0532684556332</v>
      </c>
      <c r="H106" s="399">
        <v>5.8234313097560178E-2</v>
      </c>
      <c r="I106" s="390">
        <v>1869655734.7986135</v>
      </c>
      <c r="J106" s="204">
        <f>(I106/$I$111)</f>
        <v>5.9288753204543116E-3</v>
      </c>
      <c r="K106" s="356">
        <v>525.65349562640313</v>
      </c>
      <c r="L106" s="390">
        <v>525.65349562640313</v>
      </c>
      <c r="M106" s="357">
        <v>5.3949547340802678E-2</v>
      </c>
      <c r="N106" s="83">
        <f t="shared" si="24"/>
        <v>1.1431738584112261E-3</v>
      </c>
      <c r="O106" s="83">
        <f t="shared" si="25"/>
        <v>1.1431738584075598E-3</v>
      </c>
      <c r="P106" s="241">
        <f t="shared" si="26"/>
        <v>-4.2847657567574998E-3</v>
      </c>
      <c r="Q106" s="120"/>
      <c r="S106" s="195"/>
      <c r="T106" s="195"/>
      <c r="U106" s="195"/>
      <c r="V106" s="197"/>
    </row>
    <row r="107" spans="1:41" s="122" customFormat="1" ht="12.75" customHeight="1">
      <c r="A107" s="427">
        <v>90</v>
      </c>
      <c r="B107" s="428" t="s">
        <v>171</v>
      </c>
      <c r="C107" s="429" t="s">
        <v>173</v>
      </c>
      <c r="D107" s="390">
        <v>100568783.12800001</v>
      </c>
      <c r="E107" s="204">
        <f t="shared" si="23"/>
        <v>3.1565007189787101E-4</v>
      </c>
      <c r="F107" s="390">
        <v>392.02</v>
      </c>
      <c r="G107" s="390">
        <v>392.02</v>
      </c>
      <c r="H107" s="399">
        <v>-1.5604E-2</v>
      </c>
      <c r="I107" s="390">
        <v>101081798.20999999</v>
      </c>
      <c r="J107" s="204">
        <f>(I107/$I$111)</f>
        <v>3.205410320199747E-4</v>
      </c>
      <c r="K107" s="390">
        <v>396.68</v>
      </c>
      <c r="L107" s="390">
        <v>396.68</v>
      </c>
      <c r="M107" s="399">
        <v>4.9919999999999999E-3</v>
      </c>
      <c r="N107" s="83">
        <f t="shared" si="24"/>
        <v>5.1011364167252759E-3</v>
      </c>
      <c r="O107" s="83">
        <f t="shared" si="25"/>
        <v>1.1887148614866653E-2</v>
      </c>
      <c r="P107" s="241">
        <f t="shared" si="26"/>
        <v>2.0596E-2</v>
      </c>
      <c r="Q107" s="120"/>
      <c r="S107" s="195"/>
      <c r="T107" s="195"/>
      <c r="U107" s="195"/>
      <c r="V107" s="197"/>
    </row>
    <row r="108" spans="1:41" s="122" customFormat="1" ht="12.75" customHeight="1">
      <c r="A108" s="427">
        <v>91</v>
      </c>
      <c r="B108" s="431" t="s">
        <v>12</v>
      </c>
      <c r="C108" s="428" t="s">
        <v>208</v>
      </c>
      <c r="D108" s="391">
        <v>4201185579.1900001</v>
      </c>
      <c r="E108" s="204">
        <f t="shared" si="23"/>
        <v>1.3186045300357352E-2</v>
      </c>
      <c r="F108" s="390">
        <f>1.0597*460.99</f>
        <v>488.51110300000005</v>
      </c>
      <c r="G108" s="390">
        <f>1.0597*460.99</f>
        <v>488.51110300000005</v>
      </c>
      <c r="H108" s="399">
        <v>7.2300000000000003E-2</v>
      </c>
      <c r="I108" s="391">
        <v>4232150206.4499998</v>
      </c>
      <c r="J108" s="204">
        <f>(I108/$I$111)</f>
        <v>1.3420594200557329E-2</v>
      </c>
      <c r="K108" s="390">
        <f>1.0612*461</f>
        <v>489.21319999999997</v>
      </c>
      <c r="L108" s="390">
        <f>1.0612*461</f>
        <v>489.21319999999997</v>
      </c>
      <c r="M108" s="357">
        <v>7.1800000000000003E-2</v>
      </c>
      <c r="N108" s="83">
        <f t="shared" si="24"/>
        <v>7.3704497638425711E-3</v>
      </c>
      <c r="O108" s="83">
        <f>((L108-G108)/G108)</f>
        <v>1.4372181014684609E-3</v>
      </c>
      <c r="P108" s="241">
        <f t="shared" si="26"/>
        <v>-5.0000000000000044E-4</v>
      </c>
      <c r="Q108" s="120"/>
      <c r="R108"/>
      <c r="S108" s="318"/>
      <c r="T108" s="318"/>
      <c r="U108" s="318"/>
      <c r="V108" s="319"/>
    </row>
    <row r="109" spans="1:41" s="395" customFormat="1" ht="12.75" customHeight="1">
      <c r="A109" s="427">
        <v>92</v>
      </c>
      <c r="B109" s="428" t="s">
        <v>86</v>
      </c>
      <c r="C109" s="428" t="s">
        <v>247</v>
      </c>
      <c r="D109" s="391">
        <f>6110908.44 *406.99</f>
        <v>2487078625.9956002</v>
      </c>
      <c r="E109" s="398">
        <f>(D109/$I$111)</f>
        <v>7.886788359613716E-3</v>
      </c>
      <c r="F109" s="390">
        <f>124.45 *406.99</f>
        <v>50649.905500000001</v>
      </c>
      <c r="G109" s="390">
        <f>125.33*460.99</f>
        <v>57775.876700000001</v>
      </c>
      <c r="H109" s="399">
        <v>4.4999999999999997E-3</v>
      </c>
      <c r="I109" s="391">
        <f>6100500.77800758*461</f>
        <v>2812330858.6614943</v>
      </c>
      <c r="J109" s="398">
        <f t="shared" ref="J109" si="27">(I109/$I$111)</f>
        <v>8.91819745770802E-3</v>
      </c>
      <c r="K109" s="390">
        <f>124.56 *461</f>
        <v>57422.16</v>
      </c>
      <c r="L109" s="390">
        <f>125.44*461</f>
        <v>57827.839999999997</v>
      </c>
      <c r="M109" s="399">
        <v>5.4000000000000003E-3</v>
      </c>
      <c r="N109" s="394">
        <f t="shared" ref="N109:N110" si="28">((I109-D109)/D109)</f>
        <v>0.13077681954493603</v>
      </c>
      <c r="O109" s="394">
        <f>((L109-G109)/G109)</f>
        <v>8.9939440070834614E-4</v>
      </c>
      <c r="P109" s="401">
        <f t="shared" ref="P109:P110" si="29">M109-H109</f>
        <v>9.0000000000000063E-4</v>
      </c>
      <c r="Q109" s="120"/>
      <c r="R109" s="437"/>
      <c r="S109" s="436"/>
      <c r="T109" s="436"/>
      <c r="U109" s="436"/>
      <c r="V109" s="435"/>
    </row>
    <row r="110" spans="1:41" s="122" customFormat="1" ht="12.95" customHeight="1">
      <c r="A110" s="427">
        <v>93</v>
      </c>
      <c r="B110" s="428" t="s">
        <v>45</v>
      </c>
      <c r="C110" s="429" t="s">
        <v>287</v>
      </c>
      <c r="D110" s="391">
        <v>0</v>
      </c>
      <c r="E110" s="398">
        <f>(D110/$D$111)</f>
        <v>0</v>
      </c>
      <c r="F110" s="391">
        <v>0</v>
      </c>
      <c r="G110" s="391">
        <v>0</v>
      </c>
      <c r="H110" s="399">
        <v>0</v>
      </c>
      <c r="I110" s="391">
        <v>236146614.53</v>
      </c>
      <c r="J110" s="398">
        <f>(I110/$I$111)</f>
        <v>7.4884579488991424E-4</v>
      </c>
      <c r="K110" s="391">
        <v>464.57</v>
      </c>
      <c r="L110" s="391">
        <v>464.57</v>
      </c>
      <c r="M110" s="399">
        <v>6.13E-2</v>
      </c>
      <c r="N110" s="394" t="e">
        <f t="shared" si="28"/>
        <v>#DIV/0!</v>
      </c>
      <c r="O110" s="394" t="e">
        <f t="shared" ref="O110" si="30">((L110-G110)/G110)</f>
        <v>#DIV/0!</v>
      </c>
      <c r="P110" s="401">
        <f t="shared" si="29"/>
        <v>6.13E-2</v>
      </c>
      <c r="Q110" s="120"/>
      <c r="S110" s="195"/>
      <c r="T110" s="195"/>
      <c r="U110" s="195"/>
      <c r="V110" s="197"/>
    </row>
    <row r="111" spans="1:41" s="122" customFormat="1" ht="13.5" customHeight="1">
      <c r="A111" s="228"/>
      <c r="B111" s="117"/>
      <c r="C111" s="311" t="s">
        <v>46</v>
      </c>
      <c r="D111" s="81">
        <f>SUM(D91:D110)</f>
        <v>318608459435.22919</v>
      </c>
      <c r="E111" s="284">
        <f>(D111/$D$167)</f>
        <v>0.21060147772329316</v>
      </c>
      <c r="F111" s="286"/>
      <c r="G111" s="76"/>
      <c r="H111" s="300"/>
      <c r="I111" s="81">
        <f>SUM(I91:I110)</f>
        <v>315347453563.14014</v>
      </c>
      <c r="J111" s="284">
        <f>(I111/$I$167)</f>
        <v>0.20703519431608822</v>
      </c>
      <c r="K111" s="286"/>
      <c r="L111" s="76"/>
      <c r="M111" s="302"/>
      <c r="N111" s="288">
        <f t="shared" si="24"/>
        <v>-1.0235151564618105E-2</v>
      </c>
      <c r="O111" s="288"/>
      <c r="P111" s="289">
        <f t="shared" si="26"/>
        <v>0</v>
      </c>
      <c r="Q111" s="120"/>
      <c r="S111" s="195"/>
      <c r="T111" s="195"/>
      <c r="U111" s="195"/>
      <c r="V111" s="195"/>
    </row>
    <row r="112" spans="1:41" s="122" customFormat="1" ht="4.5" customHeight="1">
      <c r="A112" s="451"/>
      <c r="B112" s="452"/>
      <c r="C112" s="452"/>
      <c r="D112" s="452"/>
      <c r="E112" s="452"/>
      <c r="F112" s="452"/>
      <c r="G112" s="452"/>
      <c r="H112" s="452"/>
      <c r="I112" s="452"/>
      <c r="J112" s="452"/>
      <c r="K112" s="452"/>
      <c r="L112" s="452"/>
      <c r="M112" s="452"/>
      <c r="N112" s="452"/>
      <c r="O112" s="452"/>
      <c r="P112" s="453"/>
      <c r="Q112" s="120"/>
      <c r="R112" s="128"/>
      <c r="S112" s="143"/>
    </row>
    <row r="113" spans="1:21" s="122" customFormat="1" ht="12.95" customHeight="1">
      <c r="A113" s="482" t="s">
        <v>230</v>
      </c>
      <c r="B113" s="483"/>
      <c r="C113" s="483"/>
      <c r="D113" s="483"/>
      <c r="E113" s="483"/>
      <c r="F113" s="483"/>
      <c r="G113" s="483"/>
      <c r="H113" s="483"/>
      <c r="I113" s="483"/>
      <c r="J113" s="483"/>
      <c r="K113" s="483"/>
      <c r="L113" s="483"/>
      <c r="M113" s="483"/>
      <c r="N113" s="483"/>
      <c r="O113" s="483"/>
      <c r="P113" s="484"/>
      <c r="Q113" s="120"/>
    </row>
    <row r="114" spans="1:21" s="122" customFormat="1" ht="12.95" customHeight="1">
      <c r="A114" s="427">
        <v>94</v>
      </c>
      <c r="B114" s="428" t="s">
        <v>24</v>
      </c>
      <c r="C114" s="429" t="s">
        <v>150</v>
      </c>
      <c r="D114" s="391">
        <v>2300602399.3400002</v>
      </c>
      <c r="E114" s="204">
        <f>(D114/$D$118)</f>
        <v>4.9654069262738694E-2</v>
      </c>
      <c r="F114" s="392">
        <v>77</v>
      </c>
      <c r="G114" s="392">
        <v>77</v>
      </c>
      <c r="H114" s="399">
        <v>9.8799999999999999E-2</v>
      </c>
      <c r="I114" s="391">
        <v>2305749540.5599999</v>
      </c>
      <c r="J114" s="204">
        <f>(I114/$I$118)</f>
        <v>4.9733298519991351E-2</v>
      </c>
      <c r="K114" s="359">
        <v>77</v>
      </c>
      <c r="L114" s="359">
        <v>77</v>
      </c>
      <c r="M114" s="360">
        <v>0.12039999999999999</v>
      </c>
      <c r="N114" s="83">
        <f>((I114-D114)/D114)</f>
        <v>2.2373015091509984E-3</v>
      </c>
      <c r="O114" s="83">
        <f>((L114-G114)/G114)</f>
        <v>0</v>
      </c>
      <c r="P114" s="241">
        <f>M114-H114</f>
        <v>2.1599999999999994E-2</v>
      </c>
      <c r="Q114" s="120"/>
    </row>
    <row r="115" spans="1:21" s="122" customFormat="1" ht="12.95" customHeight="1">
      <c r="A115" s="427">
        <v>95</v>
      </c>
      <c r="B115" s="428" t="s">
        <v>24</v>
      </c>
      <c r="C115" s="429" t="s">
        <v>25</v>
      </c>
      <c r="D115" s="391">
        <v>10055995878.450001</v>
      </c>
      <c r="E115" s="204">
        <f>(D115/$D$118)</f>
        <v>0.21703929196875441</v>
      </c>
      <c r="F115" s="392">
        <v>36.6</v>
      </c>
      <c r="G115" s="392">
        <v>36.6</v>
      </c>
      <c r="H115" s="399">
        <v>0.1096</v>
      </c>
      <c r="I115" s="391">
        <v>10059201427.91</v>
      </c>
      <c r="J115" s="204">
        <f>(I115/$I$118)</f>
        <v>0.21696947508247941</v>
      </c>
      <c r="K115" s="359">
        <v>36.6</v>
      </c>
      <c r="L115" s="359">
        <v>36.6</v>
      </c>
      <c r="M115" s="360">
        <v>0.11219999999999999</v>
      </c>
      <c r="N115" s="83">
        <f>((I115-D115)/D115)</f>
        <v>3.1876996557532179E-4</v>
      </c>
      <c r="O115" s="83">
        <f>((L115-G115)/G115)</f>
        <v>0</v>
      </c>
      <c r="P115" s="241">
        <f>M115-H115</f>
        <v>2.5999999999999912E-3</v>
      </c>
      <c r="Q115" s="120"/>
      <c r="R115" s="144"/>
      <c r="S115" s="176"/>
    </row>
    <row r="116" spans="1:21" s="122" customFormat="1" ht="12.95" customHeight="1">
      <c r="A116" s="427">
        <v>96</v>
      </c>
      <c r="B116" s="428" t="s">
        <v>5</v>
      </c>
      <c r="C116" s="429" t="s">
        <v>198</v>
      </c>
      <c r="D116" s="391">
        <v>26464194970.98</v>
      </c>
      <c r="E116" s="204">
        <f>(D116/$D$118)</f>
        <v>0.57117864888284908</v>
      </c>
      <c r="F116" s="392">
        <v>9.92</v>
      </c>
      <c r="G116" s="392">
        <v>9.92</v>
      </c>
      <c r="H116" s="399">
        <v>8.3299999999999999E-2</v>
      </c>
      <c r="I116" s="391">
        <v>26485525477.450001</v>
      </c>
      <c r="J116" s="204">
        <f>(I116/$I$118)</f>
        <v>0.57127303805466423</v>
      </c>
      <c r="K116" s="359">
        <v>3.1</v>
      </c>
      <c r="L116" s="359">
        <v>3.1</v>
      </c>
      <c r="M116" s="360">
        <v>3.3300000000000003E-2</v>
      </c>
      <c r="N116" s="83">
        <f>((I116-D116)/D116)</f>
        <v>8.0601380443998929E-4</v>
      </c>
      <c r="O116" s="83">
        <f>((L116-G116)/G116)</f>
        <v>-0.6875</v>
      </c>
      <c r="P116" s="241">
        <f>M116-H116</f>
        <v>-4.9999999999999996E-2</v>
      </c>
      <c r="Q116" s="120"/>
      <c r="R116" s="145"/>
      <c r="S116" s="123"/>
    </row>
    <row r="117" spans="1:21" s="146" customFormat="1" ht="12.95" customHeight="1">
      <c r="A117" s="427">
        <v>97</v>
      </c>
      <c r="B117" s="428" t="s">
        <v>12</v>
      </c>
      <c r="C117" s="429" t="s">
        <v>244</v>
      </c>
      <c r="D117" s="391">
        <v>7511812185.1700001</v>
      </c>
      <c r="E117" s="204">
        <f>(D117/$D$118)</f>
        <v>0.16212798988565782</v>
      </c>
      <c r="F117" s="392">
        <v>101.31</v>
      </c>
      <c r="G117" s="392">
        <v>101.31</v>
      </c>
      <c r="H117" s="399">
        <v>7.6999999999999999E-2</v>
      </c>
      <c r="I117" s="358">
        <v>7511812185.1700001</v>
      </c>
      <c r="J117" s="204">
        <f>(I117/$I$118)</f>
        <v>0.16202418834286511</v>
      </c>
      <c r="K117" s="359">
        <v>101.31</v>
      </c>
      <c r="L117" s="359">
        <v>101.31</v>
      </c>
      <c r="M117" s="360">
        <v>7.6999999999999999E-2</v>
      </c>
      <c r="N117" s="83">
        <f>((I117-D117)/D117)</f>
        <v>0</v>
      </c>
      <c r="O117" s="83">
        <f>((L117-G117)/G117)</f>
        <v>0</v>
      </c>
      <c r="P117" s="241">
        <f>M117-H117</f>
        <v>0</v>
      </c>
      <c r="Q117" s="120"/>
      <c r="R117" s="145"/>
      <c r="S117" s="171"/>
    </row>
    <row r="118" spans="1:21" s="122" customFormat="1" ht="12.75" customHeight="1">
      <c r="A118" s="228"/>
      <c r="B118" s="117"/>
      <c r="C118" s="265" t="s">
        <v>46</v>
      </c>
      <c r="D118" s="72">
        <f>SUM(D114:D117)</f>
        <v>46332605433.940002</v>
      </c>
      <c r="E118" s="284">
        <f>(D118/$D$167)</f>
        <v>3.0626039209551245E-2</v>
      </c>
      <c r="F118" s="74"/>
      <c r="G118" s="74"/>
      <c r="H118" s="267"/>
      <c r="I118" s="72">
        <f>SUM(I114:I117)</f>
        <v>46362288631.089996</v>
      </c>
      <c r="J118" s="284">
        <f>(I118/$I$167)</f>
        <v>3.0438252559900278E-2</v>
      </c>
      <c r="K118" s="286"/>
      <c r="L118" s="74"/>
      <c r="M118" s="287"/>
      <c r="N118" s="288">
        <f>((I118-D118)/D118)</f>
        <v>6.4065460752720969E-4</v>
      </c>
      <c r="O118" s="288"/>
      <c r="P118" s="289">
        <f>M118-H118</f>
        <v>0</v>
      </c>
      <c r="Q118" s="120"/>
      <c r="R118" s="171"/>
      <c r="S118" s="171"/>
      <c r="T118" s="191"/>
      <c r="U118" s="472"/>
    </row>
    <row r="119" spans="1:21" s="122" customFormat="1" ht="5.25" customHeight="1">
      <c r="A119" s="451"/>
      <c r="B119" s="452"/>
      <c r="C119" s="452"/>
      <c r="D119" s="452"/>
      <c r="E119" s="452"/>
      <c r="F119" s="452"/>
      <c r="G119" s="452"/>
      <c r="H119" s="452"/>
      <c r="I119" s="452"/>
      <c r="J119" s="452"/>
      <c r="K119" s="452"/>
      <c r="L119" s="452"/>
      <c r="M119" s="452"/>
      <c r="N119" s="452"/>
      <c r="O119" s="452"/>
      <c r="P119" s="453"/>
      <c r="Q119" s="120"/>
      <c r="R119" s="171"/>
      <c r="S119" s="171"/>
      <c r="T119" s="191"/>
      <c r="U119" s="472"/>
    </row>
    <row r="120" spans="1:21" s="122" customFormat="1" ht="12" customHeight="1">
      <c r="A120" s="448" t="s">
        <v>241</v>
      </c>
      <c r="B120" s="449"/>
      <c r="C120" s="449"/>
      <c r="D120" s="449"/>
      <c r="E120" s="449"/>
      <c r="F120" s="449"/>
      <c r="G120" s="449"/>
      <c r="H120" s="449"/>
      <c r="I120" s="449"/>
      <c r="J120" s="449"/>
      <c r="K120" s="449"/>
      <c r="L120" s="449"/>
      <c r="M120" s="449"/>
      <c r="N120" s="449"/>
      <c r="O120" s="449"/>
      <c r="P120" s="450"/>
      <c r="Q120" s="120"/>
      <c r="R120" s="195"/>
      <c r="S120" s="197"/>
      <c r="T120" s="191"/>
      <c r="U120" s="472"/>
    </row>
    <row r="121" spans="1:21" s="122" customFormat="1" ht="12" customHeight="1">
      <c r="A121" s="427">
        <v>98</v>
      </c>
      <c r="B121" s="428" t="s">
        <v>5</v>
      </c>
      <c r="C121" s="429" t="s">
        <v>26</v>
      </c>
      <c r="D121" s="391">
        <v>1589219826.73</v>
      </c>
      <c r="E121" s="204">
        <f>(D121/$D$145)</f>
        <v>5.0969351057402801E-2</v>
      </c>
      <c r="F121" s="390">
        <v>3794.83</v>
      </c>
      <c r="G121" s="390">
        <v>3825.99</v>
      </c>
      <c r="H121" s="399">
        <v>4.0500000000000001E-2</v>
      </c>
      <c r="I121" s="391">
        <v>1590920059.3499999</v>
      </c>
      <c r="J121" s="204">
        <f t="shared" ref="J121:J144" si="31">(I121/$I$145)</f>
        <v>5.1122030292685978E-2</v>
      </c>
      <c r="K121" s="390">
        <v>3798.75</v>
      </c>
      <c r="L121" s="390">
        <v>3829.87</v>
      </c>
      <c r="M121" s="372">
        <v>4.1500000000000002E-2</v>
      </c>
      <c r="N121" s="83">
        <f>((I121-D121)/D121)</f>
        <v>1.069853642273207E-3</v>
      </c>
      <c r="O121" s="83">
        <f t="shared" ref="O121:O144" si="32">((L121-G121)/G121)</f>
        <v>1.0141166077277017E-3</v>
      </c>
      <c r="P121" s="241">
        <f t="shared" ref="P121:P145" si="33">M121-H121</f>
        <v>1.0000000000000009E-3</v>
      </c>
      <c r="Q121" s="120"/>
      <c r="R121" s="474"/>
      <c r="S121" s="177"/>
      <c r="T121" s="195"/>
    </row>
    <row r="122" spans="1:21" s="122" customFormat="1" ht="12" customHeight="1">
      <c r="A122" s="427">
        <v>99</v>
      </c>
      <c r="B122" s="428" t="s">
        <v>12</v>
      </c>
      <c r="C122" s="429" t="s">
        <v>253</v>
      </c>
      <c r="D122" s="391">
        <v>203523727.40000001</v>
      </c>
      <c r="E122" s="204">
        <f t="shared" ref="E122:E144" si="34">(D122/$D$145)</f>
        <v>6.5273992533218927E-3</v>
      </c>
      <c r="F122" s="390">
        <v>148.69</v>
      </c>
      <c r="G122" s="390">
        <v>150.49</v>
      </c>
      <c r="H122" s="399">
        <v>4.8500000000000001E-2</v>
      </c>
      <c r="I122" s="391">
        <v>204789699.62</v>
      </c>
      <c r="J122" s="205">
        <f t="shared" si="31"/>
        <v>6.5806356303541218E-3</v>
      </c>
      <c r="K122" s="371">
        <v>156.84</v>
      </c>
      <c r="L122" s="371">
        <v>158.81</v>
      </c>
      <c r="M122" s="372">
        <v>5.8799999999999998E-2</v>
      </c>
      <c r="N122" s="83">
        <f>((I122-D122)/D122)</f>
        <v>6.2202684481691486E-3</v>
      </c>
      <c r="O122" s="83">
        <f t="shared" si="32"/>
        <v>5.5286065519303561E-2</v>
      </c>
      <c r="P122" s="241">
        <f t="shared" si="33"/>
        <v>1.0299999999999997E-2</v>
      </c>
      <c r="Q122" s="120"/>
      <c r="R122" s="474"/>
      <c r="U122" s="198"/>
    </row>
    <row r="123" spans="1:21" s="122" customFormat="1" ht="12" customHeight="1">
      <c r="A123" s="427">
        <v>100</v>
      </c>
      <c r="B123" s="428" t="s">
        <v>45</v>
      </c>
      <c r="C123" s="429" t="s">
        <v>80</v>
      </c>
      <c r="D123" s="390">
        <v>1202742015.3299999</v>
      </c>
      <c r="E123" s="204">
        <f t="shared" si="34"/>
        <v>3.8574260766039363E-2</v>
      </c>
      <c r="F123" s="390">
        <v>1.5362</v>
      </c>
      <c r="G123" s="390">
        <v>1.5619000000000001</v>
      </c>
      <c r="H123" s="399">
        <v>0.12139999999999999</v>
      </c>
      <c r="I123" s="390">
        <v>1205754879.04</v>
      </c>
      <c r="J123" s="205">
        <f t="shared" si="31"/>
        <v>3.8745276413838937E-2</v>
      </c>
      <c r="K123" s="390">
        <v>1.5417000000000001</v>
      </c>
      <c r="L123" s="390">
        <v>1.5676000000000001</v>
      </c>
      <c r="M123" s="372">
        <v>0.12540000000000001</v>
      </c>
      <c r="N123" s="83">
        <f t="shared" ref="N123:N128" si="35">((I123-D123)/D123)</f>
        <v>2.504995810904128E-3</v>
      </c>
      <c r="O123" s="83">
        <f t="shared" si="32"/>
        <v>3.6494013701261529E-3</v>
      </c>
      <c r="P123" s="241">
        <f t="shared" si="33"/>
        <v>4.0000000000000174E-3</v>
      </c>
      <c r="Q123" s="120"/>
      <c r="R123" s="197"/>
      <c r="S123" s="123"/>
      <c r="U123" s="198"/>
    </row>
    <row r="124" spans="1:21" s="122" customFormat="1" ht="12" customHeight="1">
      <c r="A124" s="427">
        <v>101</v>
      </c>
      <c r="B124" s="428" t="s">
        <v>7</v>
      </c>
      <c r="C124" s="429" t="s">
        <v>165</v>
      </c>
      <c r="D124" s="390">
        <v>4986068493.75</v>
      </c>
      <c r="E124" s="204">
        <f t="shared" si="34"/>
        <v>0.15991285231893587</v>
      </c>
      <c r="F124" s="390">
        <v>549.18520000000001</v>
      </c>
      <c r="G124" s="390">
        <v>565.74350000000004</v>
      </c>
      <c r="H124" s="375">
        <v>0.1757</v>
      </c>
      <c r="I124" s="390">
        <v>4964161563.1000004</v>
      </c>
      <c r="J124" s="205">
        <f t="shared" si="31"/>
        <v>0.15951651141432671</v>
      </c>
      <c r="K124" s="390">
        <v>547.05809999999997</v>
      </c>
      <c r="L124" s="390">
        <v>563.55229999999995</v>
      </c>
      <c r="M124" s="375">
        <v>-0.20200000000000001</v>
      </c>
      <c r="N124" s="83">
        <f>((I124-D124)/D124)</f>
        <v>-4.3936281014710877E-3</v>
      </c>
      <c r="O124" s="83">
        <f t="shared" si="32"/>
        <v>-3.8731333192517357E-3</v>
      </c>
      <c r="P124" s="241">
        <f t="shared" si="33"/>
        <v>-0.37770000000000004</v>
      </c>
      <c r="Q124" s="120"/>
      <c r="R124" s="197"/>
      <c r="S124" s="123"/>
      <c r="U124" s="198"/>
    </row>
    <row r="125" spans="1:21" s="122" customFormat="1" ht="12" customHeight="1">
      <c r="A125" s="427">
        <v>102</v>
      </c>
      <c r="B125" s="428" t="s">
        <v>15</v>
      </c>
      <c r="C125" s="429" t="s">
        <v>262</v>
      </c>
      <c r="D125" s="390">
        <v>2629579933.9899998</v>
      </c>
      <c r="E125" s="204">
        <f t="shared" si="34"/>
        <v>8.4335710223812241E-2</v>
      </c>
      <c r="F125" s="390">
        <v>14.4056</v>
      </c>
      <c r="G125" s="390">
        <v>14.540699999999999</v>
      </c>
      <c r="H125" s="399">
        <v>3.8699999999999998E-2</v>
      </c>
      <c r="I125" s="390">
        <v>2632864636.8800001</v>
      </c>
      <c r="J125" s="368">
        <f t="shared" si="31"/>
        <v>8.4603487731566673E-2</v>
      </c>
      <c r="K125" s="390">
        <v>14.4322</v>
      </c>
      <c r="L125" s="390">
        <v>14.5677</v>
      </c>
      <c r="M125" s="399">
        <v>4.0599999999999997E-2</v>
      </c>
      <c r="N125" s="83">
        <f>((I125-D125)/D125)</f>
        <v>1.2491359732184643E-3</v>
      </c>
      <c r="O125" s="83">
        <f t="shared" si="32"/>
        <v>1.8568569601189093E-3</v>
      </c>
      <c r="P125" s="241">
        <f t="shared" si="33"/>
        <v>1.8999999999999989E-3</v>
      </c>
      <c r="Q125" s="120"/>
      <c r="R125" s="197"/>
      <c r="S125" s="123"/>
      <c r="U125" s="198"/>
    </row>
    <row r="126" spans="1:21" s="122" customFormat="1" ht="12" customHeight="1">
      <c r="A126" s="427">
        <v>103</v>
      </c>
      <c r="B126" s="428" t="s">
        <v>201</v>
      </c>
      <c r="C126" s="429" t="s">
        <v>207</v>
      </c>
      <c r="D126" s="390">
        <v>5149407304.21</v>
      </c>
      <c r="E126" s="204">
        <f t="shared" si="34"/>
        <v>0.16515144362745518</v>
      </c>
      <c r="F126" s="390">
        <v>210.58</v>
      </c>
      <c r="G126" s="390">
        <v>212.09</v>
      </c>
      <c r="H126" s="399">
        <v>-1.1999999999999999E-3</v>
      </c>
      <c r="I126" s="390">
        <v>5119736472.96</v>
      </c>
      <c r="J126" s="205">
        <f t="shared" si="31"/>
        <v>0.16451569739347283</v>
      </c>
      <c r="K126" s="390">
        <v>209.39</v>
      </c>
      <c r="L126" s="390">
        <v>210.87</v>
      </c>
      <c r="M126" s="399">
        <v>-5.7000000000000002E-3</v>
      </c>
      <c r="N126" s="83">
        <f t="shared" si="35"/>
        <v>-5.7619895838773565E-3</v>
      </c>
      <c r="O126" s="83">
        <f t="shared" si="32"/>
        <v>-5.7522749776038416E-3</v>
      </c>
      <c r="P126" s="241">
        <f t="shared" si="33"/>
        <v>-4.5000000000000005E-3</v>
      </c>
      <c r="Q126" s="120"/>
      <c r="S126" s="123"/>
      <c r="U126" s="198"/>
    </row>
    <row r="127" spans="1:21" s="122" customFormat="1" ht="12" customHeight="1">
      <c r="A127" s="427">
        <v>104</v>
      </c>
      <c r="B127" s="428" t="s">
        <v>113</v>
      </c>
      <c r="C127" s="429" t="s">
        <v>168</v>
      </c>
      <c r="D127" s="390">
        <v>4428331905.9099998</v>
      </c>
      <c r="E127" s="204">
        <f t="shared" si="34"/>
        <v>0.14202516210450677</v>
      </c>
      <c r="F127" s="390">
        <v>195.56209999999999</v>
      </c>
      <c r="G127" s="390">
        <v>200.25700000000001</v>
      </c>
      <c r="H127" s="399">
        <v>2.5000000000000001E-3</v>
      </c>
      <c r="I127" s="390">
        <v>4378246882.5299997</v>
      </c>
      <c r="J127" s="205">
        <f t="shared" si="31"/>
        <v>0.14068894816060365</v>
      </c>
      <c r="K127" s="390">
        <v>193.3647</v>
      </c>
      <c r="L127" s="390">
        <v>197.9828</v>
      </c>
      <c r="M127" s="399">
        <v>-8.8999999999999999E-3</v>
      </c>
      <c r="N127" s="83">
        <f>((I127-D127)/D127)</f>
        <v>-1.1310133125558459E-2</v>
      </c>
      <c r="O127" s="83">
        <f t="shared" si="32"/>
        <v>-1.1356407016983214E-2</v>
      </c>
      <c r="P127" s="241">
        <f t="shared" si="33"/>
        <v>-1.14E-2</v>
      </c>
      <c r="Q127" s="120"/>
      <c r="S127" s="123"/>
    </row>
    <row r="128" spans="1:21" s="122" customFormat="1" ht="12" customHeight="1">
      <c r="A128" s="427">
        <v>105</v>
      </c>
      <c r="B128" s="428" t="s">
        <v>9</v>
      </c>
      <c r="C128" s="429" t="s">
        <v>182</v>
      </c>
      <c r="D128" s="391">
        <v>2323400695.4302802</v>
      </c>
      <c r="E128" s="204">
        <f t="shared" si="34"/>
        <v>7.4515950342796136E-2</v>
      </c>
      <c r="F128" s="390">
        <v>4354.4877473193701</v>
      </c>
      <c r="G128" s="390">
        <v>4386.2195132859497</v>
      </c>
      <c r="H128" s="399">
        <v>0.18094760203605262</v>
      </c>
      <c r="I128" s="362">
        <v>2328026888.6417899</v>
      </c>
      <c r="J128" s="205">
        <f t="shared" si="31"/>
        <v>7.480794551799054E-2</v>
      </c>
      <c r="K128" s="371">
        <v>4366.2637246062104</v>
      </c>
      <c r="L128" s="390">
        <v>4366.2637246062104</v>
      </c>
      <c r="M128" s="372">
        <v>0.14101155796413595</v>
      </c>
      <c r="N128" s="83">
        <f t="shared" si="35"/>
        <v>1.9911301656268809E-3</v>
      </c>
      <c r="O128" s="83">
        <f t="shared" si="32"/>
        <v>-4.5496557158830686E-3</v>
      </c>
      <c r="P128" s="241">
        <f t="shared" si="33"/>
        <v>-3.9936044071916671E-2</v>
      </c>
      <c r="Q128" s="120"/>
      <c r="S128" s="121"/>
    </row>
    <row r="129" spans="1:20" s="122" customFormat="1" ht="11.25" customHeight="1">
      <c r="A129" s="427">
        <v>106</v>
      </c>
      <c r="B129" s="428" t="s">
        <v>191</v>
      </c>
      <c r="C129" s="429" t="s">
        <v>197</v>
      </c>
      <c r="D129" s="390">
        <v>1923471802</v>
      </c>
      <c r="E129" s="204">
        <f t="shared" si="34"/>
        <v>6.1689457856108992E-2</v>
      </c>
      <c r="F129" s="390">
        <v>1.3182</v>
      </c>
      <c r="G129" s="390">
        <v>1.3427</v>
      </c>
      <c r="H129" s="399">
        <v>0.13869999999999999</v>
      </c>
      <c r="I129" s="390">
        <v>1934562564.0599999</v>
      </c>
      <c r="J129" s="205">
        <f t="shared" si="31"/>
        <v>6.2164510040421839E-2</v>
      </c>
      <c r="K129" s="390">
        <v>1.3258000000000001</v>
      </c>
      <c r="L129" s="390">
        <v>1.3504</v>
      </c>
      <c r="M129" s="399">
        <v>0.14549999999999999</v>
      </c>
      <c r="N129" s="83">
        <f t="shared" ref="N129:N136" si="36">((I129-D129)/D129)</f>
        <v>5.7660122953026496E-3</v>
      </c>
      <c r="O129" s="83">
        <f t="shared" si="32"/>
        <v>5.7347136367021968E-3</v>
      </c>
      <c r="P129" s="241">
        <f t="shared" si="33"/>
        <v>6.8000000000000005E-3</v>
      </c>
      <c r="Q129" s="120"/>
    </row>
    <row r="130" spans="1:20" s="122" customFormat="1" ht="12" customHeight="1">
      <c r="A130" s="427">
        <v>107</v>
      </c>
      <c r="B130" s="428" t="s">
        <v>61</v>
      </c>
      <c r="C130" s="429" t="s">
        <v>31</v>
      </c>
      <c r="D130" s="391">
        <v>1153393675</v>
      </c>
      <c r="E130" s="204">
        <f t="shared" si="34"/>
        <v>3.6991564124533589E-2</v>
      </c>
      <c r="F130" s="390">
        <v>552.20000000000005</v>
      </c>
      <c r="G130" s="390">
        <v>552.20000000000005</v>
      </c>
      <c r="H130" s="399">
        <v>-3.49E-3</v>
      </c>
      <c r="I130" s="391">
        <v>1154836540</v>
      </c>
      <c r="J130" s="368">
        <f t="shared" si="31"/>
        <v>3.7109085547077439E-2</v>
      </c>
      <c r="K130" s="371">
        <v>552.20000000000005</v>
      </c>
      <c r="L130" s="371">
        <v>552.20000000000005</v>
      </c>
      <c r="M130" s="372">
        <v>1.25E-3</v>
      </c>
      <c r="N130" s="83">
        <f t="shared" si="36"/>
        <v>1.2509735671994214E-3</v>
      </c>
      <c r="O130" s="83">
        <f t="shared" si="32"/>
        <v>0</v>
      </c>
      <c r="P130" s="241">
        <f t="shared" si="33"/>
        <v>4.7400000000000003E-3</v>
      </c>
      <c r="Q130" s="120"/>
    </row>
    <row r="131" spans="1:20" s="122" customFormat="1" ht="12" customHeight="1">
      <c r="A131" s="427">
        <v>108</v>
      </c>
      <c r="B131" s="428" t="s">
        <v>264</v>
      </c>
      <c r="C131" s="429" t="s">
        <v>56</v>
      </c>
      <c r="D131" s="391">
        <v>2253799556.8099999</v>
      </c>
      <c r="E131" s="204">
        <f t="shared" si="34"/>
        <v>7.228370732099125E-2</v>
      </c>
      <c r="F131" s="390">
        <v>3.18</v>
      </c>
      <c r="G131" s="390">
        <v>3.24</v>
      </c>
      <c r="H131" s="399">
        <v>7.3000000000000001E-3</v>
      </c>
      <c r="I131" s="391">
        <v>2262518547</v>
      </c>
      <c r="J131" s="205">
        <f t="shared" si="31"/>
        <v>7.2702924963278653E-2</v>
      </c>
      <c r="K131" s="371">
        <v>3.19</v>
      </c>
      <c r="L131" s="371">
        <v>3.25</v>
      </c>
      <c r="M131" s="372">
        <v>3.8E-3</v>
      </c>
      <c r="N131" s="83">
        <f t="shared" si="36"/>
        <v>3.8685739216049934E-3</v>
      </c>
      <c r="O131" s="83">
        <f t="shared" si="32"/>
        <v>3.0864197530863537E-3</v>
      </c>
      <c r="P131" s="241">
        <f t="shared" si="33"/>
        <v>-3.5000000000000001E-3</v>
      </c>
      <c r="Q131" s="120"/>
    </row>
    <row r="132" spans="1:20" s="122" customFormat="1" ht="12" customHeight="1">
      <c r="A132" s="427">
        <v>109</v>
      </c>
      <c r="B132" s="428" t="s">
        <v>96</v>
      </c>
      <c r="C132" s="429" t="s">
        <v>52</v>
      </c>
      <c r="D132" s="390">
        <v>159574293.08000001</v>
      </c>
      <c r="E132" s="204">
        <f t="shared" si="34"/>
        <v>5.1178559611018649E-3</v>
      </c>
      <c r="F132" s="390">
        <v>1.6207659999999999</v>
      </c>
      <c r="G132" s="390">
        <v>1.668658</v>
      </c>
      <c r="H132" s="399">
        <v>6.08E-2</v>
      </c>
      <c r="I132" s="390">
        <v>159163947.28999999</v>
      </c>
      <c r="J132" s="205">
        <f t="shared" si="31"/>
        <v>5.1145147658690588E-3</v>
      </c>
      <c r="K132" s="390">
        <v>1.6207659999999999</v>
      </c>
      <c r="L132" s="390">
        <v>1.668658</v>
      </c>
      <c r="M132" s="372">
        <v>3.44E-2</v>
      </c>
      <c r="N132" s="83">
        <f t="shared" si="36"/>
        <v>-2.5715031041641601E-3</v>
      </c>
      <c r="O132" s="83">
        <f t="shared" si="32"/>
        <v>0</v>
      </c>
      <c r="P132" s="241">
        <f t="shared" si="33"/>
        <v>-2.64E-2</v>
      </c>
      <c r="Q132" s="120"/>
    </row>
    <row r="133" spans="1:20" s="122" customFormat="1" ht="12" customHeight="1">
      <c r="A133" s="427">
        <v>110</v>
      </c>
      <c r="B133" s="428" t="s">
        <v>45</v>
      </c>
      <c r="C133" s="429" t="s">
        <v>261</v>
      </c>
      <c r="D133" s="390">
        <v>669852946.48000002</v>
      </c>
      <c r="E133" s="204">
        <f t="shared" si="34"/>
        <v>2.1483478504182613E-2</v>
      </c>
      <c r="F133" s="390">
        <v>1.2073</v>
      </c>
      <c r="G133" s="390">
        <v>1.2262999999999999</v>
      </c>
      <c r="H133" s="399">
        <v>3.8899999999999997E-2</v>
      </c>
      <c r="I133" s="390">
        <v>675713196.88</v>
      </c>
      <c r="J133" s="205">
        <f t="shared" si="31"/>
        <v>2.17131151983718E-2</v>
      </c>
      <c r="K133" s="390">
        <v>1.2178</v>
      </c>
      <c r="L133" s="390">
        <v>1.2397</v>
      </c>
      <c r="M133" s="372">
        <v>4.7899999999999998E-2</v>
      </c>
      <c r="N133" s="83">
        <f t="shared" si="36"/>
        <v>8.7485625476381289E-3</v>
      </c>
      <c r="O133" s="83">
        <f t="shared" si="32"/>
        <v>1.0927179319905471E-2</v>
      </c>
      <c r="P133" s="241">
        <f t="shared" si="33"/>
        <v>9.0000000000000011E-3</v>
      </c>
      <c r="Q133" s="120"/>
    </row>
    <row r="134" spans="1:20" s="122" customFormat="1" ht="12" customHeight="1">
      <c r="A134" s="427">
        <v>111</v>
      </c>
      <c r="B134" s="428" t="s">
        <v>114</v>
      </c>
      <c r="C134" s="429" t="s">
        <v>116</v>
      </c>
      <c r="D134" s="390">
        <v>125139728.48</v>
      </c>
      <c r="E134" s="204">
        <f t="shared" si="34"/>
        <v>4.0134729285685065E-3</v>
      </c>
      <c r="F134" s="390">
        <v>1.2190000000000001</v>
      </c>
      <c r="G134" s="390">
        <v>1.2319</v>
      </c>
      <c r="H134" s="399">
        <v>1.4800000000000001E-2</v>
      </c>
      <c r="I134" s="361">
        <v>125258376.77</v>
      </c>
      <c r="J134" s="205">
        <f t="shared" si="31"/>
        <v>4.0250058411262146E-3</v>
      </c>
      <c r="K134" s="371">
        <v>1.2201</v>
      </c>
      <c r="L134" s="371">
        <v>1.2330000000000001</v>
      </c>
      <c r="M134" s="372">
        <v>1.5699999999999999E-2</v>
      </c>
      <c r="N134" s="83">
        <f t="shared" si="36"/>
        <v>9.481264778271769E-4</v>
      </c>
      <c r="O134" s="83">
        <f t="shared" si="32"/>
        <v>8.9292962091087013E-4</v>
      </c>
      <c r="P134" s="241">
        <f t="shared" si="33"/>
        <v>8.9999999999999802E-4</v>
      </c>
      <c r="Q134" s="120"/>
    </row>
    <row r="135" spans="1:20" s="122" customFormat="1" ht="12" customHeight="1">
      <c r="A135" s="427">
        <v>112</v>
      </c>
      <c r="B135" s="428" t="s">
        <v>93</v>
      </c>
      <c r="C135" s="429" t="s">
        <v>254</v>
      </c>
      <c r="D135" s="390">
        <v>170488132.43697751</v>
      </c>
      <c r="E135" s="204">
        <f t="shared" si="34"/>
        <v>5.467883880596474E-3</v>
      </c>
      <c r="F135" s="390">
        <v>111.37</v>
      </c>
      <c r="G135" s="390">
        <v>115.12</v>
      </c>
      <c r="H135" s="399">
        <v>3.6299999999999999E-2</v>
      </c>
      <c r="I135" s="69">
        <v>170303624.25</v>
      </c>
      <c r="J135" s="205">
        <f t="shared" si="31"/>
        <v>5.4724729798301865E-3</v>
      </c>
      <c r="K135" s="371">
        <v>111.25</v>
      </c>
      <c r="L135" s="371">
        <v>115.04</v>
      </c>
      <c r="M135" s="372">
        <v>0.15040000000000001</v>
      </c>
      <c r="N135" s="83">
        <f t="shared" si="36"/>
        <v>-1.0822347827976286E-3</v>
      </c>
      <c r="O135" s="83">
        <f t="shared" si="32"/>
        <v>-6.9492703266155567E-4</v>
      </c>
      <c r="P135" s="241">
        <f t="shared" si="33"/>
        <v>0.11410000000000001</v>
      </c>
      <c r="Q135" s="120"/>
      <c r="R135" s="240"/>
      <c r="S135" s="240"/>
      <c r="T135" s="121"/>
    </row>
    <row r="136" spans="1:20" s="122" customFormat="1" ht="12" customHeight="1">
      <c r="A136" s="427">
        <v>113</v>
      </c>
      <c r="B136" s="428" t="s">
        <v>40</v>
      </c>
      <c r="C136" s="429" t="s">
        <v>124</v>
      </c>
      <c r="D136" s="390">
        <v>172629512.06999999</v>
      </c>
      <c r="E136" s="204">
        <f t="shared" si="34"/>
        <v>5.5365620637067821E-3</v>
      </c>
      <c r="F136" s="390">
        <v>3.8940000000000001</v>
      </c>
      <c r="G136" s="390">
        <v>3.9582000000000002</v>
      </c>
      <c r="H136" s="399">
        <v>3.6547999999999997E-2</v>
      </c>
      <c r="I136" s="390">
        <v>172095083.38999999</v>
      </c>
      <c r="J136" s="205">
        <f t="shared" si="31"/>
        <v>5.5300390579526822E-3</v>
      </c>
      <c r="K136" s="390">
        <v>3.8822000000000001</v>
      </c>
      <c r="L136" s="390">
        <v>3.9458000000000002</v>
      </c>
      <c r="M136" s="399">
        <v>3.3406999999999999E-2</v>
      </c>
      <c r="N136" s="83">
        <f t="shared" si="36"/>
        <v>-3.0958129556857015E-3</v>
      </c>
      <c r="O136" s="83">
        <f t="shared" si="32"/>
        <v>-3.1327371027234517E-3</v>
      </c>
      <c r="P136" s="241">
        <f t="shared" si="33"/>
        <v>-3.140999999999998E-3</v>
      </c>
      <c r="Q136" s="120"/>
      <c r="S136" s="234"/>
      <c r="T136" s="121"/>
    </row>
    <row r="137" spans="1:20" s="122" customFormat="1" ht="12" customHeight="1">
      <c r="A137" s="427">
        <v>114</v>
      </c>
      <c r="B137" s="428" t="s">
        <v>94</v>
      </c>
      <c r="C137" s="429" t="s">
        <v>166</v>
      </c>
      <c r="D137" s="390">
        <v>363229135.31999999</v>
      </c>
      <c r="E137" s="204">
        <f t="shared" si="34"/>
        <v>1.1649460320725851E-2</v>
      </c>
      <c r="F137" s="390">
        <v>142.74</v>
      </c>
      <c r="G137" s="390">
        <v>143.63999999999999</v>
      </c>
      <c r="H137" s="399">
        <v>3.6630000000000003E-2</v>
      </c>
      <c r="I137" s="390">
        <v>364429939.25</v>
      </c>
      <c r="J137" s="205">
        <f t="shared" si="31"/>
        <v>1.1710455396176229E-2</v>
      </c>
      <c r="K137" s="390">
        <v>143.06</v>
      </c>
      <c r="L137" s="390">
        <v>143.97</v>
      </c>
      <c r="M137" s="399">
        <v>3.8989999999999997E-2</v>
      </c>
      <c r="N137" s="83">
        <f t="shared" ref="N137:N143" si="37">((I137-D137)/D137)</f>
        <v>3.3059130263383609E-3</v>
      </c>
      <c r="O137" s="83">
        <f t="shared" si="32"/>
        <v>2.2974101921471217E-3</v>
      </c>
      <c r="P137" s="241">
        <f t="shared" si="33"/>
        <v>2.359999999999994E-3</v>
      </c>
      <c r="Q137" s="120"/>
    </row>
    <row r="138" spans="1:20" s="122" customFormat="1" ht="12" customHeight="1">
      <c r="A138" s="427">
        <v>115</v>
      </c>
      <c r="B138" s="428" t="s">
        <v>110</v>
      </c>
      <c r="C138" s="429" t="s">
        <v>139</v>
      </c>
      <c r="D138" s="391">
        <v>162994676.41</v>
      </c>
      <c r="E138" s="204">
        <f t="shared" si="34"/>
        <v>5.2275542644865964E-3</v>
      </c>
      <c r="F138" s="390">
        <v>148.448679</v>
      </c>
      <c r="G138" s="390">
        <v>154.393483</v>
      </c>
      <c r="H138" s="399">
        <v>9.7999999999999997E-3</v>
      </c>
      <c r="I138" s="391">
        <v>162472511.31</v>
      </c>
      <c r="J138" s="205">
        <v>1.4052378000000001</v>
      </c>
      <c r="K138" s="390">
        <v>147.97311300000001</v>
      </c>
      <c r="L138" s="390">
        <v>153.949882</v>
      </c>
      <c r="M138" s="399">
        <v>9.7999999999999997E-3</v>
      </c>
      <c r="N138" s="83">
        <f t="shared" si="37"/>
        <v>-3.203571500007336E-3</v>
      </c>
      <c r="O138" s="83">
        <f t="shared" ref="O138:O143" si="38">((L138-G138)/G138)</f>
        <v>-2.8731847444623099E-3</v>
      </c>
      <c r="P138" s="241">
        <f t="shared" si="33"/>
        <v>0</v>
      </c>
      <c r="Q138" s="120"/>
      <c r="R138" s="121"/>
      <c r="T138" s="149"/>
    </row>
    <row r="139" spans="1:20" s="122" customFormat="1" ht="12" customHeight="1">
      <c r="A139" s="427">
        <v>116</v>
      </c>
      <c r="B139" s="428" t="s">
        <v>109</v>
      </c>
      <c r="C139" s="429" t="s">
        <v>153</v>
      </c>
      <c r="D139" s="391">
        <v>1040667012.08</v>
      </c>
      <c r="E139" s="204">
        <f>(D139/$D$145)</f>
        <v>3.3376202197089463E-2</v>
      </c>
      <c r="F139" s="390">
        <v>2.3652000000000002</v>
      </c>
      <c r="G139" s="390">
        <v>2.4144000000000001</v>
      </c>
      <c r="H139" s="399">
        <v>-4.7469289793210745E-2</v>
      </c>
      <c r="I139" s="363">
        <v>1041397974.67</v>
      </c>
      <c r="J139" s="205">
        <f>(I139/$I$145)</f>
        <v>3.3463893106969247E-2</v>
      </c>
      <c r="K139" s="390">
        <v>2.3668</v>
      </c>
      <c r="L139" s="390">
        <v>2.4161000000000001</v>
      </c>
      <c r="M139" s="399">
        <v>3.6714238379249073E-2</v>
      </c>
      <c r="N139" s="83">
        <f t="shared" si="37"/>
        <v>7.0239815571642458E-4</v>
      </c>
      <c r="O139" s="83">
        <f t="shared" si="38"/>
        <v>7.0410868124587259E-4</v>
      </c>
      <c r="P139" s="241">
        <f t="shared" si="33"/>
        <v>8.4183528172459818E-2</v>
      </c>
      <c r="Q139" s="120"/>
      <c r="R139" s="128"/>
      <c r="T139" s="149"/>
    </row>
    <row r="140" spans="1:20" s="122" customFormat="1" ht="12" customHeight="1">
      <c r="A140" s="427">
        <v>117</v>
      </c>
      <c r="B140" s="428" t="s">
        <v>171</v>
      </c>
      <c r="C140" s="429" t="s">
        <v>203</v>
      </c>
      <c r="D140" s="391">
        <v>20012283.399999999</v>
      </c>
      <c r="E140" s="204">
        <f>(D140/$D$145)</f>
        <v>6.4183260296571247E-4</v>
      </c>
      <c r="F140" s="390">
        <v>1.25</v>
      </c>
      <c r="G140" s="390">
        <v>1.25</v>
      </c>
      <c r="H140" s="399" t="s">
        <v>282</v>
      </c>
      <c r="I140" s="391">
        <v>20028426.649999999</v>
      </c>
      <c r="J140" s="205">
        <f>(I140/$I$145)</f>
        <v>6.4358597271975447E-4</v>
      </c>
      <c r="K140" s="390">
        <v>1.26</v>
      </c>
      <c r="L140" s="390">
        <v>1.26</v>
      </c>
      <c r="M140" s="399">
        <v>2.6909999999999998E-3</v>
      </c>
      <c r="N140" s="83">
        <f t="shared" si="37"/>
        <v>8.0666706928605666E-4</v>
      </c>
      <c r="O140" s="83">
        <f t="shared" si="38"/>
        <v>8.0000000000000071E-3</v>
      </c>
      <c r="P140" s="241" t="e">
        <f t="shared" si="33"/>
        <v>#VALUE!</v>
      </c>
      <c r="Q140" s="120"/>
      <c r="R140" s="121"/>
      <c r="T140" s="149"/>
    </row>
    <row r="141" spans="1:20" s="122" customFormat="1" ht="12" customHeight="1">
      <c r="A141" s="427">
        <v>118</v>
      </c>
      <c r="B141" s="428" t="s">
        <v>184</v>
      </c>
      <c r="C141" s="429" t="s">
        <v>228</v>
      </c>
      <c r="D141" s="391">
        <v>225812191.31</v>
      </c>
      <c r="E141" s="204">
        <f>(D141/$D$145)</f>
        <v>7.2422333640292519E-3</v>
      </c>
      <c r="F141" s="390">
        <v>1.1254</v>
      </c>
      <c r="G141" s="390">
        <v>1.1254</v>
      </c>
      <c r="H141" s="399">
        <v>-5.0916238665908921E-2</v>
      </c>
      <c r="I141" s="391">
        <v>226270020.63999999</v>
      </c>
      <c r="J141" s="205">
        <f>(I141/$I$145)</f>
        <v>7.2708762338510157E-3</v>
      </c>
      <c r="K141" s="371">
        <v>1.1276999999999999</v>
      </c>
      <c r="L141" s="371">
        <v>1.1276999999999999</v>
      </c>
      <c r="M141" s="372">
        <v>0.10656528472416256</v>
      </c>
      <c r="N141" s="83">
        <f t="shared" si="37"/>
        <v>2.0274783542198792E-3</v>
      </c>
      <c r="O141" s="83">
        <f t="shared" si="38"/>
        <v>2.0437177892304683E-3</v>
      </c>
      <c r="P141" s="241">
        <f>M141-H141</f>
        <v>0.15748152339007149</v>
      </c>
      <c r="Q141" s="120"/>
      <c r="R141" s="121"/>
      <c r="S141" s="150"/>
      <c r="T141" s="149"/>
    </row>
    <row r="142" spans="1:20" s="365" customFormat="1" ht="12" customHeight="1">
      <c r="A142" s="427">
        <v>119</v>
      </c>
      <c r="B142" s="428" t="s">
        <v>194</v>
      </c>
      <c r="C142" s="429" t="s">
        <v>196</v>
      </c>
      <c r="D142" s="390">
        <v>3734808.11</v>
      </c>
      <c r="E142" s="367">
        <f>(D142/$D$145)</f>
        <v>1.1978251371448963E-4</v>
      </c>
      <c r="F142" s="390">
        <v>102.747</v>
      </c>
      <c r="G142" s="390">
        <v>102.99</v>
      </c>
      <c r="H142" s="399">
        <v>1.9754000000000001E-2</v>
      </c>
      <c r="I142" s="370">
        <v>3734808.11</v>
      </c>
      <c r="J142" s="368">
        <f>(I142/$I$145)</f>
        <v>1.2001292724588418E-4</v>
      </c>
      <c r="K142" s="371">
        <v>102.747</v>
      </c>
      <c r="L142" s="371">
        <v>102.99</v>
      </c>
      <c r="M142" s="372">
        <v>1.9754000000000001E-2</v>
      </c>
      <c r="N142" s="364">
        <f t="shared" si="37"/>
        <v>0</v>
      </c>
      <c r="O142" s="364">
        <f t="shared" si="38"/>
        <v>0</v>
      </c>
      <c r="P142" s="369">
        <f>M142-H142</f>
        <v>0</v>
      </c>
      <c r="Q142" s="120"/>
      <c r="R142" s="121"/>
      <c r="S142" s="366"/>
      <c r="T142" s="149"/>
    </row>
    <row r="143" spans="1:20" s="395" customFormat="1" ht="12" customHeight="1">
      <c r="A143" s="427">
        <v>120</v>
      </c>
      <c r="B143" s="428" t="s">
        <v>105</v>
      </c>
      <c r="C143" s="429" t="s">
        <v>255</v>
      </c>
      <c r="D143" s="385">
        <v>165720772.75999999</v>
      </c>
      <c r="E143" s="398">
        <f>(D143/$D$145)</f>
        <v>5.3149854426926685E-3</v>
      </c>
      <c r="F143" s="390">
        <v>104.89</v>
      </c>
      <c r="G143" s="390">
        <v>106.73</v>
      </c>
      <c r="H143" s="399">
        <v>1.77E-2</v>
      </c>
      <c r="I143" s="385">
        <v>165846325.65000001</v>
      </c>
      <c r="J143" s="368">
        <f>(I143/$I$145)</f>
        <v>5.3292438133402962E-3</v>
      </c>
      <c r="K143" s="390">
        <v>104.97</v>
      </c>
      <c r="L143" s="390">
        <v>106.88</v>
      </c>
      <c r="M143" s="399">
        <v>1.8700000000000001E-2</v>
      </c>
      <c r="N143" s="394">
        <f t="shared" si="37"/>
        <v>7.5761709234752127E-4</v>
      </c>
      <c r="O143" s="394">
        <f t="shared" si="38"/>
        <v>1.4054155345262951E-3</v>
      </c>
      <c r="P143" s="401">
        <f>M143-H143</f>
        <v>1.0000000000000009E-3</v>
      </c>
      <c r="Q143" s="120"/>
      <c r="R143" s="121"/>
      <c r="S143" s="366"/>
      <c r="T143" s="149"/>
    </row>
    <row r="144" spans="1:20" s="122" customFormat="1" ht="12" customHeight="1">
      <c r="A144" s="427">
        <v>121</v>
      </c>
      <c r="B144" s="428" t="s">
        <v>267</v>
      </c>
      <c r="C144" s="429" t="s">
        <v>269</v>
      </c>
      <c r="D144" s="385">
        <v>57116513.280000001</v>
      </c>
      <c r="E144" s="204">
        <f t="shared" si="34"/>
        <v>1.8318369602355366E-3</v>
      </c>
      <c r="F144" s="390">
        <v>106.14449999999999</v>
      </c>
      <c r="G144" s="390">
        <v>106.4761</v>
      </c>
      <c r="H144" s="399">
        <v>4.5580000000000002E-2</v>
      </c>
      <c r="I144" s="385">
        <v>56915477.640000001</v>
      </c>
      <c r="J144" s="205">
        <f t="shared" si="31"/>
        <v>1.8289006760173463E-3</v>
      </c>
      <c r="K144" s="390">
        <v>106.3338</v>
      </c>
      <c r="L144" s="390">
        <v>106.6681</v>
      </c>
      <c r="M144" s="399">
        <v>4.4249999999999998E-2</v>
      </c>
      <c r="N144" s="83">
        <f>((I144-D144)/D144)</f>
        <v>-3.5197463650218216E-3</v>
      </c>
      <c r="O144" s="83">
        <f t="shared" si="32"/>
        <v>1.8032215680325731E-3</v>
      </c>
      <c r="P144" s="241">
        <f t="shared" si="33"/>
        <v>-1.3300000000000048E-3</v>
      </c>
      <c r="Q144" s="120"/>
      <c r="R144" s="121"/>
      <c r="S144" s="150"/>
      <c r="T144" s="149"/>
    </row>
    <row r="145" spans="1:23" s="122" customFormat="1" ht="12" customHeight="1">
      <c r="A145" s="315"/>
      <c r="B145" s="316"/>
      <c r="C145" s="265" t="s">
        <v>46</v>
      </c>
      <c r="D145" s="231">
        <f>SUM(D121:D144)</f>
        <v>31179910941.77726</v>
      </c>
      <c r="E145" s="284">
        <f>(D145/$D$167)</f>
        <v>2.0610046987637808E-2</v>
      </c>
      <c r="F145" s="286"/>
      <c r="G145" s="194"/>
      <c r="H145" s="301"/>
      <c r="I145" s="231">
        <f>SUM(I121:I144)</f>
        <v>31120048445.681793</v>
      </c>
      <c r="J145" s="284">
        <f>(I145/$I$167)</f>
        <v>2.0431258297089042E-2</v>
      </c>
      <c r="K145" s="286"/>
      <c r="L145" s="194"/>
      <c r="M145" s="301"/>
      <c r="N145" s="288">
        <f>((I145-D145)/D145)</f>
        <v>-1.9199059358203042E-3</v>
      </c>
      <c r="O145" s="288"/>
      <c r="P145" s="289">
        <f t="shared" si="33"/>
        <v>0</v>
      </c>
      <c r="Q145" s="120"/>
      <c r="R145" s="121"/>
      <c r="S145" s="150"/>
      <c r="T145" s="149"/>
    </row>
    <row r="146" spans="1:23" s="122" customFormat="1" ht="5.25" customHeight="1">
      <c r="A146" s="451"/>
      <c r="B146" s="452"/>
      <c r="C146" s="452"/>
      <c r="D146" s="452"/>
      <c r="E146" s="452"/>
      <c r="F146" s="452"/>
      <c r="G146" s="452"/>
      <c r="H146" s="452"/>
      <c r="I146" s="452"/>
      <c r="J146" s="452"/>
      <c r="K146" s="452"/>
      <c r="L146" s="452"/>
      <c r="M146" s="452"/>
      <c r="N146" s="452"/>
      <c r="O146" s="452"/>
      <c r="P146" s="453"/>
      <c r="R146" s="121"/>
      <c r="S146" s="150"/>
      <c r="T146" s="149"/>
    </row>
    <row r="147" spans="1:23" s="122" customFormat="1" ht="12" customHeight="1">
      <c r="A147" s="448" t="s">
        <v>71</v>
      </c>
      <c r="B147" s="449"/>
      <c r="C147" s="449"/>
      <c r="D147" s="449"/>
      <c r="E147" s="449"/>
      <c r="F147" s="449"/>
      <c r="G147" s="449"/>
      <c r="H147" s="449"/>
      <c r="I147" s="449"/>
      <c r="J147" s="449"/>
      <c r="K147" s="449"/>
      <c r="L147" s="449"/>
      <c r="M147" s="449"/>
      <c r="N147" s="449"/>
      <c r="O147" s="449"/>
      <c r="P147" s="450"/>
      <c r="S147" s="151"/>
      <c r="T147" s="149"/>
    </row>
    <row r="148" spans="1:23" s="122" customFormat="1" ht="12" customHeight="1">
      <c r="A148" s="427">
        <v>122</v>
      </c>
      <c r="B148" s="428" t="s">
        <v>206</v>
      </c>
      <c r="C148" s="429" t="s">
        <v>263</v>
      </c>
      <c r="D148" s="385">
        <v>603836308.66999996</v>
      </c>
      <c r="E148" s="204">
        <f>(D148/$D$151)</f>
        <v>0.19704456445021193</v>
      </c>
      <c r="F148" s="386">
        <v>16.402999999999999</v>
      </c>
      <c r="G148" s="386">
        <v>16.540700000000001</v>
      </c>
      <c r="H148" s="399">
        <v>3.6900000000000002E-2</v>
      </c>
      <c r="I148" s="385">
        <v>604647092.69000006</v>
      </c>
      <c r="J148" s="204">
        <f>(I148/$I$151)</f>
        <v>0.19748789095635907</v>
      </c>
      <c r="K148" s="386">
        <v>16.444199999999999</v>
      </c>
      <c r="L148" s="386">
        <v>16.607099999999999</v>
      </c>
      <c r="M148" s="374">
        <v>4.0300000000000002E-2</v>
      </c>
      <c r="N148" s="83">
        <f>((I148-D148)/D148)</f>
        <v>1.3427215428398465E-3</v>
      </c>
      <c r="O148" s="119">
        <f>((L148-G148)/G148)</f>
        <v>4.014340384626891E-3</v>
      </c>
      <c r="P148" s="241">
        <f>M148-H148</f>
        <v>3.4000000000000002E-3</v>
      </c>
      <c r="Q148" s="120"/>
      <c r="S148" s="123"/>
      <c r="T148" s="149"/>
    </row>
    <row r="149" spans="1:23" s="122" customFormat="1" ht="11.25" customHeight="1">
      <c r="A149" s="427">
        <v>123</v>
      </c>
      <c r="B149" s="428" t="s">
        <v>5</v>
      </c>
      <c r="C149" s="429" t="s">
        <v>29</v>
      </c>
      <c r="D149" s="385">
        <v>1919307131.02</v>
      </c>
      <c r="E149" s="204">
        <f>(D149/$D$151)</f>
        <v>0.62631052861166092</v>
      </c>
      <c r="F149" s="386">
        <v>1.51</v>
      </c>
      <c r="G149" s="386">
        <v>1.53</v>
      </c>
      <c r="H149" s="399">
        <v>6.25E-2</v>
      </c>
      <c r="I149" s="385">
        <v>1917112639.5699999</v>
      </c>
      <c r="J149" s="204">
        <f>(I149/$I$151)</f>
        <v>0.62616117151921513</v>
      </c>
      <c r="K149" s="373">
        <v>1.51</v>
      </c>
      <c r="L149" s="373">
        <v>1.53</v>
      </c>
      <c r="M149" s="374">
        <v>6.25E-2</v>
      </c>
      <c r="N149" s="83">
        <f>((I149-D149)/D149)</f>
        <v>-1.1433769064536344E-3</v>
      </c>
      <c r="O149" s="83">
        <f>((L149-G149)/G149)</f>
        <v>0</v>
      </c>
      <c r="P149" s="241">
        <f>M149-H149</f>
        <v>0</v>
      </c>
      <c r="Q149" s="120"/>
    </row>
    <row r="150" spans="1:23" s="122" customFormat="1" ht="12" customHeight="1">
      <c r="A150" s="427">
        <v>124</v>
      </c>
      <c r="B150" s="428" t="s">
        <v>7</v>
      </c>
      <c r="C150" s="429" t="s">
        <v>30</v>
      </c>
      <c r="D150" s="386">
        <v>541322257.98000002</v>
      </c>
      <c r="E150" s="204">
        <f>(D150/$D$151)</f>
        <v>0.17664490693812715</v>
      </c>
      <c r="F150" s="386">
        <v>46.483699999999999</v>
      </c>
      <c r="G150" s="386">
        <v>47.885199999999998</v>
      </c>
      <c r="H150" s="375">
        <v>0.18149999999999999</v>
      </c>
      <c r="I150" s="386">
        <v>539932251.79999995</v>
      </c>
      <c r="J150" s="204">
        <f>(I150/$I$151)</f>
        <v>0.17635093752442565</v>
      </c>
      <c r="K150" s="386">
        <v>46.362000000000002</v>
      </c>
      <c r="L150" s="386">
        <v>47.759900000000002</v>
      </c>
      <c r="M150" s="375">
        <v>-0.13639999999999999</v>
      </c>
      <c r="N150" s="83">
        <f>((I150-D150)/D150)</f>
        <v>-2.5677979420004244E-3</v>
      </c>
      <c r="O150" s="83">
        <f>((L150-G150)/G150)</f>
        <v>-2.6166748807563874E-3</v>
      </c>
      <c r="P150" s="241">
        <f>M150-H150</f>
        <v>-0.31789999999999996</v>
      </c>
      <c r="Q150" s="120"/>
      <c r="U150" s="192"/>
      <c r="V150" s="193"/>
      <c r="W150" s="120"/>
    </row>
    <row r="151" spans="1:23" s="122" customFormat="1" ht="12.75" customHeight="1">
      <c r="A151" s="228"/>
      <c r="B151" s="12"/>
      <c r="C151" s="311" t="s">
        <v>46</v>
      </c>
      <c r="D151" s="231">
        <f>SUM(D148:D150)</f>
        <v>3064465697.6700001</v>
      </c>
      <c r="E151" s="284">
        <f>(D151/$D$167)</f>
        <v>2.0256241956213526E-3</v>
      </c>
      <c r="F151" s="12"/>
      <c r="G151" s="12"/>
      <c r="H151" s="300"/>
      <c r="I151" s="231">
        <f>SUM(I148:I150)</f>
        <v>3061691984.0600004</v>
      </c>
      <c r="J151" s="284">
        <f>(I151/$I$167)</f>
        <v>2.0100939065580696E-3</v>
      </c>
      <c r="K151" s="286"/>
      <c r="L151" s="194"/>
      <c r="M151" s="301"/>
      <c r="N151" s="288">
        <f>((I151-D151)/D151)</f>
        <v>-9.0512144159700977E-4</v>
      </c>
      <c r="O151" s="288"/>
      <c r="P151" s="289">
        <f>M151-H151</f>
        <v>0</v>
      </c>
      <c r="Q151" s="120"/>
      <c r="T151" s="121"/>
    </row>
    <row r="152" spans="1:23" s="122" customFormat="1" ht="4.5" customHeight="1">
      <c r="A152" s="451"/>
      <c r="B152" s="452"/>
      <c r="C152" s="452"/>
      <c r="D152" s="452"/>
      <c r="E152" s="452"/>
      <c r="F152" s="452"/>
      <c r="G152" s="452"/>
      <c r="H152" s="452"/>
      <c r="I152" s="452"/>
      <c r="J152" s="452"/>
      <c r="K152" s="452"/>
      <c r="L152" s="452"/>
      <c r="M152" s="452"/>
      <c r="N152" s="452"/>
      <c r="O152" s="452"/>
      <c r="P152" s="453"/>
      <c r="T152" s="121"/>
    </row>
    <row r="153" spans="1:23" s="122" customFormat="1" ht="12.75" customHeight="1">
      <c r="A153" s="448" t="s">
        <v>214</v>
      </c>
      <c r="B153" s="449"/>
      <c r="C153" s="449"/>
      <c r="D153" s="449"/>
      <c r="E153" s="449"/>
      <c r="F153" s="449"/>
      <c r="G153" s="449"/>
      <c r="H153" s="449"/>
      <c r="I153" s="449"/>
      <c r="J153" s="449"/>
      <c r="K153" s="449"/>
      <c r="L153" s="449"/>
      <c r="M153" s="449"/>
      <c r="N153" s="449"/>
      <c r="O153" s="449"/>
      <c r="P153" s="450"/>
      <c r="T153" s="121"/>
    </row>
    <row r="154" spans="1:23" s="122" customFormat="1" ht="12.75" customHeight="1">
      <c r="A154" s="463" t="s">
        <v>215</v>
      </c>
      <c r="B154" s="464"/>
      <c r="C154" s="464"/>
      <c r="D154" s="464"/>
      <c r="E154" s="464"/>
      <c r="F154" s="464"/>
      <c r="G154" s="464"/>
      <c r="H154" s="464"/>
      <c r="I154" s="464"/>
      <c r="J154" s="464"/>
      <c r="K154" s="464"/>
      <c r="L154" s="464"/>
      <c r="M154" s="464"/>
      <c r="N154" s="464"/>
      <c r="O154" s="464"/>
      <c r="P154" s="465"/>
      <c r="T154" s="121"/>
    </row>
    <row r="155" spans="1:23" s="122" customFormat="1" ht="12" customHeight="1">
      <c r="A155" s="427">
        <v>125</v>
      </c>
      <c r="B155" s="428" t="s">
        <v>27</v>
      </c>
      <c r="C155" s="429" t="s">
        <v>138</v>
      </c>
      <c r="D155" s="376">
        <v>3670464321.6900001</v>
      </c>
      <c r="E155" s="204">
        <f>(D155/$D$166)</f>
        <v>0.15417730776101121</v>
      </c>
      <c r="F155" s="378">
        <v>1.81</v>
      </c>
      <c r="G155" s="378">
        <v>1.83</v>
      </c>
      <c r="H155" s="382">
        <v>2.9899999999999999E-2</v>
      </c>
      <c r="I155" s="376">
        <v>3694196489.5900002</v>
      </c>
      <c r="J155" s="204">
        <f>(I155/$I$166)</f>
        <v>0.1548884490291336</v>
      </c>
      <c r="K155" s="378">
        <v>1.82</v>
      </c>
      <c r="L155" s="378">
        <v>1.84</v>
      </c>
      <c r="M155" s="382">
        <v>3.6299999999999999E-2</v>
      </c>
      <c r="N155" s="119">
        <f>((I155-D155)/D155)</f>
        <v>6.4657127327893598E-3</v>
      </c>
      <c r="O155" s="119">
        <f>((L155-G155)/G155)</f>
        <v>5.4644808743169442E-3</v>
      </c>
      <c r="P155" s="241">
        <f>M155-H155</f>
        <v>6.3999999999999994E-3</v>
      </c>
      <c r="Q155" s="120"/>
      <c r="T155" s="121"/>
    </row>
    <row r="156" spans="1:23" s="122" customFormat="1" ht="12.75" customHeight="1">
      <c r="A156" s="427">
        <v>126</v>
      </c>
      <c r="B156" s="428" t="s">
        <v>5</v>
      </c>
      <c r="C156" s="429" t="s">
        <v>70</v>
      </c>
      <c r="D156" s="376">
        <v>313287527.64999998</v>
      </c>
      <c r="E156" s="204">
        <f>(D156/$D$166)</f>
        <v>1.3159595989735881E-2</v>
      </c>
      <c r="F156" s="378">
        <v>275.35000000000002</v>
      </c>
      <c r="G156" s="378">
        <v>278.39999999999998</v>
      </c>
      <c r="H156" s="382">
        <v>4.8599999999999997E-2</v>
      </c>
      <c r="I156" s="376">
        <v>316063836.01999998</v>
      </c>
      <c r="J156" s="204">
        <f>(I156/$I$166)</f>
        <v>1.3251768684553493E-2</v>
      </c>
      <c r="K156" s="378">
        <v>276.12</v>
      </c>
      <c r="L156" s="378">
        <v>279.16000000000003</v>
      </c>
      <c r="M156" s="382">
        <v>5.1499999999999997E-2</v>
      </c>
      <c r="N156" s="83">
        <f>((I156-D156)/D156)</f>
        <v>8.8618541275018586E-3</v>
      </c>
      <c r="O156" s="83">
        <f>((L156-G156)/G156)</f>
        <v>2.7298850574714361E-3</v>
      </c>
      <c r="P156" s="241">
        <f>M156-H156</f>
        <v>2.8999999999999998E-3</v>
      </c>
      <c r="Q156" s="120"/>
      <c r="R156" s="199"/>
    </row>
    <row r="157" spans="1:23" s="122" customFormat="1" ht="6" customHeight="1">
      <c r="A157" s="451"/>
      <c r="B157" s="452"/>
      <c r="C157" s="452"/>
      <c r="D157" s="452"/>
      <c r="E157" s="452"/>
      <c r="F157" s="452"/>
      <c r="G157" s="452"/>
      <c r="H157" s="452"/>
      <c r="I157" s="452"/>
      <c r="J157" s="452"/>
      <c r="K157" s="452"/>
      <c r="L157" s="452"/>
      <c r="M157" s="452"/>
      <c r="N157" s="452"/>
      <c r="O157" s="452"/>
      <c r="P157" s="453"/>
      <c r="R157" s="199"/>
    </row>
    <row r="158" spans="1:23" s="122" customFormat="1" ht="12" customHeight="1">
      <c r="A158" s="463" t="s">
        <v>216</v>
      </c>
      <c r="B158" s="464"/>
      <c r="C158" s="464"/>
      <c r="D158" s="464"/>
      <c r="E158" s="464"/>
      <c r="F158" s="464"/>
      <c r="G158" s="464"/>
      <c r="H158" s="464"/>
      <c r="I158" s="464"/>
      <c r="J158" s="464"/>
      <c r="K158" s="464"/>
      <c r="L158" s="464"/>
      <c r="M158" s="464"/>
      <c r="N158" s="464"/>
      <c r="O158" s="464"/>
      <c r="P158" s="465"/>
      <c r="R158" s="199"/>
    </row>
    <row r="159" spans="1:23" s="122" customFormat="1" ht="12" customHeight="1">
      <c r="A159" s="427">
        <v>127</v>
      </c>
      <c r="B159" s="428" t="s">
        <v>5</v>
      </c>
      <c r="C159" s="429" t="s">
        <v>140</v>
      </c>
      <c r="D159" s="391">
        <v>8487547879.2299995</v>
      </c>
      <c r="E159" s="204">
        <f t="shared" ref="E159:E165" si="39">(D159/$D$166)</f>
        <v>0.35651818593617224</v>
      </c>
      <c r="F159" s="392">
        <v>121.87</v>
      </c>
      <c r="G159" s="392">
        <v>121.87</v>
      </c>
      <c r="H159" s="399">
        <v>7.0000000000000001E-3</v>
      </c>
      <c r="I159" s="391">
        <v>8492802062.9399996</v>
      </c>
      <c r="J159" s="204">
        <f t="shared" ref="J159:J165" si="40">(I159/$I$166)</f>
        <v>0.35608201760437391</v>
      </c>
      <c r="K159" s="392">
        <v>121.99</v>
      </c>
      <c r="L159" s="392">
        <v>121.99</v>
      </c>
      <c r="M159" s="384">
        <v>8.0000000000000002E-3</v>
      </c>
      <c r="N159" s="83">
        <f t="shared" ref="N159:N167" si="41">((I159-D159)/D159)</f>
        <v>6.1904613496880842E-4</v>
      </c>
      <c r="O159" s="83">
        <f t="shared" ref="O159:O165" si="42">((L159-G159)/G159)</f>
        <v>9.8465578074990014E-4</v>
      </c>
      <c r="P159" s="241">
        <f t="shared" ref="P159:P166" si="43">M159-H159</f>
        <v>1E-3</v>
      </c>
      <c r="Q159" s="120"/>
      <c r="R159" s="199"/>
    </row>
    <row r="160" spans="1:23" s="122" customFormat="1" ht="12" customHeight="1">
      <c r="A160" s="427">
        <v>128</v>
      </c>
      <c r="B160" s="428" t="s">
        <v>201</v>
      </c>
      <c r="C160" s="429" t="s">
        <v>202</v>
      </c>
      <c r="D160" s="391">
        <v>8141366291.6800003</v>
      </c>
      <c r="E160" s="204">
        <f t="shared" si="39"/>
        <v>0.34197687985413494</v>
      </c>
      <c r="F160" s="391">
        <v>124.67</v>
      </c>
      <c r="G160" s="391">
        <v>124.67</v>
      </c>
      <c r="H160" s="399">
        <v>0.12870000000000001</v>
      </c>
      <c r="I160" s="391">
        <v>8149133404.1099997</v>
      </c>
      <c r="J160" s="204">
        <f t="shared" si="40"/>
        <v>0.34167284751932281</v>
      </c>
      <c r="K160" s="391">
        <v>124.99</v>
      </c>
      <c r="L160" s="391">
        <v>124.99</v>
      </c>
      <c r="M160" s="399">
        <v>0.12870000000000001</v>
      </c>
      <c r="N160" s="83">
        <f t="shared" si="41"/>
        <v>9.5403058304069745E-4</v>
      </c>
      <c r="O160" s="83">
        <f t="shared" si="42"/>
        <v>2.5667762894039719E-3</v>
      </c>
      <c r="P160" s="241">
        <f t="shared" si="43"/>
        <v>0</v>
      </c>
      <c r="Q160" s="120"/>
      <c r="R160" s="199"/>
    </row>
    <row r="161" spans="1:18" s="122" customFormat="1" ht="12" customHeight="1">
      <c r="A161" s="427">
        <v>129</v>
      </c>
      <c r="B161" s="428" t="s">
        <v>45</v>
      </c>
      <c r="C161" s="429" t="s">
        <v>176</v>
      </c>
      <c r="D161" s="391">
        <v>2229913614.5100002</v>
      </c>
      <c r="E161" s="204">
        <f t="shared" si="39"/>
        <v>9.3667189623159092E-2</v>
      </c>
      <c r="F161" s="392">
        <v>1.1157999999999999</v>
      </c>
      <c r="G161" s="392">
        <v>1.1157999999999999</v>
      </c>
      <c r="H161" s="399">
        <v>0.1003</v>
      </c>
      <c r="I161" s="391">
        <v>2234100421.8099999</v>
      </c>
      <c r="J161" s="204">
        <f t="shared" si="40"/>
        <v>9.3670260984923634E-2</v>
      </c>
      <c r="K161" s="392">
        <v>1.1178999999999999</v>
      </c>
      <c r="L161" s="392">
        <v>1.1178999999999999</v>
      </c>
      <c r="M161" s="384">
        <v>0.1007</v>
      </c>
      <c r="N161" s="83">
        <f t="shared" si="41"/>
        <v>1.877564795674706E-3</v>
      </c>
      <c r="O161" s="83">
        <f t="shared" si="42"/>
        <v>1.8820577164366293E-3</v>
      </c>
      <c r="P161" s="241">
        <f t="shared" si="43"/>
        <v>3.9999999999999758E-4</v>
      </c>
      <c r="Q161" s="120"/>
      <c r="R161" s="199"/>
    </row>
    <row r="162" spans="1:18" s="122" customFormat="1" ht="12" customHeight="1">
      <c r="A162" s="427">
        <v>130</v>
      </c>
      <c r="B162" s="428" t="s">
        <v>188</v>
      </c>
      <c r="C162" s="429" t="s">
        <v>189</v>
      </c>
      <c r="D162" s="391">
        <v>359488079.36000001</v>
      </c>
      <c r="E162" s="204">
        <f t="shared" si="39"/>
        <v>1.5100243290849408E-2</v>
      </c>
      <c r="F162" s="392">
        <v>101.63</v>
      </c>
      <c r="G162" s="392">
        <v>101.63</v>
      </c>
      <c r="H162" s="399">
        <v>8.9399999999999993E-2</v>
      </c>
      <c r="I162" s="391">
        <v>358893531.20999998</v>
      </c>
      <c r="J162" s="204">
        <f t="shared" si="40"/>
        <v>1.5047511027729693E-2</v>
      </c>
      <c r="K162" s="392">
        <v>101.87</v>
      </c>
      <c r="L162" s="392">
        <v>101.87</v>
      </c>
      <c r="M162" s="384">
        <v>0.1036</v>
      </c>
      <c r="N162" s="83">
        <f t="shared" si="41"/>
        <v>-1.6538744512989566E-3</v>
      </c>
      <c r="O162" s="83">
        <f t="shared" si="42"/>
        <v>2.3615074289088764E-3</v>
      </c>
      <c r="P162" s="241">
        <f t="shared" si="43"/>
        <v>1.4200000000000004E-2</v>
      </c>
      <c r="Q162" s="120"/>
      <c r="R162" s="199"/>
    </row>
    <row r="163" spans="1:18" s="122" customFormat="1" ht="12" customHeight="1">
      <c r="A163" s="427">
        <v>131</v>
      </c>
      <c r="B163" s="428" t="s">
        <v>249</v>
      </c>
      <c r="C163" s="429" t="s">
        <v>248</v>
      </c>
      <c r="D163" s="391">
        <v>498886405.76999998</v>
      </c>
      <c r="E163" s="204">
        <f t="shared" si="39"/>
        <v>2.0955649252781993E-2</v>
      </c>
      <c r="F163" s="391">
        <v>1045.94</v>
      </c>
      <c r="G163" s="391">
        <v>1045.94</v>
      </c>
      <c r="H163" s="399">
        <v>4.5900000000000003E-2</v>
      </c>
      <c r="I163" s="391">
        <v>499525503.55000001</v>
      </c>
      <c r="J163" s="204">
        <f t="shared" si="40"/>
        <v>2.0943859026822758E-2</v>
      </c>
      <c r="K163" s="391">
        <v>1046.75</v>
      </c>
      <c r="L163" s="391">
        <v>1046.75</v>
      </c>
      <c r="M163" s="384">
        <v>4.6800000000000001E-2</v>
      </c>
      <c r="N163" s="83">
        <f t="shared" si="41"/>
        <v>1.2810486968744389E-3</v>
      </c>
      <c r="O163" s="83">
        <f t="shared" si="42"/>
        <v>7.744230070558019E-4</v>
      </c>
      <c r="P163" s="241">
        <f t="shared" si="43"/>
        <v>8.9999999999999802E-4</v>
      </c>
      <c r="Q163" s="120"/>
      <c r="R163" s="199"/>
    </row>
    <row r="164" spans="1:18" s="379" customFormat="1" ht="12" customHeight="1">
      <c r="A164" s="427">
        <v>132</v>
      </c>
      <c r="B164" s="428" t="s">
        <v>94</v>
      </c>
      <c r="C164" s="429" t="s">
        <v>251</v>
      </c>
      <c r="D164" s="391">
        <v>54515641.07</v>
      </c>
      <c r="E164" s="381">
        <f>(D164/$D$166)</f>
        <v>2.2899213926068748E-3</v>
      </c>
      <c r="F164" s="391">
        <v>104.03</v>
      </c>
      <c r="G164" s="391">
        <v>104.03</v>
      </c>
      <c r="H164" s="399">
        <v>6.0380000000000003E-2</v>
      </c>
      <c r="I164" s="391">
        <v>54625839.579999998</v>
      </c>
      <c r="J164" s="381">
        <f>(I164/$I$166)</f>
        <v>2.2903252691898615E-3</v>
      </c>
      <c r="K164" s="391">
        <v>104.13</v>
      </c>
      <c r="L164" s="391">
        <v>104.13</v>
      </c>
      <c r="M164" s="399">
        <v>6.0409999999999998E-2</v>
      </c>
      <c r="N164" s="377">
        <f>((I164-D164)/D164)</f>
        <v>2.0214108802004025E-3</v>
      </c>
      <c r="O164" s="377">
        <f>((L164-G164)/G164)</f>
        <v>9.6126117466110083E-4</v>
      </c>
      <c r="P164" s="383">
        <f>M164-H164</f>
        <v>2.9999999999995308E-5</v>
      </c>
      <c r="Q164" s="120"/>
      <c r="R164" s="380"/>
    </row>
    <row r="165" spans="1:18" s="122" customFormat="1" ht="12" customHeight="1">
      <c r="A165" s="427">
        <v>133</v>
      </c>
      <c r="B165" s="428" t="s">
        <v>105</v>
      </c>
      <c r="C165" s="433" t="s">
        <v>256</v>
      </c>
      <c r="D165" s="385">
        <v>51304238.359999999</v>
      </c>
      <c r="E165" s="204">
        <f t="shared" si="39"/>
        <v>2.1550268995482297E-3</v>
      </c>
      <c r="F165" s="386">
        <v>98.62</v>
      </c>
      <c r="G165" s="386">
        <v>101.36</v>
      </c>
      <c r="H165" s="399">
        <v>8.6E-3</v>
      </c>
      <c r="I165" s="385">
        <v>51349603.399999999</v>
      </c>
      <c r="J165" s="204">
        <f t="shared" si="40"/>
        <v>2.1529608539500936E-3</v>
      </c>
      <c r="K165" s="386">
        <v>98.7</v>
      </c>
      <c r="L165" s="386">
        <v>101.56</v>
      </c>
      <c r="M165" s="399">
        <v>0.01</v>
      </c>
      <c r="N165" s="83">
        <f t="shared" si="41"/>
        <v>8.8423571716773669E-4</v>
      </c>
      <c r="O165" s="83">
        <f t="shared" si="42"/>
        <v>1.9731649565903988E-3</v>
      </c>
      <c r="P165" s="241">
        <f t="shared" si="43"/>
        <v>1.4000000000000002E-3</v>
      </c>
      <c r="Q165" s="120"/>
      <c r="R165" s="199"/>
    </row>
    <row r="166" spans="1:18" s="122" customFormat="1" ht="12" customHeight="1">
      <c r="A166" s="283"/>
      <c r="B166" s="12"/>
      <c r="C166" s="311" t="s">
        <v>46</v>
      </c>
      <c r="D166" s="81">
        <f>SUM(D155:D165)</f>
        <v>23806773999.320004</v>
      </c>
      <c r="E166" s="284">
        <f>(D166/$D$167)</f>
        <v>1.5736373707618156E-2</v>
      </c>
      <c r="F166" s="285"/>
      <c r="G166" s="74"/>
      <c r="H166" s="267"/>
      <c r="I166" s="81">
        <f>SUM(I155:I165)</f>
        <v>23850690692.210003</v>
      </c>
      <c r="J166" s="284">
        <f>(I166/$I$167)</f>
        <v>1.5658703839972254E-2</v>
      </c>
      <c r="K166" s="286"/>
      <c r="L166" s="74"/>
      <c r="M166" s="287"/>
      <c r="N166" s="288">
        <f t="shared" si="41"/>
        <v>1.8447141511594048E-3</v>
      </c>
      <c r="O166" s="288"/>
      <c r="P166" s="289">
        <f t="shared" si="43"/>
        <v>0</v>
      </c>
      <c r="Q166" s="120"/>
      <c r="R166" s="147" t="s">
        <v>181</v>
      </c>
    </row>
    <row r="167" spans="1:18" s="122" customFormat="1" ht="12" customHeight="1">
      <c r="A167" s="290"/>
      <c r="B167" s="291"/>
      <c r="C167" s="292" t="s">
        <v>32</v>
      </c>
      <c r="D167" s="293">
        <f>SUM(D22,D54,D87,D111,D118,D145,D151,D166)</f>
        <v>1512850065818.8408</v>
      </c>
      <c r="E167" s="294"/>
      <c r="F167" s="294"/>
      <c r="G167" s="295"/>
      <c r="H167" s="296"/>
      <c r="I167" s="293">
        <f>SUM(I22,I54,I87,I111,I118,I145,I151,I166)</f>
        <v>1523158681328.7776</v>
      </c>
      <c r="J167" s="294"/>
      <c r="K167" s="294"/>
      <c r="L167" s="295"/>
      <c r="M167" s="297"/>
      <c r="N167" s="298">
        <f t="shared" si="41"/>
        <v>6.8140364619392445E-3</v>
      </c>
      <c r="O167" s="298"/>
      <c r="P167" s="299"/>
      <c r="R167" s="148">
        <f>((I167-D167)/D167)</f>
        <v>6.8140364619392445E-3</v>
      </c>
    </row>
    <row r="168" spans="1:18" s="122" customFormat="1" ht="6.75" customHeight="1">
      <c r="A168" s="451"/>
      <c r="B168" s="452"/>
      <c r="C168" s="452"/>
      <c r="D168" s="452"/>
      <c r="E168" s="452"/>
      <c r="F168" s="452"/>
      <c r="G168" s="452"/>
      <c r="H168" s="452"/>
      <c r="I168" s="452"/>
      <c r="J168" s="452"/>
      <c r="K168" s="452"/>
      <c r="L168" s="452"/>
      <c r="M168" s="452"/>
      <c r="N168" s="452"/>
      <c r="O168" s="452"/>
      <c r="P168" s="453"/>
      <c r="R168" s="199"/>
    </row>
    <row r="169" spans="1:18" s="122" customFormat="1" ht="12" customHeight="1">
      <c r="A169" s="476" t="s">
        <v>217</v>
      </c>
      <c r="B169" s="477"/>
      <c r="C169" s="477"/>
      <c r="D169" s="477"/>
      <c r="E169" s="477"/>
      <c r="F169" s="477"/>
      <c r="G169" s="477"/>
      <c r="H169" s="477"/>
      <c r="I169" s="477"/>
      <c r="J169" s="477"/>
      <c r="K169" s="477"/>
      <c r="L169" s="477"/>
      <c r="M169" s="477"/>
      <c r="N169" s="477"/>
      <c r="O169" s="477"/>
      <c r="P169" s="478"/>
      <c r="R169" s="199"/>
    </row>
    <row r="170" spans="1:18" s="122" customFormat="1" ht="25.5" customHeight="1">
      <c r="A170" s="262"/>
      <c r="B170" s="263"/>
      <c r="C170" s="263"/>
      <c r="D170" s="279" t="s">
        <v>221</v>
      </c>
      <c r="E170" s="280"/>
      <c r="F170" s="280"/>
      <c r="G170" s="332" t="s">
        <v>222</v>
      </c>
      <c r="H170" s="281"/>
      <c r="I170" s="282" t="s">
        <v>221</v>
      </c>
      <c r="J170" s="280"/>
      <c r="K170" s="278" t="s">
        <v>232</v>
      </c>
      <c r="L170" s="278" t="s">
        <v>233</v>
      </c>
      <c r="M170" s="332"/>
      <c r="N170" s="454" t="s">
        <v>67</v>
      </c>
      <c r="O170" s="454"/>
      <c r="P170" s="475"/>
      <c r="R170" s="199"/>
    </row>
    <row r="171" spans="1:18" s="122" customFormat="1" ht="12" customHeight="1">
      <c r="A171" s="307" t="s">
        <v>1</v>
      </c>
      <c r="B171" s="308" t="s">
        <v>210</v>
      </c>
      <c r="C171" s="309" t="s">
        <v>2</v>
      </c>
      <c r="D171" s="212"/>
      <c r="E171" s="212"/>
      <c r="F171" s="212"/>
      <c r="G171" s="212"/>
      <c r="H171" s="212"/>
      <c r="I171" s="243"/>
      <c r="J171" s="244"/>
      <c r="K171" s="244"/>
      <c r="L171" s="245"/>
      <c r="M171" s="245"/>
      <c r="N171" s="326" t="s">
        <v>220</v>
      </c>
      <c r="O171" s="323" t="s">
        <v>223</v>
      </c>
      <c r="P171" s="328" t="s">
        <v>234</v>
      </c>
      <c r="R171" s="199"/>
    </row>
    <row r="172" spans="1:18" s="122" customFormat="1" ht="12" customHeight="1">
      <c r="A172" s="427">
        <v>1</v>
      </c>
      <c r="B172" s="428" t="s">
        <v>125</v>
      </c>
      <c r="C172" s="429" t="s">
        <v>238</v>
      </c>
      <c r="D172" s="391">
        <v>91117290437</v>
      </c>
      <c r="E172" s="204">
        <f>(D172/$D$174)</f>
        <v>0.97693571890031616</v>
      </c>
      <c r="F172" s="392">
        <v>107.59</v>
      </c>
      <c r="G172" s="392">
        <v>107.59</v>
      </c>
      <c r="H172" s="388">
        <v>0.13800000000000001</v>
      </c>
      <c r="I172" s="391">
        <v>91117290437</v>
      </c>
      <c r="J172" s="204">
        <f>(I172/$I$174)</f>
        <v>0.97687337086326342</v>
      </c>
      <c r="K172" s="387">
        <v>107.59</v>
      </c>
      <c r="L172" s="387">
        <v>107.59</v>
      </c>
      <c r="M172" s="388">
        <v>0.13800000000000001</v>
      </c>
      <c r="N172" s="83">
        <f>((I172-D172)/D172)</f>
        <v>0</v>
      </c>
      <c r="O172" s="83">
        <f>((L172-G172)/G172)</f>
        <v>0</v>
      </c>
      <c r="P172" s="241">
        <f>M172-H172</f>
        <v>0</v>
      </c>
      <c r="R172" s="199"/>
    </row>
    <row r="173" spans="1:18" s="122" customFormat="1" ht="12" customHeight="1">
      <c r="A173" s="427">
        <v>2</v>
      </c>
      <c r="B173" s="428" t="s">
        <v>45</v>
      </c>
      <c r="C173" s="429" t="s">
        <v>265</v>
      </c>
      <c r="D173" s="391">
        <v>2151169989</v>
      </c>
      <c r="E173" s="204">
        <f>(D173/$D$174)</f>
        <v>2.3064281099683819E-2</v>
      </c>
      <c r="F173" s="393">
        <v>1000000</v>
      </c>
      <c r="G173" s="393">
        <v>1000000</v>
      </c>
      <c r="H173" s="388">
        <v>7.5600000000000001E-2</v>
      </c>
      <c r="I173" s="391">
        <v>2157122762</v>
      </c>
      <c r="J173" s="204">
        <f>(I173/$I$174)</f>
        <v>2.3126629136736576E-2</v>
      </c>
      <c r="K173" s="393">
        <v>1000000</v>
      </c>
      <c r="L173" s="393">
        <v>1000000</v>
      </c>
      <c r="M173" s="388">
        <v>0.15240000000000001</v>
      </c>
      <c r="N173" s="83">
        <f>((I173-D173)/D173)</f>
        <v>2.7672257564206842E-3</v>
      </c>
      <c r="O173" s="83">
        <f>((L173-G173)/G173)</f>
        <v>0</v>
      </c>
      <c r="P173" s="241">
        <f>M173-H173</f>
        <v>7.6800000000000007E-2</v>
      </c>
      <c r="R173" s="147" t="s">
        <v>225</v>
      </c>
    </row>
    <row r="174" spans="1:18" s="122" customFormat="1" ht="12" customHeight="1">
      <c r="A174" s="264"/>
      <c r="B174" s="265"/>
      <c r="C174" s="265" t="s">
        <v>218</v>
      </c>
      <c r="D174" s="82">
        <f>SUM(D172:D173)</f>
        <v>93268460426</v>
      </c>
      <c r="E174" s="266"/>
      <c r="F174" s="79"/>
      <c r="G174" s="79"/>
      <c r="H174" s="242"/>
      <c r="I174" s="82">
        <f>SUM(I172:I173)</f>
        <v>93274413199</v>
      </c>
      <c r="J174" s="247"/>
      <c r="K174" s="79"/>
      <c r="L174" s="79"/>
      <c r="M174" s="242"/>
      <c r="N174" s="83">
        <f>((I174-D174)/D174)</f>
        <v>6.382407271237184E-5</v>
      </c>
      <c r="O174" s="229"/>
      <c r="P174" s="241">
        <f>M174-H174</f>
        <v>0</v>
      </c>
      <c r="R174" s="148">
        <f>((I174-D174)/D174)</f>
        <v>6.382407271237184E-5</v>
      </c>
    </row>
    <row r="175" spans="1:18" s="122" customFormat="1" ht="7.5" customHeight="1">
      <c r="A175" s="479"/>
      <c r="B175" s="480"/>
      <c r="C175" s="480"/>
      <c r="D175" s="480"/>
      <c r="E175" s="480"/>
      <c r="F175" s="480"/>
      <c r="G175" s="480"/>
      <c r="H175" s="480"/>
      <c r="I175" s="480"/>
      <c r="J175" s="480"/>
      <c r="K175" s="480"/>
      <c r="L175" s="480"/>
      <c r="M175" s="480"/>
      <c r="N175" s="480"/>
      <c r="O175" s="480"/>
      <c r="P175" s="481"/>
      <c r="R175" s="199"/>
    </row>
    <row r="176" spans="1:18" s="122" customFormat="1" ht="12" customHeight="1">
      <c r="A176" s="476" t="s">
        <v>239</v>
      </c>
      <c r="B176" s="477"/>
      <c r="C176" s="477"/>
      <c r="D176" s="477"/>
      <c r="E176" s="477"/>
      <c r="F176" s="477"/>
      <c r="G176" s="477"/>
      <c r="H176" s="477"/>
      <c r="I176" s="477"/>
      <c r="J176" s="477"/>
      <c r="K176" s="477"/>
      <c r="L176" s="477"/>
      <c r="M176" s="477"/>
      <c r="N176" s="477"/>
      <c r="O176" s="477"/>
      <c r="P176" s="478"/>
      <c r="R176" s="199"/>
    </row>
    <row r="177" spans="1:18" s="122" customFormat="1" ht="25.5" customHeight="1">
      <c r="A177" s="273"/>
      <c r="B177" s="274" t="s">
        <v>210</v>
      </c>
      <c r="C177" s="275" t="s">
        <v>50</v>
      </c>
      <c r="D177" s="275" t="s">
        <v>78</v>
      </c>
      <c r="E177" s="276" t="s">
        <v>66</v>
      </c>
      <c r="F177" s="276"/>
      <c r="G177" s="276" t="s">
        <v>79</v>
      </c>
      <c r="H177" s="277"/>
      <c r="I177" s="278" t="s">
        <v>78</v>
      </c>
      <c r="J177" s="276" t="s">
        <v>66</v>
      </c>
      <c r="K177" s="278" t="s">
        <v>232</v>
      </c>
      <c r="L177" s="278" t="s">
        <v>233</v>
      </c>
      <c r="M177" s="276"/>
      <c r="N177" s="454" t="s">
        <v>67</v>
      </c>
      <c r="O177" s="454"/>
      <c r="P177" s="475"/>
      <c r="R177" s="199"/>
    </row>
    <row r="178" spans="1:18" s="122" customFormat="1" ht="12" customHeight="1">
      <c r="A178" s="200"/>
      <c r="B178" s="70"/>
      <c r="C178" s="70"/>
      <c r="D178" s="212"/>
      <c r="E178" s="212"/>
      <c r="F178" s="212"/>
      <c r="G178" s="212"/>
      <c r="H178" s="236"/>
      <c r="I178" s="232"/>
      <c r="J178" s="212"/>
      <c r="K178" s="212"/>
      <c r="L178" s="212"/>
      <c r="M178" s="235"/>
      <c r="N178" s="323" t="s">
        <v>128</v>
      </c>
      <c r="O178" s="327" t="s">
        <v>127</v>
      </c>
      <c r="P178" s="328" t="s">
        <v>234</v>
      </c>
      <c r="R178" s="199"/>
    </row>
    <row r="179" spans="1:18" s="122" customFormat="1" ht="12" customHeight="1">
      <c r="A179" s="427">
        <v>1</v>
      </c>
      <c r="B179" s="428" t="s">
        <v>33</v>
      </c>
      <c r="C179" s="429" t="s">
        <v>34</v>
      </c>
      <c r="D179" s="389">
        <v>3881045000</v>
      </c>
      <c r="E179" s="206">
        <f t="shared" ref="E179:E190" si="44">(D179/$D$191)</f>
        <v>0.44817330925364468</v>
      </c>
      <c r="F179" s="393">
        <v>19.77</v>
      </c>
      <c r="G179" s="393">
        <v>19.97</v>
      </c>
      <c r="H179" s="400"/>
      <c r="I179" s="389">
        <v>3144330000</v>
      </c>
      <c r="J179" s="206">
        <f t="shared" ref="J179:J189" si="45">(I179/$I$191)</f>
        <v>0.40043650322215607</v>
      </c>
      <c r="K179" s="393">
        <v>19.559999999999999</v>
      </c>
      <c r="L179" s="393">
        <v>19.760000000000002</v>
      </c>
      <c r="M179" s="400"/>
      <c r="N179" s="83">
        <f>((I179-D179)/D179)</f>
        <v>-0.18982387475538159</v>
      </c>
      <c r="O179" s="83">
        <f t="shared" ref="O179:O190" si="46">((L179-G179)/G179)</f>
        <v>-1.0515773660490602E-2</v>
      </c>
      <c r="P179" s="241">
        <f t="shared" ref="P179:P191" si="47">M179-H179</f>
        <v>0</v>
      </c>
      <c r="R179" s="199"/>
    </row>
    <row r="180" spans="1:18" s="122" customFormat="1" ht="12" customHeight="1">
      <c r="A180" s="427">
        <v>2</v>
      </c>
      <c r="B180" s="428" t="s">
        <v>33</v>
      </c>
      <c r="C180" s="429" t="s">
        <v>64</v>
      </c>
      <c r="D180" s="80">
        <v>461806726.06</v>
      </c>
      <c r="E180" s="206">
        <f t="shared" si="44"/>
        <v>5.3328278505892501E-2</v>
      </c>
      <c r="F180" s="393">
        <v>4.4800000000000004</v>
      </c>
      <c r="G180" s="393">
        <v>4.58</v>
      </c>
      <c r="H180" s="400"/>
      <c r="I180" s="80">
        <v>421760755.35000002</v>
      </c>
      <c r="J180" s="206">
        <f t="shared" si="45"/>
        <v>5.3712047421450443E-2</v>
      </c>
      <c r="K180" s="393">
        <v>4.42</v>
      </c>
      <c r="L180" s="393">
        <v>4.5199999999999996</v>
      </c>
      <c r="M180" s="400"/>
      <c r="N180" s="83">
        <f t="shared" ref="N180:N190" si="48">((I180-D180)/D180)</f>
        <v>-8.6715867158671536E-2</v>
      </c>
      <c r="O180" s="83">
        <f t="shared" si="46"/>
        <v>-1.3100436681222816E-2</v>
      </c>
      <c r="P180" s="241">
        <f t="shared" si="47"/>
        <v>0</v>
      </c>
      <c r="R180" s="199"/>
    </row>
    <row r="181" spans="1:18" s="122" customFormat="1" ht="12" customHeight="1">
      <c r="A181" s="427">
        <v>3</v>
      </c>
      <c r="B181" s="428" t="s">
        <v>33</v>
      </c>
      <c r="C181" s="429" t="s">
        <v>54</v>
      </c>
      <c r="D181" s="389">
        <v>159737163.52000001</v>
      </c>
      <c r="E181" s="206">
        <f t="shared" si="44"/>
        <v>1.8446045636046213E-2</v>
      </c>
      <c r="F181" s="393">
        <v>6.1</v>
      </c>
      <c r="G181" s="393">
        <v>6.2</v>
      </c>
      <c r="H181" s="400"/>
      <c r="I181" s="389">
        <v>159737163.52000001</v>
      </c>
      <c r="J181" s="206">
        <f t="shared" si="45"/>
        <v>2.034283653260776E-2</v>
      </c>
      <c r="K181" s="393">
        <v>6.14</v>
      </c>
      <c r="L181" s="393">
        <v>6.24</v>
      </c>
      <c r="M181" s="400"/>
      <c r="N181" s="83">
        <f t="shared" si="48"/>
        <v>0</v>
      </c>
      <c r="O181" s="83">
        <f t="shared" si="46"/>
        <v>6.4516129032258117E-3</v>
      </c>
      <c r="P181" s="241">
        <f t="shared" si="47"/>
        <v>0</v>
      </c>
      <c r="R181" s="199"/>
    </row>
    <row r="182" spans="1:18" s="122" customFormat="1" ht="12" customHeight="1">
      <c r="A182" s="427">
        <v>4</v>
      </c>
      <c r="B182" s="428" t="s">
        <v>33</v>
      </c>
      <c r="C182" s="429" t="s">
        <v>55</v>
      </c>
      <c r="D182" s="80">
        <v>258426139.65000001</v>
      </c>
      <c r="E182" s="206">
        <f t="shared" si="44"/>
        <v>2.9842400231016395E-2</v>
      </c>
      <c r="F182" s="393">
        <v>24.81</v>
      </c>
      <c r="G182" s="393">
        <v>24.65</v>
      </c>
      <c r="H182" s="400"/>
      <c r="I182" s="80">
        <v>258426139.65000001</v>
      </c>
      <c r="J182" s="206">
        <v>0.24610000000000001</v>
      </c>
      <c r="K182" s="393">
        <v>24.62</v>
      </c>
      <c r="L182" s="393">
        <v>24.82</v>
      </c>
      <c r="M182" s="400"/>
      <c r="N182" s="83">
        <f t="shared" si="48"/>
        <v>0</v>
      </c>
      <c r="O182" s="83">
        <f t="shared" si="46"/>
        <v>6.8965517241380003E-3</v>
      </c>
      <c r="P182" s="241">
        <f t="shared" si="47"/>
        <v>0</v>
      </c>
      <c r="R182" s="199"/>
    </row>
    <row r="183" spans="1:18" s="122" customFormat="1" ht="12" customHeight="1">
      <c r="A183" s="427">
        <v>5</v>
      </c>
      <c r="B183" s="428" t="s">
        <v>33</v>
      </c>
      <c r="C183" s="429" t="s">
        <v>98</v>
      </c>
      <c r="D183" s="389">
        <v>573572091.87</v>
      </c>
      <c r="E183" s="206">
        <f t="shared" si="44"/>
        <v>6.6234661672027351E-2</v>
      </c>
      <c r="F183" s="393">
        <v>140.15</v>
      </c>
      <c r="G183" s="393">
        <v>142.15</v>
      </c>
      <c r="H183" s="400"/>
      <c r="I183" s="389">
        <v>571811912.37</v>
      </c>
      <c r="J183" s="206">
        <f t="shared" si="45"/>
        <v>7.2821352304057382E-2</v>
      </c>
      <c r="K183" s="393">
        <v>140.12</v>
      </c>
      <c r="L183" s="393">
        <v>142.12</v>
      </c>
      <c r="M183" s="400"/>
      <c r="N183" s="83">
        <f t="shared" si="48"/>
        <v>-3.0688025532437241E-3</v>
      </c>
      <c r="O183" s="83">
        <f t="shared" si="46"/>
        <v>-2.1104467112206216E-4</v>
      </c>
      <c r="P183" s="241">
        <f t="shared" si="47"/>
        <v>0</v>
      </c>
      <c r="R183" s="199"/>
    </row>
    <row r="184" spans="1:18" s="122" customFormat="1" ht="12" customHeight="1">
      <c r="A184" s="427">
        <v>6</v>
      </c>
      <c r="B184" s="428" t="s">
        <v>35</v>
      </c>
      <c r="C184" s="429" t="s">
        <v>36</v>
      </c>
      <c r="D184" s="389">
        <v>655567246</v>
      </c>
      <c r="E184" s="206">
        <f t="shared" si="44"/>
        <v>7.5703255715436998E-2</v>
      </c>
      <c r="F184" s="393">
        <v>12277</v>
      </c>
      <c r="G184" s="393">
        <v>12277</v>
      </c>
      <c r="H184" s="400"/>
      <c r="I184" s="389">
        <v>640721534.03999996</v>
      </c>
      <c r="J184" s="206">
        <f t="shared" si="45"/>
        <v>8.1597125820163027E-2</v>
      </c>
      <c r="K184" s="393">
        <v>11998.98</v>
      </c>
      <c r="L184" s="393">
        <v>11998.98</v>
      </c>
      <c r="M184" s="400"/>
      <c r="N184" s="83">
        <f t="shared" si="48"/>
        <v>-2.2645597458662597E-2</v>
      </c>
      <c r="O184" s="83">
        <f t="shared" si="46"/>
        <v>-2.2645597458662577E-2</v>
      </c>
      <c r="P184" s="241">
        <f t="shared" si="47"/>
        <v>0</v>
      </c>
      <c r="R184" s="199"/>
    </row>
    <row r="185" spans="1:18" s="122" customFormat="1" ht="12" customHeight="1">
      <c r="A185" s="427">
        <v>7</v>
      </c>
      <c r="B185" s="428" t="s">
        <v>27</v>
      </c>
      <c r="C185" s="429" t="s">
        <v>102</v>
      </c>
      <c r="D185" s="389">
        <v>558941668.99000001</v>
      </c>
      <c r="E185" s="206">
        <f t="shared" si="44"/>
        <v>6.4545177257930159E-2</v>
      </c>
      <c r="F185" s="393">
        <v>16.73</v>
      </c>
      <c r="G185" s="393">
        <v>16.73</v>
      </c>
      <c r="H185" s="400">
        <v>7.8E-2</v>
      </c>
      <c r="I185" s="389">
        <v>547986915.36000001</v>
      </c>
      <c r="J185" s="206">
        <f t="shared" si="45"/>
        <v>6.978719288314332E-2</v>
      </c>
      <c r="K185" s="393">
        <v>16.41</v>
      </c>
      <c r="L185" s="393">
        <v>16.41</v>
      </c>
      <c r="M185" s="400">
        <v>5.6899999999999999E-2</v>
      </c>
      <c r="N185" s="83">
        <f t="shared" si="48"/>
        <v>-1.9599099937914963E-2</v>
      </c>
      <c r="O185" s="83">
        <f t="shared" si="46"/>
        <v>-1.9127316198445921E-2</v>
      </c>
      <c r="P185" s="241">
        <f t="shared" si="47"/>
        <v>-2.1100000000000001E-2</v>
      </c>
      <c r="R185" s="199"/>
    </row>
    <row r="186" spans="1:18" s="122" customFormat="1" ht="12" customHeight="1">
      <c r="A186" s="427">
        <v>8</v>
      </c>
      <c r="B186" s="428" t="s">
        <v>43</v>
      </c>
      <c r="C186" s="429" t="s">
        <v>44</v>
      </c>
      <c r="D186" s="389">
        <v>478721776.20999998</v>
      </c>
      <c r="E186" s="206">
        <f t="shared" si="44"/>
        <v>5.5281585927454691E-2</v>
      </c>
      <c r="F186" s="393">
        <v>110.3</v>
      </c>
      <c r="G186" s="393">
        <v>112.21</v>
      </c>
      <c r="H186" s="400">
        <v>7.1199999999999999E-2</v>
      </c>
      <c r="I186" s="389">
        <v>473423951.35000002</v>
      </c>
      <c r="J186" s="206">
        <f t="shared" si="45"/>
        <v>6.0291455292609285E-2</v>
      </c>
      <c r="K186" s="393">
        <v>191.11</v>
      </c>
      <c r="L186" s="393">
        <v>191.11</v>
      </c>
      <c r="M186" s="400">
        <v>5.9400000000000001E-2</v>
      </c>
      <c r="N186" s="83">
        <f t="shared" si="48"/>
        <v>-1.1066605120707874E-2</v>
      </c>
      <c r="O186" s="83">
        <f t="shared" si="46"/>
        <v>0.70314588717583126</v>
      </c>
      <c r="P186" s="241">
        <f t="shared" si="47"/>
        <v>-1.1799999999999998E-2</v>
      </c>
      <c r="R186" s="199"/>
    </row>
    <row r="187" spans="1:18" s="122" customFormat="1" ht="12" customHeight="1">
      <c r="A187" s="427">
        <v>9</v>
      </c>
      <c r="B187" s="428" t="s">
        <v>43</v>
      </c>
      <c r="C187" s="429" t="s">
        <v>100</v>
      </c>
      <c r="D187" s="389">
        <v>659082179.95000005</v>
      </c>
      <c r="E187" s="206">
        <f t="shared" si="44"/>
        <v>7.6109151442020809E-2</v>
      </c>
      <c r="F187" s="393">
        <v>141.65</v>
      </c>
      <c r="G187" s="393">
        <v>144.12</v>
      </c>
      <c r="H187" s="400">
        <v>7.17E-2</v>
      </c>
      <c r="I187" s="389">
        <v>652097907.47000003</v>
      </c>
      <c r="J187" s="206">
        <f t="shared" si="45"/>
        <v>8.3045928966034702E-2</v>
      </c>
      <c r="K187" s="393">
        <v>69.849999999999994</v>
      </c>
      <c r="L187" s="393">
        <v>69.849999999999994</v>
      </c>
      <c r="M187" s="400">
        <v>6.0299999999999999E-2</v>
      </c>
      <c r="N187" s="83">
        <f>((I187-D187)/D187)</f>
        <v>-1.0596967559538428E-2</v>
      </c>
      <c r="O187" s="83">
        <f t="shared" si="46"/>
        <v>-0.51533444351928959</v>
      </c>
      <c r="P187" s="241">
        <f t="shared" si="47"/>
        <v>-1.14E-2</v>
      </c>
      <c r="R187" s="199"/>
    </row>
    <row r="188" spans="1:18" s="122" customFormat="1" ht="12" customHeight="1">
      <c r="A188" s="427">
        <v>10</v>
      </c>
      <c r="B188" s="428" t="s">
        <v>93</v>
      </c>
      <c r="C188" s="429" t="s">
        <v>243</v>
      </c>
      <c r="D188" s="389">
        <v>551574995.07993412</v>
      </c>
      <c r="E188" s="206">
        <f t="shared" si="44"/>
        <v>6.3694492294352908E-2</v>
      </c>
      <c r="F188" s="393">
        <v>126.99</v>
      </c>
      <c r="G188" s="393">
        <v>129.96</v>
      </c>
      <c r="H188" s="400"/>
      <c r="I188" s="389">
        <v>545831609.86000001</v>
      </c>
      <c r="J188" s="206">
        <f t="shared" si="45"/>
        <v>6.9512710561696306E-2</v>
      </c>
      <c r="K188" s="393">
        <v>125.67</v>
      </c>
      <c r="L188" s="393">
        <v>128.63999999999999</v>
      </c>
      <c r="M188" s="400"/>
      <c r="N188" s="83">
        <f>((I188-D188)/D188)</f>
        <v>-1.0412700487087482E-2</v>
      </c>
      <c r="O188" s="83">
        <f t="shared" si="46"/>
        <v>-1.0156971375808106E-2</v>
      </c>
      <c r="P188" s="241">
        <f t="shared" si="47"/>
        <v>0</v>
      </c>
      <c r="R188" s="199"/>
    </row>
    <row r="189" spans="1:18" s="122" customFormat="1" ht="12" customHeight="1">
      <c r="A189" s="427">
        <v>11</v>
      </c>
      <c r="B189" s="428" t="s">
        <v>59</v>
      </c>
      <c r="C189" s="429" t="s">
        <v>199</v>
      </c>
      <c r="D189" s="389">
        <v>236249253.47</v>
      </c>
      <c r="E189" s="206">
        <f t="shared" si="44"/>
        <v>2.7281469227064616E-2</v>
      </c>
      <c r="F189" s="393">
        <v>16.399999999999999</v>
      </c>
      <c r="G189" s="393">
        <v>16.5</v>
      </c>
      <c r="H189" s="400"/>
      <c r="I189" s="389">
        <v>246168263.31</v>
      </c>
      <c r="J189" s="206">
        <f t="shared" si="45"/>
        <v>3.1350004154820706E-2</v>
      </c>
      <c r="K189" s="393">
        <v>16.399999999999999</v>
      </c>
      <c r="L189" s="393">
        <v>16.5</v>
      </c>
      <c r="M189" s="400"/>
      <c r="N189" s="83">
        <f>((I189-D189)/D189)</f>
        <v>4.1985359506160572E-2</v>
      </c>
      <c r="O189" s="83">
        <f t="shared" si="46"/>
        <v>0</v>
      </c>
      <c r="P189" s="241">
        <f t="shared" si="47"/>
        <v>0</v>
      </c>
      <c r="R189" s="199"/>
    </row>
    <row r="190" spans="1:18" s="122" customFormat="1" ht="12" customHeight="1">
      <c r="A190" s="427">
        <v>12</v>
      </c>
      <c r="B190" s="428" t="s">
        <v>59</v>
      </c>
      <c r="C190" s="429" t="s">
        <v>200</v>
      </c>
      <c r="D190" s="389">
        <v>184972621.69999999</v>
      </c>
      <c r="E190" s="206">
        <f t="shared" si="44"/>
        <v>2.136017283711256E-2</v>
      </c>
      <c r="F190" s="393">
        <v>17.399999999999999</v>
      </c>
      <c r="G190" s="393">
        <v>17.5</v>
      </c>
      <c r="H190" s="400"/>
      <c r="I190" s="389">
        <v>189960009.93000001</v>
      </c>
      <c r="J190" s="206">
        <f>(I190/$I$191)</f>
        <v>2.419177444110995E-2</v>
      </c>
      <c r="K190" s="393">
        <v>17.399999999999999</v>
      </c>
      <c r="L190" s="393">
        <v>17.5</v>
      </c>
      <c r="M190" s="400"/>
      <c r="N190" s="83">
        <f t="shared" si="48"/>
        <v>2.6962845550672212E-2</v>
      </c>
      <c r="O190" s="83">
        <f t="shared" si="46"/>
        <v>0</v>
      </c>
      <c r="P190" s="241">
        <f t="shared" si="47"/>
        <v>0</v>
      </c>
      <c r="R190" s="201"/>
    </row>
    <row r="191" spans="1:18" s="122" customFormat="1" ht="12" customHeight="1">
      <c r="A191" s="264"/>
      <c r="B191" s="265"/>
      <c r="C191" s="265" t="s">
        <v>37</v>
      </c>
      <c r="D191" s="82">
        <f>SUM(D179:D190)</f>
        <v>8659696862.4999352</v>
      </c>
      <c r="E191" s="266"/>
      <c r="F191" s="246"/>
      <c r="G191" s="79"/>
      <c r="H191" s="242"/>
      <c r="I191" s="82">
        <f>SUM(I179:I190)</f>
        <v>7852256162.210001</v>
      </c>
      <c r="J191" s="247"/>
      <c r="K191" s="246"/>
      <c r="L191" s="79"/>
      <c r="M191" s="242"/>
      <c r="N191" s="83">
        <f>((I191-D191)/D191)</f>
        <v>-9.3241220000030947E-2</v>
      </c>
      <c r="O191" s="229"/>
      <c r="P191" s="401">
        <f t="shared" si="47"/>
        <v>0</v>
      </c>
      <c r="R191" s="147" t="s">
        <v>180</v>
      </c>
    </row>
    <row r="192" spans="1:18" s="122" customFormat="1" ht="12" customHeight="1" thickBot="1">
      <c r="A192" s="268"/>
      <c r="B192" s="269"/>
      <c r="C192" s="269" t="s">
        <v>47</v>
      </c>
      <c r="D192" s="270">
        <f>SUM(D167,D174,D191)</f>
        <v>1614778223107.3408</v>
      </c>
      <c r="E192" s="270"/>
      <c r="F192" s="270"/>
      <c r="G192" s="271"/>
      <c r="H192" s="272"/>
      <c r="I192" s="270">
        <f>SUM(I167,I174,I191)</f>
        <v>1624285350689.9875</v>
      </c>
      <c r="J192" s="248"/>
      <c r="K192" s="248"/>
      <c r="L192" s="249"/>
      <c r="M192" s="250"/>
      <c r="N192" s="225"/>
      <c r="O192" s="230"/>
      <c r="P192" s="226"/>
      <c r="R192" s="148">
        <f>((I191-D191)/D191)</f>
        <v>-9.3241220000030947E-2</v>
      </c>
    </row>
    <row r="193" spans="1:13" ht="12" customHeight="1">
      <c r="A193" s="251"/>
      <c r="B193" s="252"/>
      <c r="C193" s="100"/>
      <c r="D193" s="67"/>
      <c r="E193" s="67"/>
      <c r="F193" s="67"/>
      <c r="G193" s="253"/>
      <c r="H193" s="254"/>
      <c r="I193" s="7"/>
      <c r="J193" s="67"/>
      <c r="K193" s="67"/>
      <c r="L193" s="255"/>
      <c r="M193" s="256"/>
    </row>
    <row r="194" spans="1:13" ht="12" customHeight="1">
      <c r="A194" s="256"/>
      <c r="B194" s="258"/>
      <c r="C194" s="255"/>
      <c r="D194" s="255"/>
      <c r="E194" s="255"/>
      <c r="F194" s="255"/>
      <c r="G194" s="255"/>
      <c r="H194" s="257"/>
      <c r="I194" s="259"/>
      <c r="J194" s="255"/>
      <c r="K194" s="255"/>
      <c r="L194" s="255"/>
      <c r="M194" s="256"/>
    </row>
    <row r="195" spans="1:13" ht="12" customHeight="1">
      <c r="A195" s="256"/>
      <c r="B195" s="255"/>
      <c r="C195" s="258"/>
      <c r="D195" s="255"/>
      <c r="E195" s="255"/>
      <c r="F195" s="255"/>
      <c r="G195" s="255"/>
      <c r="H195" s="257"/>
      <c r="I195" s="259"/>
      <c r="J195" s="255"/>
      <c r="K195" s="255"/>
      <c r="L195" s="255"/>
      <c r="M195" s="256"/>
    </row>
    <row r="196" spans="1:13" ht="12" customHeight="1">
      <c r="A196" s="256"/>
      <c r="B196" s="260"/>
      <c r="C196" s="261"/>
      <c r="D196" s="255"/>
      <c r="E196" s="255"/>
      <c r="F196" s="255"/>
      <c r="G196" s="255"/>
      <c r="H196" s="257"/>
      <c r="I196" s="259"/>
      <c r="J196" s="255"/>
      <c r="K196" s="255"/>
      <c r="L196" s="255"/>
      <c r="M196" s="256"/>
    </row>
    <row r="197" spans="1:13" ht="12" customHeight="1">
      <c r="A197" s="256"/>
      <c r="B197" s="260"/>
      <c r="C197" s="260"/>
      <c r="D197" s="255"/>
      <c r="E197" s="255"/>
      <c r="F197" s="255"/>
      <c r="G197" s="255"/>
      <c r="H197" s="257"/>
      <c r="I197" s="259"/>
      <c r="J197" s="255"/>
      <c r="K197" s="255"/>
      <c r="L197" s="255"/>
      <c r="M197" s="256"/>
    </row>
    <row r="198" spans="1:13" ht="12" customHeight="1">
      <c r="A198" s="256"/>
      <c r="B198" s="260"/>
      <c r="C198" s="260"/>
      <c r="D198" s="255"/>
      <c r="E198" s="255"/>
      <c r="F198" s="255"/>
      <c r="G198" s="255"/>
      <c r="H198" s="257"/>
      <c r="I198" s="259"/>
      <c r="J198" s="255"/>
      <c r="K198" s="255"/>
      <c r="L198" s="255"/>
      <c r="M198" s="256"/>
    </row>
    <row r="199" spans="1:13" ht="12" customHeight="1">
      <c r="A199" s="256"/>
      <c r="B199" s="260"/>
      <c r="C199" s="260"/>
      <c r="D199" s="255"/>
      <c r="E199" s="255"/>
      <c r="F199" s="255"/>
      <c r="G199" s="255"/>
      <c r="H199" s="257"/>
      <c r="I199" s="259"/>
      <c r="J199" s="255"/>
      <c r="K199" s="255"/>
      <c r="L199" s="255"/>
      <c r="M199" s="256"/>
    </row>
    <row r="200" spans="1:13" ht="12" customHeight="1">
      <c r="A200" s="256"/>
      <c r="B200" s="260"/>
      <c r="C200" s="261"/>
      <c r="D200" s="255"/>
      <c r="E200" s="255"/>
      <c r="F200" s="255"/>
      <c r="G200" s="255"/>
      <c r="H200" s="257"/>
      <c r="I200" s="259"/>
      <c r="J200" s="255"/>
      <c r="K200" s="255"/>
      <c r="L200" s="255"/>
      <c r="M200" s="256"/>
    </row>
    <row r="201" spans="1:13" ht="12" customHeight="1">
      <c r="B201" s="260"/>
      <c r="C201" s="260"/>
      <c r="D201" s="255"/>
      <c r="E201" s="255"/>
      <c r="F201" s="255"/>
      <c r="G201" s="255"/>
      <c r="H201" s="257"/>
      <c r="I201" s="259"/>
      <c r="J201" s="255"/>
      <c r="K201" s="255"/>
      <c r="L201" s="255"/>
      <c r="M201" s="256"/>
    </row>
    <row r="202" spans="1:13" ht="12" customHeight="1">
      <c r="B202" s="4"/>
      <c r="C202" s="4"/>
    </row>
    <row r="203" spans="1:13" ht="12" customHeight="1">
      <c r="B203" s="4"/>
      <c r="C203" s="4"/>
    </row>
    <row r="204" spans="1:13" ht="12" customHeight="1">
      <c r="B204" s="4"/>
      <c r="C204" s="6"/>
    </row>
    <row r="205" spans="1:13" ht="12" customHeight="1">
      <c r="B205" s="4"/>
      <c r="C205" s="4"/>
    </row>
    <row r="206" spans="1:13" ht="12" customHeight="1">
      <c r="B206" s="4"/>
      <c r="C206" s="4"/>
    </row>
    <row r="207" spans="1:13" ht="12" customHeight="1">
      <c r="B207" s="4"/>
      <c r="C207" s="4"/>
    </row>
    <row r="208" spans="1:13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5"/>
      <c r="C237" s="5"/>
    </row>
    <row r="238" spans="2:3" ht="12" customHeight="1">
      <c r="B238" s="5"/>
      <c r="C238" s="5"/>
    </row>
    <row r="239" spans="2:3" ht="12" customHeight="1">
      <c r="B239" s="5"/>
      <c r="C239" s="5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2:I144 D142:D144" name="Fund Name_1_1_1_2"/>
    <protectedRange password="CADF" sqref="M142:M144 H142:H144" name="Yield_1_1_2_2"/>
    <protectedRange password="CADF" sqref="K142:L144 F142:G144" name="Fund Name_1_1_1_1_2"/>
    <protectedRange password="CADF" sqref="M47 H47" name="Yield_1_1_2_1_1_1_1_1"/>
    <protectedRange password="CADF" sqref="I94 D94" name="Yield_2_1_2_6_3"/>
  </protectedRanges>
  <mergeCells count="42">
    <mergeCell ref="A154:P154"/>
    <mergeCell ref="A147:P147"/>
    <mergeCell ref="A120:P120"/>
    <mergeCell ref="A113:P113"/>
    <mergeCell ref="A152:P152"/>
    <mergeCell ref="A146:P146"/>
    <mergeCell ref="U118:U120"/>
    <mergeCell ref="T71:T83"/>
    <mergeCell ref="R121:R122"/>
    <mergeCell ref="N177:P177"/>
    <mergeCell ref="A176:P176"/>
    <mergeCell ref="N170:P170"/>
    <mergeCell ref="A169:P169"/>
    <mergeCell ref="A158:P158"/>
    <mergeCell ref="A157:P157"/>
    <mergeCell ref="A168:P168"/>
    <mergeCell ref="A175:P175"/>
    <mergeCell ref="A88:P88"/>
    <mergeCell ref="A100:P100"/>
    <mergeCell ref="A112:P112"/>
    <mergeCell ref="A119:P119"/>
    <mergeCell ref="A153:P153"/>
    <mergeCell ref="T31:U31"/>
    <mergeCell ref="T32:U32"/>
    <mergeCell ref="T30:U30"/>
    <mergeCell ref="T35:U35"/>
    <mergeCell ref="S40:S41"/>
    <mergeCell ref="A101:P101"/>
    <mergeCell ref="A90:P90"/>
    <mergeCell ref="A89:P89"/>
    <mergeCell ref="S70:T70"/>
    <mergeCell ref="S102:S103"/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8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90" zoomScaleNormal="9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10"/>
      <c r="F3" s="110"/>
      <c r="G3" s="110"/>
    </row>
    <row r="4" spans="1:7">
      <c r="E4" s="110"/>
      <c r="F4" s="110"/>
      <c r="G4" s="110"/>
    </row>
    <row r="5" spans="1:7">
      <c r="E5" s="110"/>
      <c r="F5" s="110"/>
      <c r="G5" s="110"/>
    </row>
    <row r="6" spans="1:7">
      <c r="E6" s="107" t="s">
        <v>69</v>
      </c>
      <c r="F6" s="108" t="s">
        <v>162</v>
      </c>
      <c r="G6" s="110"/>
    </row>
    <row r="7" spans="1:7">
      <c r="E7" s="207" t="s">
        <v>0</v>
      </c>
      <c r="F7" s="109">
        <f>'NAV Trend'!J2</f>
        <v>17103979411.670002</v>
      </c>
      <c r="G7" s="110"/>
    </row>
    <row r="8" spans="1:7">
      <c r="E8" s="207" t="s">
        <v>48</v>
      </c>
      <c r="F8" s="109">
        <f>'NAV Trend'!J3</f>
        <v>734404198247.47839</v>
      </c>
      <c r="G8" s="110"/>
    </row>
    <row r="9" spans="1:7">
      <c r="A9" s="110"/>
      <c r="B9" s="110"/>
      <c r="E9" s="207" t="s">
        <v>209</v>
      </c>
      <c r="F9" s="109">
        <f>'NAV Trend'!J4</f>
        <v>338349672651.75592</v>
      </c>
      <c r="G9" s="110"/>
    </row>
    <row r="10" spans="1:7">
      <c r="A10" s="485"/>
      <c r="B10" s="485"/>
      <c r="E10" s="207" t="s">
        <v>211</v>
      </c>
      <c r="F10" s="109">
        <f>'NAV Trend'!J5</f>
        <v>318608459435.22919</v>
      </c>
      <c r="G10" s="110"/>
    </row>
    <row r="11" spans="1:7">
      <c r="A11" s="103"/>
      <c r="B11" s="103"/>
      <c r="E11" s="207" t="s">
        <v>230</v>
      </c>
      <c r="F11" s="109">
        <f>'NAV Trend'!J6</f>
        <v>46332605433.940002</v>
      </c>
      <c r="G11" s="110"/>
    </row>
    <row r="12" spans="1:7">
      <c r="A12" s="104"/>
      <c r="B12" s="105"/>
      <c r="E12" s="207" t="s">
        <v>65</v>
      </c>
      <c r="F12" s="109">
        <f>'NAV Trend'!J7</f>
        <v>31179910941.77726</v>
      </c>
      <c r="G12" s="110"/>
    </row>
    <row r="13" spans="1:7">
      <c r="A13" s="104"/>
      <c r="B13" s="105"/>
      <c r="E13" s="207" t="s">
        <v>71</v>
      </c>
      <c r="F13" s="109">
        <f>'NAV Trend'!J8</f>
        <v>3064465697.6700001</v>
      </c>
      <c r="G13" s="110"/>
    </row>
    <row r="14" spans="1:7">
      <c r="A14" s="104"/>
      <c r="B14" s="105"/>
      <c r="E14" s="207" t="s">
        <v>224</v>
      </c>
      <c r="F14" s="208">
        <f>'NAV Trend'!J9</f>
        <v>23806773999.320004</v>
      </c>
      <c r="G14" s="110"/>
    </row>
    <row r="15" spans="1:7">
      <c r="A15" s="104"/>
      <c r="B15" s="105"/>
      <c r="E15" s="110"/>
      <c r="F15" s="110"/>
      <c r="G15" s="110"/>
    </row>
    <row r="16" spans="1:7">
      <c r="A16" s="104"/>
      <c r="B16" s="105"/>
      <c r="E16" s="110"/>
      <c r="F16" s="110"/>
      <c r="G16" s="110"/>
    </row>
    <row r="17" spans="1:13">
      <c r="A17" s="104"/>
      <c r="B17" s="105"/>
      <c r="E17" s="110"/>
      <c r="F17" s="110"/>
      <c r="G17" s="110"/>
    </row>
    <row r="18" spans="1:13">
      <c r="A18" s="104"/>
      <c r="B18" s="105"/>
      <c r="E18" s="110"/>
      <c r="F18" s="110"/>
      <c r="G18" s="110"/>
    </row>
    <row r="19" spans="1:13">
      <c r="A19" s="104"/>
      <c r="B19" s="105"/>
      <c r="E19" s="110"/>
      <c r="F19" s="110"/>
      <c r="G19" s="110"/>
    </row>
    <row r="24" spans="1:13" s="101" customFormat="1" ht="21.75" customHeight="1"/>
    <row r="25" spans="1:13" ht="30.75" customHeight="1">
      <c r="B25" s="111" t="s">
        <v>164</v>
      </c>
      <c r="M25" s="102"/>
    </row>
    <row r="26" spans="1:13" ht="68.25" customHeight="1">
      <c r="B26" s="486" t="s">
        <v>289</v>
      </c>
      <c r="C26" s="486"/>
      <c r="D26" s="486"/>
      <c r="E26" s="486"/>
      <c r="F26" s="486"/>
      <c r="G26" s="486"/>
      <c r="H26" s="486"/>
      <c r="I26" s="486"/>
      <c r="J26" s="486"/>
      <c r="K26" s="486"/>
      <c r="L26" s="486"/>
      <c r="M26" s="10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415" t="s">
        <v>69</v>
      </c>
      <c r="C1" s="408">
        <v>45283</v>
      </c>
      <c r="D1" s="408">
        <v>45290</v>
      </c>
      <c r="E1" s="408">
        <v>44932</v>
      </c>
      <c r="F1" s="408">
        <v>44939</v>
      </c>
      <c r="G1" s="408">
        <v>44946</v>
      </c>
      <c r="H1" s="408">
        <v>44953</v>
      </c>
      <c r="I1" s="408">
        <v>44960</v>
      </c>
      <c r="J1" s="408">
        <v>44967</v>
      </c>
      <c r="K1" s="408">
        <v>44974</v>
      </c>
      <c r="L1" s="331"/>
    </row>
    <row r="2" spans="2:24" s="118" customFormat="1" ht="16.5">
      <c r="B2" s="416" t="s">
        <v>0</v>
      </c>
      <c r="C2" s="409">
        <v>15749133335.319998</v>
      </c>
      <c r="D2" s="409">
        <v>16107237306.709997</v>
      </c>
      <c r="E2" s="409">
        <v>16254149306.32</v>
      </c>
      <c r="F2" s="409">
        <v>16656064177.77</v>
      </c>
      <c r="G2" s="409">
        <v>16651193594.34</v>
      </c>
      <c r="H2" s="409">
        <v>16797381909.850002</v>
      </c>
      <c r="I2" s="409">
        <v>17133825597.439997</v>
      </c>
      <c r="J2" s="409">
        <v>17103979411.670002</v>
      </c>
      <c r="K2" s="409">
        <v>17010664326.750002</v>
      </c>
    </row>
    <row r="3" spans="2:24" s="118" customFormat="1" ht="16.5">
      <c r="B3" s="416" t="s">
        <v>48</v>
      </c>
      <c r="C3" s="410">
        <v>599441283293.77356</v>
      </c>
      <c r="D3" s="410">
        <v>614697197461.63013</v>
      </c>
      <c r="E3" s="410">
        <v>638005833111.39978</v>
      </c>
      <c r="F3" s="410">
        <v>652456174435.47937</v>
      </c>
      <c r="G3" s="410">
        <v>668991989528.35986</v>
      </c>
      <c r="H3" s="410">
        <v>689393093044.69934</v>
      </c>
      <c r="I3" s="410">
        <v>708387215249.38928</v>
      </c>
      <c r="J3" s="410">
        <v>734404198247.47839</v>
      </c>
      <c r="K3" s="410">
        <v>748848468799.76001</v>
      </c>
    </row>
    <row r="4" spans="2:24" s="118" customFormat="1" ht="16.5">
      <c r="B4" s="416" t="s">
        <v>209</v>
      </c>
      <c r="C4" s="409">
        <v>345947135557.62299</v>
      </c>
      <c r="D4" s="409">
        <v>347146151227.32391</v>
      </c>
      <c r="E4" s="409">
        <v>346020331729.3703</v>
      </c>
      <c r="F4" s="409">
        <v>345947135557.62299</v>
      </c>
      <c r="G4" s="409">
        <v>343126814140.64636</v>
      </c>
      <c r="H4" s="409">
        <v>342048621360.02881</v>
      </c>
      <c r="I4" s="409">
        <v>346326319129.15698</v>
      </c>
      <c r="J4" s="409">
        <v>338349672651.75592</v>
      </c>
      <c r="K4" s="409">
        <v>337557374886.08539</v>
      </c>
    </row>
    <row r="5" spans="2:24" s="118" customFormat="1" ht="16.5">
      <c r="B5" s="416" t="s">
        <v>211</v>
      </c>
      <c r="C5" s="410">
        <v>328659495248.42633</v>
      </c>
      <c r="D5" s="410">
        <v>331525669640.7597</v>
      </c>
      <c r="E5" s="410">
        <v>320193218057.02887</v>
      </c>
      <c r="F5" s="410">
        <v>318934755543.12677</v>
      </c>
      <c r="G5" s="410">
        <v>317633858239.45715</v>
      </c>
      <c r="H5" s="410">
        <v>318454224920.62793</v>
      </c>
      <c r="I5" s="410">
        <v>315407028595.76306</v>
      </c>
      <c r="J5" s="410">
        <v>318608459435.22919</v>
      </c>
      <c r="K5" s="410">
        <v>315347453563.14014</v>
      </c>
    </row>
    <row r="6" spans="2:24" s="118" customFormat="1" ht="16.5">
      <c r="B6" s="416" t="s">
        <v>231</v>
      </c>
      <c r="C6" s="409">
        <v>45659418904.860001</v>
      </c>
      <c r="D6" s="409">
        <v>45655500617.019997</v>
      </c>
      <c r="E6" s="409">
        <v>46204685553.529999</v>
      </c>
      <c r="F6" s="409">
        <v>46216946191.18</v>
      </c>
      <c r="G6" s="409">
        <v>46235461396.509995</v>
      </c>
      <c r="H6" s="409">
        <v>46212263995.169998</v>
      </c>
      <c r="I6" s="409">
        <v>46289004330.269997</v>
      </c>
      <c r="J6" s="409">
        <v>46332605433.940002</v>
      </c>
      <c r="K6" s="409">
        <v>46362288631.089996</v>
      </c>
    </row>
    <row r="7" spans="2:24" s="118" customFormat="1" ht="16.5">
      <c r="B7" s="416" t="s">
        <v>241</v>
      </c>
      <c r="C7" s="411">
        <v>30095632697.342506</v>
      </c>
      <c r="D7" s="411">
        <v>30126566651.346909</v>
      </c>
      <c r="E7" s="411">
        <v>30336361937.028297</v>
      </c>
      <c r="F7" s="411">
        <v>31041156130.042023</v>
      </c>
      <c r="G7" s="411">
        <v>30761564463.892384</v>
      </c>
      <c r="H7" s="411">
        <v>30652475117.892384</v>
      </c>
      <c r="I7" s="411">
        <v>31150543689.963333</v>
      </c>
      <c r="J7" s="411">
        <v>31179910941.77726</v>
      </c>
      <c r="K7" s="411">
        <v>31120048445.681793</v>
      </c>
    </row>
    <row r="8" spans="2:24" s="310" customFormat="1" ht="16.5">
      <c r="B8" s="416" t="s">
        <v>71</v>
      </c>
      <c r="C8" s="409">
        <v>2888057210.21</v>
      </c>
      <c r="D8" s="409">
        <v>2949746784.8499999</v>
      </c>
      <c r="E8" s="409">
        <v>2980827214.75</v>
      </c>
      <c r="F8" s="409">
        <v>3032033408.75</v>
      </c>
      <c r="G8" s="409">
        <v>3037541892</v>
      </c>
      <c r="H8" s="409">
        <v>3046932460.8900003</v>
      </c>
      <c r="I8" s="409">
        <v>3049787978.2799997</v>
      </c>
      <c r="J8" s="409">
        <v>3064465697.6700001</v>
      </c>
      <c r="K8" s="409">
        <v>3061691984.0600004</v>
      </c>
    </row>
    <row r="9" spans="2:24" ht="16.5">
      <c r="B9" s="416" t="s">
        <v>224</v>
      </c>
      <c r="C9" s="412">
        <v>22759261173.869999</v>
      </c>
      <c r="D9" s="412">
        <v>22836936554.239998</v>
      </c>
      <c r="E9" s="409">
        <v>22955463973.109997</v>
      </c>
      <c r="F9" s="409">
        <v>23622969337.439999</v>
      </c>
      <c r="G9" s="409">
        <v>22775267421.450001</v>
      </c>
      <c r="H9" s="409">
        <v>23218611718.279995</v>
      </c>
      <c r="I9" s="409">
        <v>23178272501.200001</v>
      </c>
      <c r="J9" s="409">
        <v>23806773999.320004</v>
      </c>
      <c r="K9" s="409">
        <v>23850690692.210003</v>
      </c>
    </row>
    <row r="10" spans="2:24" s="1" customFormat="1" ht="15.75">
      <c r="B10" s="417" t="s">
        <v>272</v>
      </c>
      <c r="C10" s="418">
        <f t="shared" ref="C10:K10" si="0">SUM(C2:C9)</f>
        <v>1391199417421.4255</v>
      </c>
      <c r="D10" s="418">
        <f t="shared" si="0"/>
        <v>1411045006243.8809</v>
      </c>
      <c r="E10" s="418">
        <f t="shared" si="0"/>
        <v>1422950870882.5374</v>
      </c>
      <c r="F10" s="418">
        <f t="shared" si="0"/>
        <v>1437907234781.4109</v>
      </c>
      <c r="G10" s="418">
        <f t="shared" si="0"/>
        <v>1449213690676.6555</v>
      </c>
      <c r="H10" s="418">
        <f t="shared" si="0"/>
        <v>1469823604527.4382</v>
      </c>
      <c r="I10" s="418">
        <f t="shared" si="0"/>
        <v>1490921997071.4626</v>
      </c>
      <c r="J10" s="418">
        <f t="shared" si="0"/>
        <v>1512850065818.8408</v>
      </c>
      <c r="K10" s="418">
        <f t="shared" si="0"/>
        <v>1523158681328.7776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2:24" ht="6.75" customHeight="1">
      <c r="B11" s="413"/>
      <c r="C11" s="414"/>
      <c r="D11" s="414"/>
      <c r="E11" s="414"/>
      <c r="F11" s="414"/>
      <c r="G11" s="414"/>
      <c r="H11" s="414"/>
      <c r="I11" s="414"/>
      <c r="J11" s="413"/>
      <c r="K11" s="413"/>
    </row>
    <row r="12" spans="2:24" ht="15.75">
      <c r="B12" s="419" t="s">
        <v>122</v>
      </c>
      <c r="C12" s="420" t="s">
        <v>121</v>
      </c>
      <c r="D12" s="421">
        <f>(C10+D10)/2</f>
        <v>1401122211832.6533</v>
      </c>
      <c r="E12" s="422">
        <f t="shared" ref="E12:K12" si="1">(D10+E10)/2</f>
        <v>1416997938563.209</v>
      </c>
      <c r="F12" s="422">
        <f t="shared" si="1"/>
        <v>1430429052831.9741</v>
      </c>
      <c r="G12" s="422">
        <f t="shared" si="1"/>
        <v>1443560462729.0332</v>
      </c>
      <c r="H12" s="422">
        <f>(G10+H10)/2</f>
        <v>1459518647602.0469</v>
      </c>
      <c r="I12" s="422">
        <f t="shared" si="1"/>
        <v>1480372800799.4504</v>
      </c>
      <c r="J12" s="422">
        <f t="shared" si="1"/>
        <v>1501886031445.1519</v>
      </c>
      <c r="K12" s="422">
        <f t="shared" si="1"/>
        <v>1518004373573.8091</v>
      </c>
    </row>
    <row r="13" spans="2:24">
      <c r="B13" s="8"/>
      <c r="C13" s="11"/>
      <c r="D13" s="11"/>
      <c r="E13" s="11"/>
      <c r="F13" s="11"/>
      <c r="G13" s="11"/>
      <c r="H13" s="11"/>
      <c r="I13" s="11"/>
    </row>
    <row r="14" spans="2:24">
      <c r="B14" s="8"/>
      <c r="C14" s="11"/>
      <c r="D14" s="11"/>
      <c r="E14" s="11"/>
      <c r="F14" s="11"/>
      <c r="G14" s="11"/>
      <c r="H14" s="312"/>
      <c r="I14" s="98"/>
      <c r="J14" s="97"/>
    </row>
    <row r="15" spans="2:24">
      <c r="B15" s="8"/>
      <c r="C15" s="11"/>
      <c r="D15" s="11"/>
      <c r="E15" s="11"/>
      <c r="F15" s="11"/>
      <c r="G15" s="11"/>
      <c r="H15" s="11"/>
      <c r="I15" s="11"/>
    </row>
    <row r="16" spans="2:24">
      <c r="B16" s="8"/>
      <c r="C16" s="11"/>
      <c r="D16" s="11"/>
      <c r="E16" s="11"/>
      <c r="F16" s="11"/>
      <c r="G16" s="11"/>
      <c r="H16" s="11"/>
      <c r="I16" s="11"/>
      <c r="J16" s="98"/>
    </row>
    <row r="17" spans="2:10" ht="16.5">
      <c r="B17" s="438"/>
      <c r="C17" s="439"/>
      <c r="D17" s="11"/>
      <c r="E17" s="11"/>
      <c r="F17" s="11"/>
      <c r="G17" s="11"/>
      <c r="H17" s="439"/>
      <c r="I17" s="11"/>
    </row>
    <row r="18" spans="2:10" ht="16.5">
      <c r="B18" s="440"/>
      <c r="C18" s="441"/>
      <c r="D18" s="9"/>
      <c r="E18" s="9"/>
      <c r="F18" s="9"/>
      <c r="G18" s="9"/>
      <c r="H18" s="441"/>
      <c r="I18" s="9"/>
    </row>
    <row r="19" spans="2:10" ht="16.5">
      <c r="B19" s="440"/>
      <c r="C19" s="442"/>
      <c r="D19" s="10"/>
      <c r="E19" s="8"/>
      <c r="F19" s="8"/>
      <c r="G19" s="8"/>
      <c r="H19" s="442"/>
      <c r="I19" s="8"/>
    </row>
    <row r="20" spans="2:10" ht="16.5">
      <c r="B20" s="440"/>
      <c r="C20" s="441"/>
      <c r="D20" s="10"/>
      <c r="E20" s="8"/>
      <c r="F20" s="8"/>
      <c r="G20" s="8"/>
      <c r="H20" s="441"/>
      <c r="I20" s="8"/>
      <c r="J20" s="99"/>
    </row>
    <row r="21" spans="2:10" ht="16.5">
      <c r="B21" s="440"/>
      <c r="C21" s="442"/>
      <c r="D21" s="10"/>
      <c r="E21" s="8"/>
      <c r="F21" s="8"/>
      <c r="G21" s="8"/>
      <c r="H21" s="442"/>
      <c r="I21" s="8"/>
    </row>
    <row r="22" spans="2:10" ht="16.5">
      <c r="B22" s="440"/>
      <c r="C22" s="441"/>
      <c r="D22" s="10"/>
      <c r="E22" s="8"/>
      <c r="F22" s="8"/>
      <c r="G22" s="8"/>
      <c r="H22" s="441"/>
    </row>
    <row r="23" spans="2:10" ht="16.5">
      <c r="B23" s="440"/>
      <c r="C23" s="443"/>
      <c r="D23" s="10"/>
      <c r="E23" s="8"/>
      <c r="F23" s="8"/>
      <c r="G23" s="8"/>
      <c r="H23" s="443"/>
    </row>
    <row r="24" spans="2:10" ht="16.5">
      <c r="B24" s="440"/>
      <c r="C24" s="441"/>
      <c r="D24" s="8"/>
      <c r="E24" s="8"/>
      <c r="F24" s="8"/>
      <c r="G24" s="8"/>
      <c r="H24" s="441"/>
    </row>
    <row r="25" spans="2:10" ht="16.5">
      <c r="B25" s="440"/>
      <c r="C25" s="441"/>
      <c r="D25" s="8"/>
      <c r="E25" s="8"/>
      <c r="F25" s="8"/>
      <c r="G25" s="8"/>
      <c r="H25" s="441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6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1.140625" style="329" customWidth="1"/>
    <col min="3" max="3" width="9.28515625" style="329" customWidth="1"/>
    <col min="4" max="4" width="22" style="329" customWidth="1"/>
    <col min="5" max="5" width="11.140625" style="329" customWidth="1"/>
    <col min="6" max="7" width="9.28515625" style="329" customWidth="1"/>
    <col min="8" max="8" width="20.140625" style="329" customWidth="1"/>
    <col min="9" max="9" width="11.140625" style="329" customWidth="1"/>
    <col min="10" max="11" width="9.28515625" style="329" customWidth="1"/>
    <col min="12" max="12" width="23.140625" style="329" customWidth="1"/>
    <col min="13" max="15" width="9.28515625" style="329" customWidth="1"/>
    <col min="16" max="16" width="20.140625" style="329" customWidth="1"/>
    <col min="17" max="17" width="9.85546875" style="329" customWidth="1"/>
    <col min="18" max="19" width="9.28515625" style="329" customWidth="1"/>
    <col min="20" max="20" width="20" style="329" customWidth="1"/>
    <col min="21" max="23" width="9.28515625" style="329" customWidth="1"/>
    <col min="24" max="24" width="19.140625" style="329" customWidth="1"/>
    <col min="25" max="27" width="9.28515625" style="329" customWidth="1"/>
    <col min="28" max="28" width="20.28515625" style="329" customWidth="1"/>
    <col min="29" max="31" width="9.28515625" style="329" customWidth="1"/>
    <col min="32" max="32" width="18.7109375" style="437" customWidth="1"/>
    <col min="33" max="35" width="9.28515625" style="43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8" customFormat="1" ht="51" customHeight="1" thickBot="1">
      <c r="A1" s="487" t="s">
        <v>76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9"/>
    </row>
    <row r="2" spans="1:49" ht="30.75" customHeight="1">
      <c r="A2" s="213"/>
      <c r="B2" s="490" t="s">
        <v>270</v>
      </c>
      <c r="C2" s="490"/>
      <c r="D2" s="490" t="s">
        <v>271</v>
      </c>
      <c r="E2" s="490"/>
      <c r="F2" s="490" t="s">
        <v>67</v>
      </c>
      <c r="G2" s="490"/>
      <c r="H2" s="490" t="s">
        <v>273</v>
      </c>
      <c r="I2" s="490"/>
      <c r="J2" s="490" t="s">
        <v>67</v>
      </c>
      <c r="K2" s="490"/>
      <c r="L2" s="490" t="s">
        <v>275</v>
      </c>
      <c r="M2" s="490"/>
      <c r="N2" s="490" t="s">
        <v>67</v>
      </c>
      <c r="O2" s="490"/>
      <c r="P2" s="490" t="s">
        <v>277</v>
      </c>
      <c r="Q2" s="490"/>
      <c r="R2" s="490" t="s">
        <v>67</v>
      </c>
      <c r="S2" s="490"/>
      <c r="T2" s="490" t="s">
        <v>278</v>
      </c>
      <c r="U2" s="490"/>
      <c r="V2" s="490" t="s">
        <v>67</v>
      </c>
      <c r="W2" s="490"/>
      <c r="X2" s="490" t="s">
        <v>279</v>
      </c>
      <c r="Y2" s="490"/>
      <c r="Z2" s="490" t="s">
        <v>67</v>
      </c>
      <c r="AA2" s="490"/>
      <c r="AB2" s="490" t="s">
        <v>283</v>
      </c>
      <c r="AC2" s="490"/>
      <c r="AD2" s="490" t="s">
        <v>67</v>
      </c>
      <c r="AE2" s="490"/>
      <c r="AF2" s="490" t="s">
        <v>288</v>
      </c>
      <c r="AG2" s="490"/>
      <c r="AH2" s="490" t="s">
        <v>67</v>
      </c>
      <c r="AI2" s="490"/>
      <c r="AJ2" s="490" t="s">
        <v>84</v>
      </c>
      <c r="AK2" s="490"/>
      <c r="AL2" s="490" t="s">
        <v>85</v>
      </c>
      <c r="AM2" s="490"/>
      <c r="AN2" s="490" t="s">
        <v>75</v>
      </c>
      <c r="AO2" s="491"/>
      <c r="AP2" s="15"/>
      <c r="AQ2" s="492" t="s">
        <v>89</v>
      </c>
      <c r="AR2" s="493"/>
      <c r="AS2" s="15"/>
      <c r="AT2" s="15"/>
    </row>
    <row r="3" spans="1:49" ht="14.25" customHeight="1">
      <c r="A3" s="214" t="s">
        <v>2</v>
      </c>
      <c r="B3" s="202" t="s">
        <v>63</v>
      </c>
      <c r="C3" s="203" t="s">
        <v>3</v>
      </c>
      <c r="D3" s="202" t="s">
        <v>63</v>
      </c>
      <c r="E3" s="203" t="s">
        <v>3</v>
      </c>
      <c r="F3" s="209" t="s">
        <v>63</v>
      </c>
      <c r="G3" s="210" t="s">
        <v>3</v>
      </c>
      <c r="H3" s="202" t="s">
        <v>63</v>
      </c>
      <c r="I3" s="203" t="s">
        <v>3</v>
      </c>
      <c r="J3" s="209" t="s">
        <v>63</v>
      </c>
      <c r="K3" s="210" t="s">
        <v>3</v>
      </c>
      <c r="L3" s="202" t="s">
        <v>63</v>
      </c>
      <c r="M3" s="203" t="s">
        <v>3</v>
      </c>
      <c r="N3" s="209" t="s">
        <v>63</v>
      </c>
      <c r="O3" s="210" t="s">
        <v>3</v>
      </c>
      <c r="P3" s="202" t="s">
        <v>63</v>
      </c>
      <c r="Q3" s="203" t="s">
        <v>3</v>
      </c>
      <c r="R3" s="209" t="s">
        <v>63</v>
      </c>
      <c r="S3" s="210" t="s">
        <v>3</v>
      </c>
      <c r="T3" s="202" t="s">
        <v>63</v>
      </c>
      <c r="U3" s="203" t="s">
        <v>3</v>
      </c>
      <c r="V3" s="209" t="s">
        <v>63</v>
      </c>
      <c r="W3" s="210" t="s">
        <v>3</v>
      </c>
      <c r="X3" s="202" t="s">
        <v>63</v>
      </c>
      <c r="Y3" s="203" t="s">
        <v>3</v>
      </c>
      <c r="Z3" s="209" t="s">
        <v>63</v>
      </c>
      <c r="AA3" s="210" t="s">
        <v>3</v>
      </c>
      <c r="AB3" s="202" t="s">
        <v>63</v>
      </c>
      <c r="AC3" s="203" t="s">
        <v>3</v>
      </c>
      <c r="AD3" s="209" t="s">
        <v>63</v>
      </c>
      <c r="AE3" s="210" t="s">
        <v>3</v>
      </c>
      <c r="AF3" s="202" t="s">
        <v>63</v>
      </c>
      <c r="AG3" s="203" t="s">
        <v>3</v>
      </c>
      <c r="AH3" s="209" t="s">
        <v>63</v>
      </c>
      <c r="AI3" s="210" t="s">
        <v>3</v>
      </c>
      <c r="AJ3" s="209" t="s">
        <v>63</v>
      </c>
      <c r="AK3" s="210" t="s">
        <v>3</v>
      </c>
      <c r="AL3" s="209" t="s">
        <v>63</v>
      </c>
      <c r="AM3" s="210" t="s">
        <v>3</v>
      </c>
      <c r="AN3" s="209" t="s">
        <v>63</v>
      </c>
      <c r="AO3" s="211" t="s">
        <v>3</v>
      </c>
      <c r="AP3" s="15"/>
      <c r="AQ3" s="18" t="s">
        <v>63</v>
      </c>
      <c r="AR3" s="19" t="s">
        <v>3</v>
      </c>
      <c r="AS3" s="15"/>
      <c r="AT3" s="15"/>
    </row>
    <row r="4" spans="1:49">
      <c r="A4" s="215" t="s">
        <v>0</v>
      </c>
      <c r="B4" s="68" t="s">
        <v>4</v>
      </c>
      <c r="C4" s="68" t="s">
        <v>4</v>
      </c>
      <c r="D4" s="68" t="s">
        <v>4</v>
      </c>
      <c r="E4" s="68" t="s">
        <v>4</v>
      </c>
      <c r="F4" s="20" t="s">
        <v>83</v>
      </c>
      <c r="G4" s="20" t="s">
        <v>83</v>
      </c>
      <c r="H4" s="68" t="s">
        <v>4</v>
      </c>
      <c r="I4" s="68" t="s">
        <v>4</v>
      </c>
      <c r="J4" s="20" t="s">
        <v>83</v>
      </c>
      <c r="K4" s="20" t="s">
        <v>83</v>
      </c>
      <c r="L4" s="68" t="s">
        <v>4</v>
      </c>
      <c r="M4" s="68" t="s">
        <v>4</v>
      </c>
      <c r="N4" s="20" t="s">
        <v>83</v>
      </c>
      <c r="O4" s="20" t="s">
        <v>83</v>
      </c>
      <c r="P4" s="68" t="s">
        <v>4</v>
      </c>
      <c r="Q4" s="68" t="s">
        <v>4</v>
      </c>
      <c r="R4" s="20" t="s">
        <v>83</v>
      </c>
      <c r="S4" s="20" t="s">
        <v>83</v>
      </c>
      <c r="T4" s="68" t="s">
        <v>4</v>
      </c>
      <c r="U4" s="68" t="s">
        <v>4</v>
      </c>
      <c r="V4" s="20" t="s">
        <v>83</v>
      </c>
      <c r="W4" s="20" t="s">
        <v>83</v>
      </c>
      <c r="X4" s="68" t="s">
        <v>4</v>
      </c>
      <c r="Y4" s="68" t="s">
        <v>4</v>
      </c>
      <c r="Z4" s="20" t="s">
        <v>83</v>
      </c>
      <c r="AA4" s="20" t="s">
        <v>83</v>
      </c>
      <c r="AB4" s="68" t="s">
        <v>4</v>
      </c>
      <c r="AC4" s="68" t="s">
        <v>4</v>
      </c>
      <c r="AD4" s="20" t="s">
        <v>83</v>
      </c>
      <c r="AE4" s="20" t="s">
        <v>83</v>
      </c>
      <c r="AF4" s="68" t="s">
        <v>4</v>
      </c>
      <c r="AG4" s="68" t="s">
        <v>4</v>
      </c>
      <c r="AH4" s="20" t="s">
        <v>83</v>
      </c>
      <c r="AI4" s="20" t="s">
        <v>83</v>
      </c>
      <c r="AJ4" s="21" t="s">
        <v>83</v>
      </c>
      <c r="AK4" s="21" t="s">
        <v>83</v>
      </c>
      <c r="AL4" s="22" t="s">
        <v>83</v>
      </c>
      <c r="AM4" s="22" t="s">
        <v>83</v>
      </c>
      <c r="AN4" s="16" t="s">
        <v>83</v>
      </c>
      <c r="AO4" s="17" t="s">
        <v>83</v>
      </c>
      <c r="AP4" s="15"/>
      <c r="AQ4" s="23" t="s">
        <v>4</v>
      </c>
      <c r="AR4" s="23" t="s">
        <v>4</v>
      </c>
      <c r="AS4" s="15"/>
      <c r="AT4" s="15"/>
    </row>
    <row r="5" spans="1:49">
      <c r="A5" s="216" t="s">
        <v>6</v>
      </c>
      <c r="B5" s="391">
        <v>7078686974.9300003</v>
      </c>
      <c r="C5" s="390">
        <v>12064.98</v>
      </c>
      <c r="D5" s="391">
        <v>7250834145.5</v>
      </c>
      <c r="E5" s="390">
        <v>12371.07</v>
      </c>
      <c r="F5" s="24">
        <f>((D5-B5)/B5)</f>
        <v>2.431908222240637E-2</v>
      </c>
      <c r="G5" s="24">
        <f>((E5-C5)/C5)</f>
        <v>2.5370120795890266E-2</v>
      </c>
      <c r="H5" s="391">
        <v>7333382539.8299999</v>
      </c>
      <c r="I5" s="390">
        <v>12515.92</v>
      </c>
      <c r="J5" s="24">
        <f t="shared" ref="J5:J20" si="0">((H5-D5)/D5)</f>
        <v>1.1384675566083795E-2</v>
      </c>
      <c r="K5" s="24">
        <f t="shared" ref="K5:K20" si="1">((I5-E5)/E5)</f>
        <v>1.1708768926212556E-2</v>
      </c>
      <c r="L5" s="391">
        <v>7511564077.5200005</v>
      </c>
      <c r="M5" s="390">
        <v>12812.62</v>
      </c>
      <c r="N5" s="24">
        <f t="shared" ref="N5:N20" si="2">((L5-H5)/H5)</f>
        <v>2.4297319377823031E-2</v>
      </c>
      <c r="O5" s="24">
        <f t="shared" ref="O5:O20" si="3">((M5-I5)/I5)</f>
        <v>2.3705808282571374E-2</v>
      </c>
      <c r="P5" s="391">
        <v>7540263445.5200005</v>
      </c>
      <c r="Q5" s="390">
        <v>12867.64</v>
      </c>
      <c r="R5" s="24">
        <f t="shared" ref="R5:R20" si="4">((P5-L5)/L5)</f>
        <v>3.8206913638517896E-3</v>
      </c>
      <c r="S5" s="24">
        <f t="shared" ref="S5:S20" si="5">((Q5-M5)/M5)</f>
        <v>4.2942036835556365E-3</v>
      </c>
      <c r="T5" s="391">
        <v>7580898994.7799997</v>
      </c>
      <c r="U5" s="390">
        <v>12940.1</v>
      </c>
      <c r="V5" s="24">
        <f t="shared" ref="V5:V20" si="6">((T5-P5)/P5)</f>
        <v>5.3891418454540376E-3</v>
      </c>
      <c r="W5" s="24">
        <f t="shared" ref="W5:W20" si="7">((U5-Q5)/Q5)</f>
        <v>5.6311802319618008E-3</v>
      </c>
      <c r="X5" s="391">
        <v>7697512730.9799995</v>
      </c>
      <c r="Y5" s="390">
        <v>13161.69</v>
      </c>
      <c r="Z5" s="24">
        <f t="shared" ref="Z5:Z20" si="8">((X5-T5)/T5)</f>
        <v>1.5382573528587684E-2</v>
      </c>
      <c r="AA5" s="24">
        <f t="shared" ref="AA5:AA20" si="9">((Y5-U5)/U5)</f>
        <v>1.7124288065780029E-2</v>
      </c>
      <c r="AB5" s="391">
        <v>7655640660.04</v>
      </c>
      <c r="AC5" s="390">
        <v>13090.97</v>
      </c>
      <c r="AD5" s="24">
        <f t="shared" ref="AD5:AD20" si="10">((AB5-X5)/X5)</f>
        <v>-5.4396884296765155E-3</v>
      </c>
      <c r="AE5" s="24">
        <f t="shared" ref="AE5:AE20" si="11">((AC5-Y5)/Y5)</f>
        <v>-5.3731701627983304E-3</v>
      </c>
      <c r="AF5" s="391">
        <v>7561818233.3100004</v>
      </c>
      <c r="AG5" s="390">
        <v>12931.66</v>
      </c>
      <c r="AH5" s="24">
        <f t="shared" ref="AH5:AH20" si="12">((AF5-AB5)/AB5)</f>
        <v>-1.2255333145365959E-2</v>
      </c>
      <c r="AI5" s="24">
        <f t="shared" ref="AI5:AI20" si="13">((AG5-AC5)/AC5)</f>
        <v>-1.2169457267108511E-2</v>
      </c>
      <c r="AJ5" s="25">
        <f>AVERAGE(F5,J5,N5,R5,V5,Z5,AD5,AH5)</f>
        <v>8.3623077911455287E-3</v>
      </c>
      <c r="AK5" s="25">
        <f>AVERAGE(G5,K5,O5,S5,W5,AA5,AE5,AI5)</f>
        <v>8.7864678195081029E-3</v>
      </c>
      <c r="AL5" s="26">
        <f>((AF5-D5)/D5)</f>
        <v>4.2889422316052125E-2</v>
      </c>
      <c r="AM5" s="26">
        <f>((AG5-E5)/E5)</f>
        <v>4.5314592836351274E-2</v>
      </c>
      <c r="AN5" s="27">
        <f>STDEV(F5,J5,N5,R5,V5,Z5,AD5,AH5)</f>
        <v>1.3158431818684386E-2</v>
      </c>
      <c r="AO5" s="84">
        <f>STDEV(G5,K5,O5,S5,W5,AA5,AE5,AI5)</f>
        <v>1.3338696536042392E-2</v>
      </c>
      <c r="AP5" s="28"/>
      <c r="AQ5" s="29">
        <v>7877662528.1199999</v>
      </c>
      <c r="AR5" s="29">
        <v>7704.04</v>
      </c>
      <c r="AS5" s="30" t="e">
        <f>(#REF!/AQ5)-1</f>
        <v>#REF!</v>
      </c>
      <c r="AT5" s="30" t="e">
        <f>(#REF!/AR5)-1</f>
        <v>#REF!</v>
      </c>
    </row>
    <row r="6" spans="1:49">
      <c r="A6" s="216" t="s">
        <v>49</v>
      </c>
      <c r="B6" s="391">
        <v>977230662.92999995</v>
      </c>
      <c r="C6" s="390">
        <v>1.99</v>
      </c>
      <c r="D6" s="391">
        <v>989842690.11000001</v>
      </c>
      <c r="E6" s="390">
        <v>2.02</v>
      </c>
      <c r="F6" s="24">
        <f>((D6-B6)/B6)</f>
        <v>1.2905885640331651E-2</v>
      </c>
      <c r="G6" s="24">
        <f>((E6-C6)/C6)</f>
        <v>1.5075376884422124E-2</v>
      </c>
      <c r="H6" s="391">
        <v>997436086.54999995</v>
      </c>
      <c r="I6" s="390">
        <v>2.0299999999999998</v>
      </c>
      <c r="J6" s="24">
        <f t="shared" si="0"/>
        <v>7.6713163777125974E-3</v>
      </c>
      <c r="K6" s="24">
        <f t="shared" si="1"/>
        <v>4.9504950495048447E-3</v>
      </c>
      <c r="L6" s="391">
        <v>1027580879.54</v>
      </c>
      <c r="M6" s="390">
        <v>2.1</v>
      </c>
      <c r="N6" s="24">
        <f t="shared" si="2"/>
        <v>3.0222280300953294E-2</v>
      </c>
      <c r="O6" s="24">
        <f t="shared" si="3"/>
        <v>3.44827586206898E-2</v>
      </c>
      <c r="P6" s="391">
        <v>1021363968.2</v>
      </c>
      <c r="Q6" s="390">
        <v>2.08</v>
      </c>
      <c r="R6" s="24">
        <f t="shared" si="4"/>
        <v>-6.0500457567709276E-3</v>
      </c>
      <c r="S6" s="24">
        <f t="shared" si="5"/>
        <v>-9.5238095238095316E-3</v>
      </c>
      <c r="T6" s="391">
        <v>1020955662.3</v>
      </c>
      <c r="U6" s="390">
        <v>2.08</v>
      </c>
      <c r="V6" s="24">
        <f t="shared" si="6"/>
        <v>-3.9976532628194526E-4</v>
      </c>
      <c r="W6" s="24">
        <f t="shared" si="7"/>
        <v>0</v>
      </c>
      <c r="X6" s="391">
        <v>1039220961.4</v>
      </c>
      <c r="Y6" s="390">
        <v>2.12</v>
      </c>
      <c r="Z6" s="24">
        <f t="shared" si="8"/>
        <v>1.789039404400003E-2</v>
      </c>
      <c r="AA6" s="24">
        <f t="shared" si="9"/>
        <v>1.9230769230769246E-2</v>
      </c>
      <c r="AB6" s="391">
        <v>1043691566.0599999</v>
      </c>
      <c r="AC6" s="390">
        <v>2.13</v>
      </c>
      <c r="AD6" s="24">
        <f t="shared" si="10"/>
        <v>4.3018807607357471E-3</v>
      </c>
      <c r="AE6" s="24">
        <f t="shared" si="11"/>
        <v>4.7169811320753709E-3</v>
      </c>
      <c r="AF6" s="391">
        <v>1043563024.4400001</v>
      </c>
      <c r="AG6" s="390">
        <v>2.13</v>
      </c>
      <c r="AH6" s="24">
        <f t="shared" si="12"/>
        <v>-1.2316054299944007E-4</v>
      </c>
      <c r="AI6" s="24">
        <f t="shared" si="13"/>
        <v>0</v>
      </c>
      <c r="AJ6" s="25">
        <f t="shared" ref="AJ6:AJ69" si="14">AVERAGE(F6,J6,N6,R6,V6,Z6,AD6,AH6)</f>
        <v>8.3023481872101269E-3</v>
      </c>
      <c r="AK6" s="25">
        <f t="shared" ref="AK6:AK69" si="15">AVERAGE(G6,K6,O6,S6,W6,AA6,AE6,AI6)</f>
        <v>8.6165714242064824E-3</v>
      </c>
      <c r="AL6" s="26">
        <f t="shared" ref="AL6:AL69" si="16">((AF6-D6)/D6)</f>
        <v>5.4271587664126882E-2</v>
      </c>
      <c r="AM6" s="26">
        <f t="shared" ref="AM6:AM69" si="17">((AG6-E6)/E6)</f>
        <v>5.4455445544554393E-2</v>
      </c>
      <c r="AN6" s="27">
        <f t="shared" ref="AN6:AN69" si="18">STDEV(F6,J6,N6,R6,V6,Z6,AD6,AH6)</f>
        <v>1.1727353458401374E-2</v>
      </c>
      <c r="AO6" s="84">
        <f t="shared" ref="AO6:AO69" si="19">STDEV(G6,K6,O6,S6,W6,AA6,AE6,AI6)</f>
        <v>1.3782224321416675E-2</v>
      </c>
      <c r="AP6" s="31"/>
      <c r="AQ6" s="32">
        <v>486981928.81999999</v>
      </c>
      <c r="AR6" s="33">
        <v>0.95</v>
      </c>
      <c r="AS6" s="30" t="e">
        <f>(#REF!/AQ6)-1</f>
        <v>#REF!</v>
      </c>
      <c r="AT6" s="30" t="e">
        <f>(#REF!/AR6)-1</f>
        <v>#REF!</v>
      </c>
    </row>
    <row r="7" spans="1:49">
      <c r="A7" s="216" t="s">
        <v>11</v>
      </c>
      <c r="B7" s="391">
        <v>250023807.15000001</v>
      </c>
      <c r="C7" s="390">
        <v>124.01</v>
      </c>
      <c r="D7" s="391">
        <v>245574216.52000001</v>
      </c>
      <c r="E7" s="390">
        <v>123.72</v>
      </c>
      <c r="F7" s="24">
        <f>((D7-B7)/B7)</f>
        <v>-1.7796667768243745E-2</v>
      </c>
      <c r="G7" s="24">
        <f>((E7-C7)/C7)</f>
        <v>-2.3385210870091626E-3</v>
      </c>
      <c r="H7" s="391">
        <v>252921380.41</v>
      </c>
      <c r="I7" s="390">
        <v>129.33000000000001</v>
      </c>
      <c r="J7" s="24">
        <f t="shared" si="0"/>
        <v>2.9918303289798418E-2</v>
      </c>
      <c r="K7" s="24">
        <f t="shared" si="1"/>
        <v>4.5344325897187308E-2</v>
      </c>
      <c r="L7" s="391">
        <v>258595658.5</v>
      </c>
      <c r="M7" s="390">
        <v>132.19</v>
      </c>
      <c r="N7" s="24">
        <f t="shared" si="2"/>
        <v>2.2434948286308081E-2</v>
      </c>
      <c r="O7" s="24">
        <f t="shared" si="3"/>
        <v>2.211397200958776E-2</v>
      </c>
      <c r="P7" s="391">
        <v>254295980.37</v>
      </c>
      <c r="Q7" s="390">
        <v>130.13999999999999</v>
      </c>
      <c r="R7" s="24">
        <f t="shared" si="4"/>
        <v>-1.6627031385370281E-2</v>
      </c>
      <c r="S7" s="24">
        <f t="shared" si="5"/>
        <v>-1.5507980936530838E-2</v>
      </c>
      <c r="T7" s="391">
        <v>256063703.93000001</v>
      </c>
      <c r="U7" s="390">
        <v>130.37</v>
      </c>
      <c r="V7" s="24">
        <f t="shared" si="6"/>
        <v>6.9514412199043378E-3</v>
      </c>
      <c r="W7" s="24">
        <f t="shared" si="7"/>
        <v>1.7673274934687123E-3</v>
      </c>
      <c r="X7" s="391">
        <v>262267538.56999999</v>
      </c>
      <c r="Y7" s="390">
        <v>134.13999999999999</v>
      </c>
      <c r="Z7" s="24">
        <f t="shared" si="8"/>
        <v>2.4227700157363672E-2</v>
      </c>
      <c r="AA7" s="24">
        <f t="shared" si="9"/>
        <v>2.8917695788908352E-2</v>
      </c>
      <c r="AB7" s="391">
        <v>256468055.13999999</v>
      </c>
      <c r="AC7" s="390">
        <v>134.71</v>
      </c>
      <c r="AD7" s="24">
        <f t="shared" si="10"/>
        <v>-2.2112852629880872E-2</v>
      </c>
      <c r="AE7" s="24">
        <f t="shared" si="11"/>
        <v>4.2492917847027113E-3</v>
      </c>
      <c r="AF7" s="391">
        <v>262521928.58000001</v>
      </c>
      <c r="AG7" s="390">
        <v>135.05000000000001</v>
      </c>
      <c r="AH7" s="24">
        <f t="shared" si="12"/>
        <v>2.3604785542181296E-2</v>
      </c>
      <c r="AI7" s="24">
        <f t="shared" si="13"/>
        <v>2.5239403162348999E-3</v>
      </c>
      <c r="AJ7" s="25">
        <f t="shared" si="14"/>
        <v>6.3250783390076124E-3</v>
      </c>
      <c r="AK7" s="25">
        <f t="shared" si="15"/>
        <v>1.0883756408318719E-2</v>
      </c>
      <c r="AL7" s="26">
        <f t="shared" si="16"/>
        <v>6.9012587315410406E-2</v>
      </c>
      <c r="AM7" s="26">
        <f t="shared" si="17"/>
        <v>9.1577756223731113E-2</v>
      </c>
      <c r="AN7" s="27">
        <f t="shared" si="18"/>
        <v>2.1886155267032085E-2</v>
      </c>
      <c r="AO7" s="84">
        <f t="shared" si="19"/>
        <v>1.9665909248054031E-2</v>
      </c>
      <c r="AP7" s="31"/>
      <c r="AQ7" s="29">
        <v>204065067.03999999</v>
      </c>
      <c r="AR7" s="33">
        <v>105.02</v>
      </c>
      <c r="AS7" s="30" t="e">
        <f>(#REF!/AQ7)-1</f>
        <v>#REF!</v>
      </c>
      <c r="AT7" s="30" t="e">
        <f>(#REF!/AR7)-1</f>
        <v>#REF!</v>
      </c>
    </row>
    <row r="8" spans="1:49">
      <c r="A8" s="216" t="s">
        <v>13</v>
      </c>
      <c r="B8" s="391">
        <v>695315443.92999995</v>
      </c>
      <c r="C8" s="390">
        <v>18.34</v>
      </c>
      <c r="D8" s="391">
        <v>710192598.26999998</v>
      </c>
      <c r="E8" s="390">
        <v>18.34</v>
      </c>
      <c r="F8" s="24">
        <f>((D8-B8)/B8)</f>
        <v>2.1396266212516019E-2</v>
      </c>
      <c r="G8" s="24">
        <f>((E8-C8)/C8)</f>
        <v>0</v>
      </c>
      <c r="H8" s="391">
        <v>715519832.97000003</v>
      </c>
      <c r="I8" s="390">
        <v>18.87</v>
      </c>
      <c r="J8" s="24">
        <f t="shared" si="0"/>
        <v>7.5011126741914413E-3</v>
      </c>
      <c r="K8" s="24">
        <f t="shared" si="1"/>
        <v>2.8898582333696899E-2</v>
      </c>
      <c r="L8" s="391">
        <v>737837740.49000001</v>
      </c>
      <c r="M8" s="390">
        <v>18.87</v>
      </c>
      <c r="N8" s="24">
        <f t="shared" si="2"/>
        <v>3.1191179463694495E-2</v>
      </c>
      <c r="O8" s="24">
        <f t="shared" si="3"/>
        <v>0</v>
      </c>
      <c r="P8" s="391">
        <v>728008896.15999997</v>
      </c>
      <c r="Q8" s="390">
        <v>18.87</v>
      </c>
      <c r="R8" s="24">
        <f t="shared" si="4"/>
        <v>-1.3321146087583811E-2</v>
      </c>
      <c r="S8" s="24">
        <f t="shared" si="5"/>
        <v>0</v>
      </c>
      <c r="T8" s="391">
        <v>727628283.92999995</v>
      </c>
      <c r="U8" s="390">
        <v>18.87</v>
      </c>
      <c r="V8" s="24">
        <f t="shared" si="6"/>
        <v>-5.2281260848269782E-4</v>
      </c>
      <c r="W8" s="24">
        <f t="shared" si="7"/>
        <v>0</v>
      </c>
      <c r="X8" s="391">
        <v>757132456.65999997</v>
      </c>
      <c r="Y8" s="390">
        <v>18.87</v>
      </c>
      <c r="Z8" s="24">
        <f t="shared" si="8"/>
        <v>4.0548413773368944E-2</v>
      </c>
      <c r="AA8" s="24">
        <f t="shared" si="9"/>
        <v>0</v>
      </c>
      <c r="AB8" s="391">
        <v>759488412.97000003</v>
      </c>
      <c r="AC8" s="390">
        <v>18.87</v>
      </c>
      <c r="AD8" s="24">
        <f t="shared" si="10"/>
        <v>3.1116831530285782E-3</v>
      </c>
      <c r="AE8" s="24">
        <f t="shared" si="11"/>
        <v>0</v>
      </c>
      <c r="AF8" s="391">
        <v>765387225.60000002</v>
      </c>
      <c r="AG8" s="390">
        <v>20.45</v>
      </c>
      <c r="AH8" s="24">
        <f t="shared" si="12"/>
        <v>7.7668237319546835E-3</v>
      </c>
      <c r="AI8" s="24">
        <f t="shared" si="13"/>
        <v>8.3730789613142453E-2</v>
      </c>
      <c r="AJ8" s="25">
        <f t="shared" si="14"/>
        <v>1.2208940039085958E-2</v>
      </c>
      <c r="AK8" s="25">
        <f t="shared" si="15"/>
        <v>1.4078671493354919E-2</v>
      </c>
      <c r="AL8" s="26">
        <f t="shared" si="16"/>
        <v>7.7717829592214682E-2</v>
      </c>
      <c r="AM8" s="26">
        <f t="shared" si="17"/>
        <v>0.11504907306434022</v>
      </c>
      <c r="AN8" s="27">
        <f t="shared" si="18"/>
        <v>1.7673212534692839E-2</v>
      </c>
      <c r="AO8" s="84">
        <f t="shared" si="19"/>
        <v>2.9905329821181059E-2</v>
      </c>
      <c r="AP8" s="31"/>
      <c r="AQ8" s="34">
        <v>166618649</v>
      </c>
      <c r="AR8" s="35">
        <v>9.4</v>
      </c>
      <c r="AS8" s="30" t="e">
        <f>(#REF!/AQ8)-1</f>
        <v>#REF!</v>
      </c>
      <c r="AT8" s="30" t="e">
        <f>(#REF!/AR8)-1</f>
        <v>#REF!</v>
      </c>
    </row>
    <row r="9" spans="1:49" s="94" customFormat="1">
      <c r="A9" s="216" t="s">
        <v>17</v>
      </c>
      <c r="B9" s="391">
        <v>395708886.68000001</v>
      </c>
      <c r="C9" s="390">
        <v>190.19450000000001</v>
      </c>
      <c r="D9" s="391">
        <v>403661214.39999998</v>
      </c>
      <c r="E9" s="390">
        <v>193.9871</v>
      </c>
      <c r="F9" s="24">
        <f>((D9-B9)/B9)</f>
        <v>2.0096409223255125E-2</v>
      </c>
      <c r="G9" s="24">
        <f>((E9-C9)/C9)</f>
        <v>1.9940639713556349E-2</v>
      </c>
      <c r="H9" s="391">
        <v>406789044.36000001</v>
      </c>
      <c r="I9" s="390">
        <v>195.5378</v>
      </c>
      <c r="J9" s="24">
        <f t="shared" si="0"/>
        <v>7.7486512164643539E-3</v>
      </c>
      <c r="K9" s="24">
        <f t="shared" si="1"/>
        <v>7.9938305175963047E-3</v>
      </c>
      <c r="L9" s="391">
        <v>415007674.85000002</v>
      </c>
      <c r="M9" s="390">
        <v>199.46619999999999</v>
      </c>
      <c r="N9" s="24">
        <f t="shared" si="2"/>
        <v>2.0203667242146003E-2</v>
      </c>
      <c r="O9" s="24">
        <f t="shared" si="3"/>
        <v>2.0090233192763662E-2</v>
      </c>
      <c r="P9" s="391">
        <v>418418330.24000001</v>
      </c>
      <c r="Q9" s="390">
        <v>197.62690000000001</v>
      </c>
      <c r="R9" s="24">
        <f t="shared" si="4"/>
        <v>8.2182947369171654E-3</v>
      </c>
      <c r="S9" s="24">
        <f t="shared" si="5"/>
        <v>-9.2211111456476352E-3</v>
      </c>
      <c r="T9" s="391">
        <v>419366385.54000002</v>
      </c>
      <c r="U9" s="390">
        <v>195.83340000000001</v>
      </c>
      <c r="V9" s="24">
        <f t="shared" si="6"/>
        <v>2.2658072830036347E-3</v>
      </c>
      <c r="W9" s="24">
        <f t="shared" si="7"/>
        <v>-9.0751815668818087E-3</v>
      </c>
      <c r="X9" s="391">
        <v>427697674.54000002</v>
      </c>
      <c r="Y9" s="390">
        <v>202.28809999999999</v>
      </c>
      <c r="Z9" s="24">
        <f t="shared" si="8"/>
        <v>1.9866372907480789E-2</v>
      </c>
      <c r="AA9" s="24">
        <f t="shared" si="9"/>
        <v>3.2960158992286166E-2</v>
      </c>
      <c r="AB9" s="391">
        <v>427260800.79000002</v>
      </c>
      <c r="AC9" s="390">
        <v>201.98869999999999</v>
      </c>
      <c r="AD9" s="24">
        <f t="shared" si="10"/>
        <v>-1.0214545834738734E-3</v>
      </c>
      <c r="AE9" s="24">
        <f t="shared" si="11"/>
        <v>-1.4800672901668041E-3</v>
      </c>
      <c r="AF9" s="391">
        <v>426597175.04000002</v>
      </c>
      <c r="AG9" s="390">
        <v>201.96209999999999</v>
      </c>
      <c r="AH9" s="24">
        <f t="shared" si="12"/>
        <v>-1.5532100037564038E-3</v>
      </c>
      <c r="AI9" s="24">
        <f t="shared" si="13"/>
        <v>-1.3169053516361043E-4</v>
      </c>
      <c r="AJ9" s="25">
        <f t="shared" si="14"/>
        <v>9.4780672527546E-3</v>
      </c>
      <c r="AK9" s="25">
        <f t="shared" si="15"/>
        <v>7.6346014847928278E-3</v>
      </c>
      <c r="AL9" s="26">
        <f t="shared" si="16"/>
        <v>5.6819827671806281E-2</v>
      </c>
      <c r="AM9" s="26">
        <f t="shared" si="17"/>
        <v>4.1110981091010662E-2</v>
      </c>
      <c r="AN9" s="27">
        <f t="shared" si="18"/>
        <v>9.4432758609341149E-3</v>
      </c>
      <c r="AO9" s="84">
        <f t="shared" si="19"/>
        <v>1.5375391392120467E-2</v>
      </c>
      <c r="AP9" s="31"/>
      <c r="AQ9" s="34"/>
      <c r="AR9" s="35"/>
      <c r="AS9" s="30"/>
      <c r="AT9" s="30"/>
    </row>
    <row r="10" spans="1:49">
      <c r="A10" s="216" t="s">
        <v>81</v>
      </c>
      <c r="B10" s="390">
        <v>1790470935.05</v>
      </c>
      <c r="C10" s="342">
        <v>0.9617</v>
      </c>
      <c r="D10" s="390">
        <v>1819836853.3699999</v>
      </c>
      <c r="E10" s="342">
        <v>0.97719999999999996</v>
      </c>
      <c r="F10" s="24">
        <f>((D10-B10)/B10)</f>
        <v>1.6401225926172252E-2</v>
      </c>
      <c r="G10" s="24">
        <f>((E10-C10)/C10)</f>
        <v>1.6117292294894413E-2</v>
      </c>
      <c r="H10" s="390">
        <v>1839842932.3800001</v>
      </c>
      <c r="I10" s="342">
        <v>0.98540000000000005</v>
      </c>
      <c r="J10" s="24">
        <f t="shared" si="0"/>
        <v>1.0993336558138542E-2</v>
      </c>
      <c r="K10" s="24">
        <f t="shared" si="1"/>
        <v>8.3913221449039063E-3</v>
      </c>
      <c r="L10" s="390">
        <v>1862618438.5699999</v>
      </c>
      <c r="M10" s="342">
        <v>0.99929999999999997</v>
      </c>
      <c r="N10" s="24">
        <f t="shared" si="2"/>
        <v>1.237904920532411E-2</v>
      </c>
      <c r="O10" s="24">
        <f t="shared" si="3"/>
        <v>1.4105946823624834E-2</v>
      </c>
      <c r="P10" s="390">
        <v>1870296414</v>
      </c>
      <c r="Q10" s="342">
        <v>1.0027999999999999</v>
      </c>
      <c r="R10" s="24">
        <f t="shared" si="4"/>
        <v>4.1221407836458061E-3</v>
      </c>
      <c r="S10" s="24">
        <f t="shared" si="5"/>
        <v>3.5024517162012886E-3</v>
      </c>
      <c r="T10" s="390">
        <v>1947867404.49</v>
      </c>
      <c r="U10" s="342">
        <v>1.0437000000000001</v>
      </c>
      <c r="V10" s="24">
        <f t="shared" si="6"/>
        <v>4.1475238849492876E-2</v>
      </c>
      <c r="W10" s="24">
        <f t="shared" si="7"/>
        <v>4.0785799760670288E-2</v>
      </c>
      <c r="X10" s="390">
        <v>1976784489.8</v>
      </c>
      <c r="Y10" s="342">
        <v>1.0429999999999999</v>
      </c>
      <c r="Z10" s="24">
        <f t="shared" si="8"/>
        <v>1.4845510142704582E-2</v>
      </c>
      <c r="AA10" s="24">
        <f t="shared" si="9"/>
        <v>-6.7069081153602083E-4</v>
      </c>
      <c r="AB10" s="390">
        <v>1978296792.0999999</v>
      </c>
      <c r="AC10" s="342">
        <v>1.0439000000000001</v>
      </c>
      <c r="AD10" s="24">
        <f t="shared" si="10"/>
        <v>7.6503144768854325E-4</v>
      </c>
      <c r="AE10" s="24">
        <f t="shared" si="11"/>
        <v>8.628954937680949E-4</v>
      </c>
      <c r="AF10" s="390">
        <v>1983978131.98</v>
      </c>
      <c r="AG10" s="342">
        <v>1.0448</v>
      </c>
      <c r="AH10" s="24">
        <f t="shared" si="12"/>
        <v>2.8718339445767708E-3</v>
      </c>
      <c r="AI10" s="24">
        <f t="shared" si="13"/>
        <v>8.6215154708295892E-4</v>
      </c>
      <c r="AJ10" s="25">
        <f t="shared" si="14"/>
        <v>1.2981670857217934E-2</v>
      </c>
      <c r="AK10" s="25">
        <f t="shared" si="15"/>
        <v>1.0494646121201221E-2</v>
      </c>
      <c r="AL10" s="26">
        <f t="shared" si="16"/>
        <v>9.0195600944140114E-2</v>
      </c>
      <c r="AM10" s="26">
        <f t="shared" si="17"/>
        <v>6.9177241097011871E-2</v>
      </c>
      <c r="AN10" s="27">
        <f t="shared" si="18"/>
        <v>1.2880293091216931E-2</v>
      </c>
      <c r="AO10" s="84">
        <f t="shared" si="19"/>
        <v>1.3761980269700566E-2</v>
      </c>
      <c r="AP10" s="31"/>
      <c r="AQ10" s="29">
        <v>1147996444.8800001</v>
      </c>
      <c r="AR10" s="33">
        <v>0.69840000000000002</v>
      </c>
      <c r="AS10" s="30" t="e">
        <f>(#REF!/AQ10)-1</f>
        <v>#REF!</v>
      </c>
      <c r="AT10" s="30" t="e">
        <f>(#REF!/AR10)-1</f>
        <v>#REF!</v>
      </c>
    </row>
    <row r="11" spans="1:49">
      <c r="A11" s="216" t="s">
        <v>14</v>
      </c>
      <c r="B11" s="390">
        <v>2244369906.6999998</v>
      </c>
      <c r="C11" s="390">
        <v>22.037600000000001</v>
      </c>
      <c r="D11" s="390">
        <v>2325531316.7199998</v>
      </c>
      <c r="E11" s="390">
        <v>22.832100000000001</v>
      </c>
      <c r="F11" s="24">
        <f>((D11-B11)/B11)</f>
        <v>3.616222520971836E-2</v>
      </c>
      <c r="G11" s="24">
        <f>((E11-C11)/C11)</f>
        <v>3.6052020183686029E-2</v>
      </c>
      <c r="H11" s="390">
        <v>2330421381.0999999</v>
      </c>
      <c r="I11" s="390">
        <v>22.8796</v>
      </c>
      <c r="J11" s="24">
        <f t="shared" si="0"/>
        <v>2.1027729641143727E-3</v>
      </c>
      <c r="K11" s="24">
        <f t="shared" si="1"/>
        <v>2.0804043430082833E-3</v>
      </c>
      <c r="L11" s="390">
        <v>2388390890.04</v>
      </c>
      <c r="M11" s="390">
        <v>23.455100000000002</v>
      </c>
      <c r="N11" s="24">
        <f t="shared" si="2"/>
        <v>2.4875118899156955E-2</v>
      </c>
      <c r="O11" s="24">
        <f t="shared" si="3"/>
        <v>2.5153411772933166E-2</v>
      </c>
      <c r="P11" s="390">
        <v>2381537464.98</v>
      </c>
      <c r="Q11" s="390">
        <v>23.3964</v>
      </c>
      <c r="R11" s="24">
        <f t="shared" si="4"/>
        <v>-2.869473790316276E-3</v>
      </c>
      <c r="S11" s="24">
        <f t="shared" si="5"/>
        <v>-2.5026540070177379E-3</v>
      </c>
      <c r="T11" s="390">
        <v>2389196752.1700001</v>
      </c>
      <c r="U11" s="390">
        <v>23.4833</v>
      </c>
      <c r="V11" s="24">
        <f t="shared" si="6"/>
        <v>3.216110307995671E-3</v>
      </c>
      <c r="W11" s="24">
        <f t="shared" si="7"/>
        <v>3.7142466362346336E-3</v>
      </c>
      <c r="X11" s="390">
        <v>2447565095.3200002</v>
      </c>
      <c r="Y11" s="390">
        <v>24.052099999999999</v>
      </c>
      <c r="Z11" s="24">
        <f t="shared" si="8"/>
        <v>2.4430111541457081E-2</v>
      </c>
      <c r="AA11" s="24">
        <f t="shared" si="9"/>
        <v>2.4221468021956009E-2</v>
      </c>
      <c r="AB11" s="390">
        <v>2460213036.2199998</v>
      </c>
      <c r="AC11" s="390">
        <v>24.1645</v>
      </c>
      <c r="AD11" s="24">
        <f t="shared" si="10"/>
        <v>5.1675605785455108E-3</v>
      </c>
      <c r="AE11" s="24">
        <f t="shared" si="11"/>
        <v>4.6731886197047641E-3</v>
      </c>
      <c r="AF11" s="390">
        <v>2451774803.8299999</v>
      </c>
      <c r="AG11" s="390">
        <v>24.0976</v>
      </c>
      <c r="AH11" s="24">
        <f t="shared" si="12"/>
        <v>-3.4298787404869655E-3</v>
      </c>
      <c r="AI11" s="24">
        <f t="shared" si="13"/>
        <v>-2.7685240745722196E-3</v>
      </c>
      <c r="AJ11" s="25">
        <f t="shared" si="14"/>
        <v>1.1206818371273089E-2</v>
      </c>
      <c r="AK11" s="25">
        <f t="shared" si="15"/>
        <v>1.1327945186991616E-2</v>
      </c>
      <c r="AL11" s="26">
        <f t="shared" si="16"/>
        <v>5.4285868438898426E-2</v>
      </c>
      <c r="AM11" s="26">
        <f t="shared" si="17"/>
        <v>5.5426351496358169E-2</v>
      </c>
      <c r="AN11" s="27">
        <f t="shared" si="18"/>
        <v>1.5023946828943681E-2</v>
      </c>
      <c r="AO11" s="84">
        <f t="shared" si="19"/>
        <v>1.486334640179005E-2</v>
      </c>
      <c r="AP11" s="31"/>
      <c r="AQ11" s="29">
        <v>2845469436.1399999</v>
      </c>
      <c r="AR11" s="33">
        <v>13.0688</v>
      </c>
      <c r="AS11" s="30" t="e">
        <f>(#REF!/AQ11)-1</f>
        <v>#REF!</v>
      </c>
      <c r="AT11" s="30" t="e">
        <f>(#REF!/AR11)-1</f>
        <v>#REF!</v>
      </c>
    </row>
    <row r="12" spans="1:49" ht="12.75" customHeight="1">
      <c r="A12" s="216" t="s">
        <v>57</v>
      </c>
      <c r="B12" s="390">
        <v>353455738.45999998</v>
      </c>
      <c r="C12" s="390">
        <v>163.36000000000001</v>
      </c>
      <c r="D12" s="390">
        <v>363506877.74000001</v>
      </c>
      <c r="E12" s="390">
        <v>168.01</v>
      </c>
      <c r="F12" s="24">
        <f>((D12-B12)/B12)</f>
        <v>2.8436769265064579E-2</v>
      </c>
      <c r="G12" s="24">
        <f>((E12-C12)/C12)</f>
        <v>2.8464740450538546E-2</v>
      </c>
      <c r="H12" s="390">
        <v>367745213.73000002</v>
      </c>
      <c r="I12" s="390">
        <v>170.68</v>
      </c>
      <c r="J12" s="24">
        <f t="shared" si="0"/>
        <v>1.1659575786710421E-2</v>
      </c>
      <c r="K12" s="24">
        <f t="shared" si="1"/>
        <v>1.5891911195762252E-2</v>
      </c>
      <c r="L12" s="390">
        <v>376788984.97000003</v>
      </c>
      <c r="M12" s="390">
        <v>174.75</v>
      </c>
      <c r="N12" s="24">
        <f t="shared" si="2"/>
        <v>2.4592492036184545E-2</v>
      </c>
      <c r="O12" s="24">
        <f t="shared" si="3"/>
        <v>2.3845793297398599E-2</v>
      </c>
      <c r="P12" s="390">
        <v>376412180.94</v>
      </c>
      <c r="Q12" s="390">
        <v>174.61</v>
      </c>
      <c r="R12" s="24">
        <f t="shared" si="4"/>
        <v>-1.0000399295909145E-3</v>
      </c>
      <c r="S12" s="24">
        <f t="shared" si="5"/>
        <v>-8.0114449213153848E-4</v>
      </c>
      <c r="T12" s="390">
        <v>382154034.18000001</v>
      </c>
      <c r="U12" s="390">
        <v>177.02</v>
      </c>
      <c r="V12" s="24">
        <f t="shared" si="6"/>
        <v>1.525416426657898E-2</v>
      </c>
      <c r="W12" s="24">
        <f t="shared" si="7"/>
        <v>1.3802187732661338E-2</v>
      </c>
      <c r="X12" s="390">
        <v>390977059.31</v>
      </c>
      <c r="Y12" s="390">
        <v>181.19</v>
      </c>
      <c r="Z12" s="24">
        <f t="shared" si="8"/>
        <v>2.3087614785833255E-2</v>
      </c>
      <c r="AA12" s="24">
        <f t="shared" si="9"/>
        <v>2.3556660264376833E-2</v>
      </c>
      <c r="AB12" s="390">
        <v>385648510.37</v>
      </c>
      <c r="AC12" s="390">
        <v>179.9</v>
      </c>
      <c r="AD12" s="24">
        <f t="shared" si="10"/>
        <v>-1.362880203100374E-2</v>
      </c>
      <c r="AE12" s="24">
        <f t="shared" si="11"/>
        <v>-7.119598211821801E-3</v>
      </c>
      <c r="AF12" s="390">
        <v>380646987.55000001</v>
      </c>
      <c r="AG12" s="390">
        <v>177.57</v>
      </c>
      <c r="AH12" s="24">
        <f t="shared" si="12"/>
        <v>-1.2969122622051405E-2</v>
      </c>
      <c r="AI12" s="24">
        <f t="shared" si="13"/>
        <v>-1.2951639799888896E-2</v>
      </c>
      <c r="AJ12" s="25">
        <f t="shared" si="14"/>
        <v>9.4290814447157145E-3</v>
      </c>
      <c r="AK12" s="25">
        <f t="shared" si="15"/>
        <v>1.0586113804611918E-2</v>
      </c>
      <c r="AL12" s="26">
        <f t="shared" si="16"/>
        <v>4.7152092187536396E-2</v>
      </c>
      <c r="AM12" s="26">
        <f t="shared" si="17"/>
        <v>5.690137491815965E-2</v>
      </c>
      <c r="AN12" s="27">
        <f t="shared" si="18"/>
        <v>1.6728058351162929E-2</v>
      </c>
      <c r="AO12" s="84">
        <f t="shared" si="19"/>
        <v>1.5581040760209787E-2</v>
      </c>
      <c r="AP12" s="31"/>
      <c r="AQ12" s="34">
        <v>155057555.75</v>
      </c>
      <c r="AR12" s="34">
        <v>111.51</v>
      </c>
      <c r="AS12" s="30" t="e">
        <f>(#REF!/AQ12)-1</f>
        <v>#REF!</v>
      </c>
      <c r="AT12" s="30" t="e">
        <f>(#REF!/AR12)-1</f>
        <v>#REF!</v>
      </c>
      <c r="AU12" s="89"/>
      <c r="AV12" s="90"/>
      <c r="AW12" s="95"/>
    </row>
    <row r="13" spans="1:49" ht="12.75" customHeight="1">
      <c r="A13" s="216" t="s">
        <v>58</v>
      </c>
      <c r="B13" s="390">
        <v>280672383.68000001</v>
      </c>
      <c r="C13" s="390">
        <v>11.968</v>
      </c>
      <c r="D13" s="390">
        <v>287953769.39999998</v>
      </c>
      <c r="E13" s="390">
        <v>12.397724</v>
      </c>
      <c r="F13" s="24">
        <f>((D13-B13)/B13)</f>
        <v>2.5942651088543208E-2</v>
      </c>
      <c r="G13" s="24">
        <f>((E13-C13)/C13)</f>
        <v>3.5906082887700551E-2</v>
      </c>
      <c r="H13" s="390">
        <v>281244803.94</v>
      </c>
      <c r="I13" s="390">
        <v>12.084092999999999</v>
      </c>
      <c r="J13" s="24">
        <f t="shared" si="0"/>
        <v>-2.3298758943073518E-2</v>
      </c>
      <c r="K13" s="24">
        <f t="shared" si="1"/>
        <v>-2.5297465889706924E-2</v>
      </c>
      <c r="L13" s="390">
        <v>300071225.00999999</v>
      </c>
      <c r="M13" s="390">
        <v>12.8742</v>
      </c>
      <c r="N13" s="24">
        <f t="shared" si="2"/>
        <v>6.6939622728163783E-2</v>
      </c>
      <c r="O13" s="24">
        <f t="shared" si="3"/>
        <v>6.538405488934923E-2</v>
      </c>
      <c r="P13" s="390">
        <v>295848146.80000001</v>
      </c>
      <c r="Q13" s="390">
        <v>12.6538</v>
      </c>
      <c r="R13" s="24">
        <f t="shared" si="4"/>
        <v>-1.4073586062306517E-2</v>
      </c>
      <c r="S13" s="24">
        <f t="shared" si="5"/>
        <v>-1.7119510338506446E-2</v>
      </c>
      <c r="T13" s="390">
        <v>296476092.69999999</v>
      </c>
      <c r="U13" s="390">
        <v>12.664999999999999</v>
      </c>
      <c r="V13" s="24">
        <f t="shared" si="6"/>
        <v>2.1225277453722964E-3</v>
      </c>
      <c r="W13" s="24">
        <f t="shared" si="7"/>
        <v>8.8510961134194996E-4</v>
      </c>
      <c r="X13" s="390">
        <v>306310105.66000003</v>
      </c>
      <c r="Y13" s="390">
        <v>13.0718</v>
      </c>
      <c r="Z13" s="24">
        <f t="shared" si="8"/>
        <v>3.3169665960050741E-2</v>
      </c>
      <c r="AA13" s="24">
        <f t="shared" si="9"/>
        <v>3.2120015791551562E-2</v>
      </c>
      <c r="AB13" s="390">
        <v>306310105.66000003</v>
      </c>
      <c r="AC13" s="390">
        <v>13.078799999999999</v>
      </c>
      <c r="AD13" s="24">
        <f t="shared" si="10"/>
        <v>0</v>
      </c>
      <c r="AE13" s="24">
        <f t="shared" si="11"/>
        <v>5.3550390917851199E-4</v>
      </c>
      <c r="AF13" s="390">
        <v>309116527.25999999</v>
      </c>
      <c r="AG13" s="390">
        <v>13.102399999999999</v>
      </c>
      <c r="AH13" s="24">
        <f t="shared" si="12"/>
        <v>9.1620274621793032E-3</v>
      </c>
      <c r="AI13" s="24">
        <f t="shared" si="13"/>
        <v>1.8044468911520986E-3</v>
      </c>
      <c r="AJ13" s="25">
        <f t="shared" si="14"/>
        <v>1.2495518747366161E-2</v>
      </c>
      <c r="AK13" s="25">
        <f t="shared" si="15"/>
        <v>1.1777279719007567E-2</v>
      </c>
      <c r="AL13" s="26">
        <f t="shared" si="16"/>
        <v>7.3493595531311059E-2</v>
      </c>
      <c r="AM13" s="26">
        <f t="shared" si="17"/>
        <v>5.6839142410332666E-2</v>
      </c>
      <c r="AN13" s="27">
        <f t="shared" si="18"/>
        <v>2.8870159904683858E-2</v>
      </c>
      <c r="AO13" s="84">
        <f t="shared" si="19"/>
        <v>3.0293205090624199E-2</v>
      </c>
      <c r="AP13" s="31"/>
      <c r="AQ13" s="39">
        <v>212579164.06</v>
      </c>
      <c r="AR13" s="39">
        <v>9.9</v>
      </c>
      <c r="AS13" s="30" t="e">
        <f>(#REF!/AQ13)-1</f>
        <v>#REF!</v>
      </c>
      <c r="AT13" s="30" t="e">
        <f>(#REF!/AR13)-1</f>
        <v>#REF!</v>
      </c>
    </row>
    <row r="14" spans="1:49" ht="12.75" customHeight="1">
      <c r="A14" s="217" t="s">
        <v>72</v>
      </c>
      <c r="B14" s="391">
        <v>329501009.56999999</v>
      </c>
      <c r="C14" s="390">
        <v>3220.74</v>
      </c>
      <c r="D14" s="391">
        <v>334547496.94999999</v>
      </c>
      <c r="E14" s="390">
        <v>3279.27</v>
      </c>
      <c r="F14" s="24">
        <f>((D14-B14)/B14)</f>
        <v>1.53155445155864E-2</v>
      </c>
      <c r="G14" s="24">
        <f>((E14-C14)/C14)</f>
        <v>1.8172842266063142E-2</v>
      </c>
      <c r="H14" s="391">
        <v>340821767.18000001</v>
      </c>
      <c r="I14" s="390">
        <v>3316.04</v>
      </c>
      <c r="J14" s="24">
        <f t="shared" si="0"/>
        <v>1.8754497604080846E-2</v>
      </c>
      <c r="K14" s="24">
        <f t="shared" si="1"/>
        <v>1.1212861399030877E-2</v>
      </c>
      <c r="L14" s="391">
        <v>348349843.82999998</v>
      </c>
      <c r="M14" s="390">
        <v>3389.43</v>
      </c>
      <c r="N14" s="24">
        <f t="shared" si="2"/>
        <v>2.2088016009916799E-2</v>
      </c>
      <c r="O14" s="24">
        <f t="shared" si="3"/>
        <v>2.213181988154542E-2</v>
      </c>
      <c r="P14" s="391">
        <v>348763218.52999997</v>
      </c>
      <c r="Q14" s="390">
        <v>3393.73</v>
      </c>
      <c r="R14" s="24">
        <f t="shared" si="4"/>
        <v>1.1866653805698883E-3</v>
      </c>
      <c r="S14" s="24">
        <f t="shared" si="5"/>
        <v>1.2686498909846736E-3</v>
      </c>
      <c r="T14" s="391">
        <v>354602282.91000003</v>
      </c>
      <c r="U14" s="390">
        <v>3450.66</v>
      </c>
      <c r="V14" s="24">
        <f t="shared" si="6"/>
        <v>1.674220235898468E-2</v>
      </c>
      <c r="W14" s="24">
        <f t="shared" si="7"/>
        <v>1.6775052817990774E-2</v>
      </c>
      <c r="X14" s="391">
        <v>363128838.67000002</v>
      </c>
      <c r="Y14" s="390">
        <v>3533.76</v>
      </c>
      <c r="Z14" s="24">
        <f t="shared" si="8"/>
        <v>2.4045405714897997E-2</v>
      </c>
      <c r="AA14" s="24">
        <f t="shared" si="9"/>
        <v>2.4082349463580986E-2</v>
      </c>
      <c r="AB14" s="391">
        <v>358114157.80000001</v>
      </c>
      <c r="AC14" s="390">
        <v>3484.85</v>
      </c>
      <c r="AD14" s="24">
        <f t="shared" si="10"/>
        <v>-1.3809646428432493E-2</v>
      </c>
      <c r="AE14" s="24">
        <f t="shared" si="11"/>
        <v>-1.3840781490537078E-2</v>
      </c>
      <c r="AF14" s="391">
        <v>355419691.63</v>
      </c>
      <c r="AG14" s="390">
        <v>3458.54</v>
      </c>
      <c r="AH14" s="24">
        <f t="shared" si="12"/>
        <v>-7.5240425750071156E-3</v>
      </c>
      <c r="AI14" s="24">
        <f t="shared" si="13"/>
        <v>-7.5498228044248526E-3</v>
      </c>
      <c r="AJ14" s="25">
        <f t="shared" si="14"/>
        <v>9.5998303225746252E-3</v>
      </c>
      <c r="AK14" s="25">
        <f t="shared" si="15"/>
        <v>9.0316214280292406E-3</v>
      </c>
      <c r="AL14" s="26">
        <f t="shared" si="16"/>
        <v>6.2389331470979366E-2</v>
      </c>
      <c r="AM14" s="26">
        <f t="shared" si="17"/>
        <v>5.466765469144047E-2</v>
      </c>
      <c r="AN14" s="27">
        <f t="shared" si="18"/>
        <v>1.4363307415397356E-2</v>
      </c>
      <c r="AO14" s="84">
        <f t="shared" si="19"/>
        <v>1.4166232007446863E-2</v>
      </c>
      <c r="AP14" s="31"/>
      <c r="AQ14" s="29">
        <v>305162610.31</v>
      </c>
      <c r="AR14" s="29">
        <v>1481.86</v>
      </c>
      <c r="AS14" s="30" t="e">
        <f>(#REF!/AQ14)-1</f>
        <v>#REF!</v>
      </c>
      <c r="AT14" s="30" t="e">
        <f>(#REF!/AR14)-1</f>
        <v>#REF!</v>
      </c>
    </row>
    <row r="15" spans="1:49" s="94" customFormat="1" ht="12.75" customHeight="1">
      <c r="A15" s="216" t="s">
        <v>87</v>
      </c>
      <c r="B15" s="391">
        <v>259900593.13999999</v>
      </c>
      <c r="C15" s="390">
        <v>142.97</v>
      </c>
      <c r="D15" s="391">
        <v>245931683.28</v>
      </c>
      <c r="E15" s="390">
        <v>142.97</v>
      </c>
      <c r="F15" s="24">
        <f>((D15-B15)/B15)</f>
        <v>-5.3747125742323286E-2</v>
      </c>
      <c r="G15" s="24">
        <f>((E15-C15)/C15)</f>
        <v>0</v>
      </c>
      <c r="H15" s="391">
        <v>246914907.66999999</v>
      </c>
      <c r="I15" s="390">
        <v>142.97</v>
      </c>
      <c r="J15" s="24">
        <f t="shared" si="0"/>
        <v>3.9979573875422864E-3</v>
      </c>
      <c r="K15" s="24">
        <f t="shared" si="1"/>
        <v>0</v>
      </c>
      <c r="L15" s="391">
        <v>267828509.25</v>
      </c>
      <c r="M15" s="390">
        <v>142.97</v>
      </c>
      <c r="N15" s="24">
        <f t="shared" si="2"/>
        <v>8.4699631048405111E-2</v>
      </c>
      <c r="O15" s="24">
        <f t="shared" si="3"/>
        <v>0</v>
      </c>
      <c r="P15" s="391">
        <v>262792359.38999999</v>
      </c>
      <c r="Q15" s="390">
        <v>142.97</v>
      </c>
      <c r="R15" s="24">
        <f t="shared" si="4"/>
        <v>-1.8803636230148694E-2</v>
      </c>
      <c r="S15" s="24">
        <f t="shared" si="5"/>
        <v>0</v>
      </c>
      <c r="T15" s="391">
        <v>265833314.18000001</v>
      </c>
      <c r="U15" s="390">
        <v>142.97</v>
      </c>
      <c r="V15" s="24">
        <f t="shared" si="6"/>
        <v>1.1571701692768997E-2</v>
      </c>
      <c r="W15" s="24">
        <f t="shared" si="7"/>
        <v>0</v>
      </c>
      <c r="X15" s="391">
        <v>277239452.17000002</v>
      </c>
      <c r="Y15" s="390">
        <v>142.97</v>
      </c>
      <c r="Z15" s="24">
        <f t="shared" si="8"/>
        <v>4.2907105248203507E-2</v>
      </c>
      <c r="AA15" s="24">
        <f t="shared" si="9"/>
        <v>0</v>
      </c>
      <c r="AB15" s="391">
        <v>282006437.12</v>
      </c>
      <c r="AC15" s="390">
        <v>142.97</v>
      </c>
      <c r="AD15" s="24">
        <f t="shared" si="10"/>
        <v>1.719446822120009E-2</v>
      </c>
      <c r="AE15" s="24">
        <f t="shared" si="11"/>
        <v>0</v>
      </c>
      <c r="AF15" s="391">
        <v>276196031.75999999</v>
      </c>
      <c r="AG15" s="390">
        <v>142.97</v>
      </c>
      <c r="AH15" s="24">
        <f t="shared" si="12"/>
        <v>-2.0603804010074982E-2</v>
      </c>
      <c r="AI15" s="24">
        <f t="shared" si="13"/>
        <v>0</v>
      </c>
      <c r="AJ15" s="25">
        <f t="shared" si="14"/>
        <v>8.4020372019466272E-3</v>
      </c>
      <c r="AK15" s="25">
        <f t="shared" si="15"/>
        <v>0</v>
      </c>
      <c r="AL15" s="26">
        <f t="shared" si="16"/>
        <v>0.12305998184684157</v>
      </c>
      <c r="AM15" s="26">
        <f t="shared" si="17"/>
        <v>0</v>
      </c>
      <c r="AN15" s="27">
        <f t="shared" si="18"/>
        <v>4.236352546513257E-2</v>
      </c>
      <c r="AO15" s="84">
        <f t="shared" si="19"/>
        <v>0</v>
      </c>
      <c r="AP15" s="31"/>
      <c r="AQ15" s="29"/>
      <c r="AR15" s="29"/>
      <c r="AS15" s="30"/>
      <c r="AT15" s="30"/>
    </row>
    <row r="16" spans="1:49" s="94" customFormat="1" ht="12.75" customHeight="1">
      <c r="A16" s="216" t="s">
        <v>132</v>
      </c>
      <c r="B16" s="391">
        <v>302992281.41000003</v>
      </c>
      <c r="C16" s="390">
        <v>1.21</v>
      </c>
      <c r="D16" s="391">
        <v>321808521.13999999</v>
      </c>
      <c r="E16" s="390">
        <v>1.28</v>
      </c>
      <c r="F16" s="24">
        <f>((D16-B16)/B16)</f>
        <v>6.2101383053182108E-2</v>
      </c>
      <c r="G16" s="24">
        <f>((E16-C16)/C16)</f>
        <v>5.7851239669421538E-2</v>
      </c>
      <c r="H16" s="391">
        <v>324173786.19</v>
      </c>
      <c r="I16" s="390">
        <v>1.29</v>
      </c>
      <c r="J16" s="24">
        <f t="shared" si="0"/>
        <v>7.3499142956846191E-3</v>
      </c>
      <c r="K16" s="24">
        <f t="shared" si="1"/>
        <v>7.8125000000000069E-3</v>
      </c>
      <c r="L16" s="391">
        <v>324479426.48000002</v>
      </c>
      <c r="M16" s="390">
        <v>1.29</v>
      </c>
      <c r="N16" s="24">
        <f t="shared" si="2"/>
        <v>9.4282851674158512E-4</v>
      </c>
      <c r="O16" s="24">
        <f t="shared" si="3"/>
        <v>0</v>
      </c>
      <c r="P16" s="391">
        <v>328427943.86000001</v>
      </c>
      <c r="Q16" s="390">
        <v>1.3</v>
      </c>
      <c r="R16" s="24">
        <f t="shared" si="4"/>
        <v>1.2168775761329726E-2</v>
      </c>
      <c r="S16" s="24">
        <f t="shared" si="5"/>
        <v>7.7519379844961309E-3</v>
      </c>
      <c r="T16" s="391">
        <v>328100755.11000001</v>
      </c>
      <c r="U16" s="390">
        <v>1.3</v>
      </c>
      <c r="V16" s="24">
        <f t="shared" si="6"/>
        <v>-9.9622689273806664E-4</v>
      </c>
      <c r="W16" s="24">
        <f t="shared" si="7"/>
        <v>0</v>
      </c>
      <c r="X16" s="391">
        <v>347540583.73000002</v>
      </c>
      <c r="Y16" s="390">
        <v>1.32</v>
      </c>
      <c r="Z16" s="24">
        <f t="shared" si="8"/>
        <v>5.9249569887404104E-2</v>
      </c>
      <c r="AA16" s="24">
        <f t="shared" si="9"/>
        <v>1.5384615384615398E-2</v>
      </c>
      <c r="AB16" s="391">
        <v>349368508.86000001</v>
      </c>
      <c r="AC16" s="390">
        <v>1.36</v>
      </c>
      <c r="AD16" s="24">
        <f t="shared" si="10"/>
        <v>5.259601944560488E-3</v>
      </c>
      <c r="AE16" s="24">
        <f t="shared" si="11"/>
        <v>3.0303030303030328E-2</v>
      </c>
      <c r="AF16" s="391">
        <v>349942952</v>
      </c>
      <c r="AG16" s="390">
        <v>1.36</v>
      </c>
      <c r="AH16" s="24">
        <f t="shared" si="12"/>
        <v>1.6442327383037784E-3</v>
      </c>
      <c r="AI16" s="24">
        <f t="shared" si="13"/>
        <v>0</v>
      </c>
      <c r="AJ16" s="25">
        <f t="shared" si="14"/>
        <v>1.8465009913058543E-2</v>
      </c>
      <c r="AK16" s="25">
        <f t="shared" si="15"/>
        <v>1.4887915417695427E-2</v>
      </c>
      <c r="AL16" s="26">
        <f t="shared" si="16"/>
        <v>8.7425997174762113E-2</v>
      </c>
      <c r="AM16" s="26">
        <f t="shared" si="17"/>
        <v>6.2500000000000056E-2</v>
      </c>
      <c r="AN16" s="27">
        <f t="shared" si="18"/>
        <v>2.6386655803578879E-2</v>
      </c>
      <c r="AO16" s="84">
        <f t="shared" si="19"/>
        <v>2.0176554506433662E-2</v>
      </c>
      <c r="AP16" s="31"/>
      <c r="AQ16" s="29"/>
      <c r="AR16" s="29"/>
      <c r="AS16" s="30"/>
      <c r="AT16" s="30"/>
    </row>
    <row r="17" spans="1:46" s="94" customFormat="1" ht="12.75" customHeight="1">
      <c r="A17" s="216" t="s">
        <v>135</v>
      </c>
      <c r="B17" s="390">
        <v>277920493.36000001</v>
      </c>
      <c r="C17" s="390">
        <v>1.425962</v>
      </c>
      <c r="D17" s="390">
        <v>287784706.77999997</v>
      </c>
      <c r="E17" s="390">
        <v>1.48553</v>
      </c>
      <c r="F17" s="24">
        <f>((D17-B17)/B17)</f>
        <v>3.5492932891503258E-2</v>
      </c>
      <c r="G17" s="24">
        <f>((E17-C17)/C17)</f>
        <v>4.1773904213436311E-2</v>
      </c>
      <c r="H17" s="390">
        <v>288980058.06</v>
      </c>
      <c r="I17" s="390">
        <v>1.492032</v>
      </c>
      <c r="J17" s="24">
        <f t="shared" si="0"/>
        <v>4.1536303070956087E-3</v>
      </c>
      <c r="K17" s="24">
        <f t="shared" si="1"/>
        <v>4.3768890564310431E-3</v>
      </c>
      <c r="L17" s="390">
        <v>296363775.56999999</v>
      </c>
      <c r="M17" s="390">
        <v>1.529998</v>
      </c>
      <c r="N17" s="24">
        <f t="shared" si="2"/>
        <v>2.5550958635584927E-2</v>
      </c>
      <c r="O17" s="24">
        <f t="shared" si="3"/>
        <v>2.5445834941877885E-2</v>
      </c>
      <c r="P17" s="390">
        <v>291030996.87</v>
      </c>
      <c r="Q17" s="390">
        <v>1.5054510000000001</v>
      </c>
      <c r="R17" s="24">
        <f t="shared" si="4"/>
        <v>-1.7994030106221286E-2</v>
      </c>
      <c r="S17" s="24">
        <f t="shared" si="5"/>
        <v>-1.6043811821976155E-2</v>
      </c>
      <c r="T17" s="390">
        <v>292251055.42000002</v>
      </c>
      <c r="U17" s="390">
        <v>1.512087</v>
      </c>
      <c r="V17" s="24">
        <f t="shared" si="6"/>
        <v>4.1921945192147257E-3</v>
      </c>
      <c r="W17" s="24">
        <f t="shared" si="7"/>
        <v>4.4079813956082684E-3</v>
      </c>
      <c r="X17" s="390">
        <v>295718639.97000003</v>
      </c>
      <c r="Y17" s="390">
        <v>1.530152</v>
      </c>
      <c r="Z17" s="24">
        <f t="shared" si="8"/>
        <v>1.1865088203074834E-2</v>
      </c>
      <c r="AA17" s="24">
        <f t="shared" si="9"/>
        <v>1.1947063892487666E-2</v>
      </c>
      <c r="AB17" s="390">
        <v>296691417.77999997</v>
      </c>
      <c r="AC17" s="390">
        <v>1.5355380000000001</v>
      </c>
      <c r="AD17" s="24">
        <f t="shared" si="10"/>
        <v>3.2895383601744847E-3</v>
      </c>
      <c r="AE17" s="24">
        <f t="shared" si="11"/>
        <v>3.5199117473297507E-3</v>
      </c>
      <c r="AF17" s="390">
        <v>298632258.19999999</v>
      </c>
      <c r="AG17" s="390">
        <v>1.5355380000000001</v>
      </c>
      <c r="AH17" s="24">
        <f t="shared" si="12"/>
        <v>6.5416129476288786E-3</v>
      </c>
      <c r="AI17" s="24">
        <f t="shared" si="13"/>
        <v>0</v>
      </c>
      <c r="AJ17" s="25">
        <f t="shared" si="14"/>
        <v>9.1364907197569283E-3</v>
      </c>
      <c r="AK17" s="25">
        <f t="shared" si="15"/>
        <v>9.4284716781493465E-3</v>
      </c>
      <c r="AL17" s="26">
        <f t="shared" si="16"/>
        <v>3.7693286559151808E-2</v>
      </c>
      <c r="AM17" s="26">
        <f t="shared" si="17"/>
        <v>3.3663406326361667E-2</v>
      </c>
      <c r="AN17" s="27">
        <f t="shared" si="18"/>
        <v>1.6025882684784973E-2</v>
      </c>
      <c r="AO17" s="84">
        <f t="shared" si="19"/>
        <v>1.74539984513284E-2</v>
      </c>
      <c r="AP17" s="31"/>
      <c r="AQ17" s="29"/>
      <c r="AR17" s="29"/>
      <c r="AS17" s="30"/>
      <c r="AT17" s="30"/>
    </row>
    <row r="18" spans="1:46" s="118" customFormat="1" ht="12.75" customHeight="1">
      <c r="A18" s="216" t="s">
        <v>146</v>
      </c>
      <c r="B18" s="390">
        <v>433172336.24000001</v>
      </c>
      <c r="C18" s="390">
        <v>145.96250000000001</v>
      </c>
      <c r="D18" s="390">
        <v>440357191.55000001</v>
      </c>
      <c r="E18" s="390">
        <v>147.07820000000001</v>
      </c>
      <c r="F18" s="24">
        <f>((D18-B18)/B18)</f>
        <v>1.6586597778532233E-2</v>
      </c>
      <c r="G18" s="24">
        <f>((E18-C18)/C18)</f>
        <v>7.6437441123576528E-3</v>
      </c>
      <c r="H18" s="390">
        <v>447115052.45999998</v>
      </c>
      <c r="I18" s="390">
        <v>150.6687</v>
      </c>
      <c r="J18" s="24">
        <f t="shared" si="0"/>
        <v>1.5346316671275824E-2</v>
      </c>
      <c r="K18" s="24">
        <f t="shared" si="1"/>
        <v>2.4412183450708475E-2</v>
      </c>
      <c r="L18" s="390">
        <v>458622167.95999998</v>
      </c>
      <c r="M18" s="390">
        <v>154.6</v>
      </c>
      <c r="N18" s="24">
        <f t="shared" si="2"/>
        <v>2.5736363463248545E-2</v>
      </c>
      <c r="O18" s="24">
        <f t="shared" si="3"/>
        <v>2.6092346983812784E-2</v>
      </c>
      <c r="P18" s="390">
        <v>451963548.25999999</v>
      </c>
      <c r="Q18" s="390">
        <v>152.4093</v>
      </c>
      <c r="R18" s="24">
        <f t="shared" si="4"/>
        <v>-1.4518748035268845E-2</v>
      </c>
      <c r="S18" s="24">
        <f t="shared" si="5"/>
        <v>-1.4170116429495425E-2</v>
      </c>
      <c r="T18" s="390">
        <v>454097186.88</v>
      </c>
      <c r="U18" s="390">
        <v>153.11070000000001</v>
      </c>
      <c r="V18" s="24">
        <f t="shared" si="6"/>
        <v>4.720820137407611E-3</v>
      </c>
      <c r="W18" s="24">
        <f t="shared" si="7"/>
        <v>4.602081369050358E-3</v>
      </c>
      <c r="X18" s="390">
        <v>461533123.02999997</v>
      </c>
      <c r="Y18" s="390">
        <v>155.60910000000001</v>
      </c>
      <c r="Z18" s="24">
        <f t="shared" si="8"/>
        <v>1.6375208578345589E-2</v>
      </c>
      <c r="AA18" s="24">
        <f t="shared" si="9"/>
        <v>1.6317605497199107E-2</v>
      </c>
      <c r="AB18" s="390">
        <v>461493096.73000002</v>
      </c>
      <c r="AC18" s="390">
        <v>155.60040000000001</v>
      </c>
      <c r="AD18" s="24">
        <f t="shared" si="10"/>
        <v>-8.6724653123868158E-5</v>
      </c>
      <c r="AE18" s="24">
        <f t="shared" si="11"/>
        <v>-5.590932663966691E-5</v>
      </c>
      <c r="AF18" s="390">
        <v>461422365.12</v>
      </c>
      <c r="AG18" s="390">
        <v>155.58160000000001</v>
      </c>
      <c r="AH18" s="24">
        <f t="shared" si="12"/>
        <v>-1.5326688633307198E-4</v>
      </c>
      <c r="AI18" s="24">
        <f t="shared" si="13"/>
        <v>-1.2082231151075972E-4</v>
      </c>
      <c r="AJ18" s="25">
        <f t="shared" si="14"/>
        <v>8.0008208817605037E-3</v>
      </c>
      <c r="AK18" s="25">
        <f t="shared" si="15"/>
        <v>8.090139168185316E-3</v>
      </c>
      <c r="AL18" s="26">
        <f t="shared" si="16"/>
        <v>4.7836560806134049E-2</v>
      </c>
      <c r="AM18" s="26">
        <f t="shared" si="17"/>
        <v>5.781550222942624E-2</v>
      </c>
      <c r="AN18" s="27">
        <f t="shared" si="18"/>
        <v>1.2884867328258753E-2</v>
      </c>
      <c r="AO18" s="84">
        <f t="shared" si="19"/>
        <v>1.3626877891683065E-2</v>
      </c>
      <c r="AP18" s="31"/>
      <c r="AQ18" s="29"/>
      <c r="AR18" s="29"/>
      <c r="AS18" s="30"/>
      <c r="AT18" s="30"/>
    </row>
    <row r="19" spans="1:46" s="329" customFormat="1" ht="12.75" customHeight="1">
      <c r="A19" s="216" t="s">
        <v>236</v>
      </c>
      <c r="B19" s="77">
        <v>24949173.18</v>
      </c>
      <c r="C19" s="390">
        <v>100.39</v>
      </c>
      <c r="D19" s="77">
        <v>24836903.800000001</v>
      </c>
      <c r="E19" s="390">
        <v>100</v>
      </c>
      <c r="F19" s="24">
        <f>((D19-B19)/B19)</f>
        <v>-4.4999238728278754E-3</v>
      </c>
      <c r="G19" s="24">
        <f>((E19-C19)/C19)</f>
        <v>-3.8848490885546425E-3</v>
      </c>
      <c r="H19" s="77">
        <v>25492858.550000001</v>
      </c>
      <c r="I19" s="390">
        <v>102.65</v>
      </c>
      <c r="J19" s="24">
        <f t="shared" si="0"/>
        <v>2.6410488009379011E-2</v>
      </c>
      <c r="K19" s="24">
        <f t="shared" si="1"/>
        <v>2.6500000000000058E-2</v>
      </c>
      <c r="L19" s="77">
        <v>26308210</v>
      </c>
      <c r="M19" s="390">
        <v>105.94</v>
      </c>
      <c r="N19" s="24">
        <f t="shared" si="2"/>
        <v>3.1983523872021767E-2</v>
      </c>
      <c r="O19" s="24">
        <f t="shared" si="3"/>
        <v>3.2050657574281459E-2</v>
      </c>
      <c r="P19" s="77">
        <v>25781498.579999998</v>
      </c>
      <c r="Q19" s="390">
        <v>103.82</v>
      </c>
      <c r="R19" s="24">
        <f t="shared" si="4"/>
        <v>-2.0020800350917137E-2</v>
      </c>
      <c r="S19" s="24">
        <f t="shared" si="5"/>
        <v>-2.0011327166320602E-2</v>
      </c>
      <c r="T19" s="77">
        <v>25899730.210000001</v>
      </c>
      <c r="U19" s="390">
        <v>104.29</v>
      </c>
      <c r="V19" s="24">
        <f t="shared" si="6"/>
        <v>4.5859099164903038E-3</v>
      </c>
      <c r="W19" s="24">
        <f t="shared" si="7"/>
        <v>4.5270660759007238E-3</v>
      </c>
      <c r="X19" s="77">
        <v>26283144.050000001</v>
      </c>
      <c r="Y19" s="390">
        <v>105.84</v>
      </c>
      <c r="Z19" s="24">
        <f t="shared" si="8"/>
        <v>1.4803777371084818E-2</v>
      </c>
      <c r="AA19" s="24">
        <f t="shared" si="9"/>
        <v>1.4862402914948673E-2</v>
      </c>
      <c r="AB19" s="77">
        <v>26228019.760000002</v>
      </c>
      <c r="AC19" s="390">
        <v>105.62</v>
      </c>
      <c r="AD19" s="24">
        <f t="shared" si="10"/>
        <v>-2.0973248061621876E-3</v>
      </c>
      <c r="AE19" s="24">
        <f t="shared" si="11"/>
        <v>-2.0786092214663534E-3</v>
      </c>
      <c r="AF19" s="77">
        <v>26318530.52</v>
      </c>
      <c r="AG19" s="390">
        <v>105.98</v>
      </c>
      <c r="AH19" s="24">
        <f t="shared" si="12"/>
        <v>3.4509185530672295E-3</v>
      </c>
      <c r="AI19" s="24">
        <f t="shared" si="13"/>
        <v>3.4084453701950334E-3</v>
      </c>
      <c r="AJ19" s="25">
        <f t="shared" si="14"/>
        <v>6.8270710865169911E-3</v>
      </c>
      <c r="AK19" s="25">
        <f t="shared" si="15"/>
        <v>6.9217233073730422E-3</v>
      </c>
      <c r="AL19" s="26">
        <f t="shared" si="16"/>
        <v>5.9654244020544894E-2</v>
      </c>
      <c r="AM19" s="26">
        <f t="shared" si="17"/>
        <v>5.9800000000000041E-2</v>
      </c>
      <c r="AN19" s="27">
        <f t="shared" si="18"/>
        <v>1.7009074238571564E-2</v>
      </c>
      <c r="AO19" s="84">
        <f t="shared" si="19"/>
        <v>1.6983527118907136E-2</v>
      </c>
      <c r="AP19" s="31"/>
      <c r="AQ19" s="29"/>
      <c r="AR19" s="29"/>
      <c r="AS19" s="30"/>
      <c r="AT19" s="30"/>
    </row>
    <row r="20" spans="1:46">
      <c r="A20" s="216" t="s">
        <v>266</v>
      </c>
      <c r="B20" s="77">
        <v>54762708.909999996</v>
      </c>
      <c r="C20" s="390">
        <v>104.7247</v>
      </c>
      <c r="D20" s="77">
        <v>55037121.18</v>
      </c>
      <c r="E20" s="390">
        <v>105.251</v>
      </c>
      <c r="F20" s="24">
        <f>((D20-B20)/B20)</f>
        <v>5.0109330868015915E-3</v>
      </c>
      <c r="G20" s="24">
        <f>((E20-C20)/C20)</f>
        <v>5.0255574854834268E-3</v>
      </c>
      <c r="H20" s="77">
        <v>55347660.939999998</v>
      </c>
      <c r="I20" s="390">
        <v>105.8466</v>
      </c>
      <c r="J20" s="24">
        <f t="shared" si="0"/>
        <v>5.6423692471917536E-3</v>
      </c>
      <c r="K20" s="24">
        <f t="shared" si="1"/>
        <v>5.6588535975904295E-3</v>
      </c>
      <c r="L20" s="77">
        <v>55656675.189999998</v>
      </c>
      <c r="M20" s="390">
        <v>106.4397</v>
      </c>
      <c r="N20" s="24">
        <f t="shared" si="2"/>
        <v>5.5831492198918573E-3</v>
      </c>
      <c r="O20" s="24">
        <f t="shared" si="3"/>
        <v>5.6033920787253149E-3</v>
      </c>
      <c r="P20" s="77">
        <v>55989201.640000001</v>
      </c>
      <c r="Q20" s="390">
        <v>107.0583</v>
      </c>
      <c r="R20" s="24">
        <f t="shared" si="4"/>
        <v>5.9746014088126664E-3</v>
      </c>
      <c r="S20" s="24">
        <f t="shared" si="5"/>
        <v>5.8117412957759251E-3</v>
      </c>
      <c r="T20" s="77">
        <v>55990271.119999997</v>
      </c>
      <c r="U20" s="390">
        <v>107.05970000000001</v>
      </c>
      <c r="V20" s="24">
        <f t="shared" si="6"/>
        <v>1.9101540451912074E-5</v>
      </c>
      <c r="W20" s="24">
        <f t="shared" si="7"/>
        <v>1.3076987024862553E-5</v>
      </c>
      <c r="X20" s="77">
        <v>56913703.579999998</v>
      </c>
      <c r="Y20" s="390">
        <v>108.9726</v>
      </c>
      <c r="Z20" s="24">
        <f t="shared" si="8"/>
        <v>1.6492730639236827E-2</v>
      </c>
      <c r="AA20" s="24">
        <f t="shared" si="9"/>
        <v>1.7867600974035919E-2</v>
      </c>
      <c r="AB20" s="77">
        <v>57059834.270000003</v>
      </c>
      <c r="AC20" s="390">
        <v>109.2428</v>
      </c>
      <c r="AD20" s="24">
        <f t="shared" si="10"/>
        <v>2.5675835661370795E-3</v>
      </c>
      <c r="AE20" s="24">
        <f t="shared" si="11"/>
        <v>2.4795223753494243E-3</v>
      </c>
      <c r="AF20" s="77">
        <v>57328459.93</v>
      </c>
      <c r="AG20" s="390">
        <v>109.5461</v>
      </c>
      <c r="AH20" s="24">
        <f t="shared" si="12"/>
        <v>4.7077889979296713E-3</v>
      </c>
      <c r="AI20" s="24">
        <f t="shared" si="13"/>
        <v>2.7763843475267294E-3</v>
      </c>
      <c r="AJ20" s="25">
        <f t="shared" si="14"/>
        <v>5.7497822133066702E-3</v>
      </c>
      <c r="AK20" s="25">
        <f t="shared" si="15"/>
        <v>5.654516142689003E-3</v>
      </c>
      <c r="AL20" s="26">
        <f t="shared" si="16"/>
        <v>4.1632605428364083E-2</v>
      </c>
      <c r="AM20" s="26">
        <f t="shared" si="17"/>
        <v>4.0808163342866015E-2</v>
      </c>
      <c r="AN20" s="27">
        <f t="shared" si="18"/>
        <v>4.78240115646576E-3</v>
      </c>
      <c r="AO20" s="84">
        <f t="shared" si="19"/>
        <v>5.3421831562222655E-3</v>
      </c>
      <c r="AP20" s="31"/>
      <c r="AQ20" s="40">
        <v>100020653.31</v>
      </c>
      <c r="AR20" s="29">
        <v>100</v>
      </c>
      <c r="AS20" s="30" t="e">
        <f>(#REF!/AQ20)-1</f>
        <v>#REF!</v>
      </c>
      <c r="AT20" s="30" t="e">
        <f>(#REF!/AR20)-1</f>
        <v>#REF!</v>
      </c>
    </row>
    <row r="21" spans="1:46">
      <c r="A21" s="218" t="s">
        <v>46</v>
      </c>
      <c r="B21" s="72">
        <f>SUM(B5:B20)</f>
        <v>15749133335.319998</v>
      </c>
      <c r="C21" s="93"/>
      <c r="D21" s="72">
        <f>SUM(D5:D20)</f>
        <v>16107237306.709997</v>
      </c>
      <c r="E21" s="93"/>
      <c r="F21" s="24">
        <f>((D21-B21)/B21)</f>
        <v>2.2738011277540771E-2</v>
      </c>
      <c r="G21" s="24"/>
      <c r="H21" s="72">
        <f>SUM(H5:H20)</f>
        <v>16254149306.32</v>
      </c>
      <c r="I21" s="93"/>
      <c r="J21" s="24">
        <f>((H21-D21)/D21)</f>
        <v>9.1208688872300592E-3</v>
      </c>
      <c r="K21" s="24"/>
      <c r="L21" s="72">
        <f>SUM(L5:L20)</f>
        <v>16656064177.77</v>
      </c>
      <c r="M21" s="93"/>
      <c r="N21" s="24">
        <f>((L21-H21)/H21)</f>
        <v>2.4726909041848575E-2</v>
      </c>
      <c r="O21" s="24"/>
      <c r="P21" s="72">
        <f>SUM(P5:P20)</f>
        <v>16651193594.34</v>
      </c>
      <c r="Q21" s="93"/>
      <c r="R21" s="24">
        <f>((P21-L21)/L21)</f>
        <v>-2.9242102924296033E-4</v>
      </c>
      <c r="S21" s="24"/>
      <c r="T21" s="72">
        <f>SUM(T5:T20)</f>
        <v>16797381909.850002</v>
      </c>
      <c r="U21" s="93"/>
      <c r="V21" s="24">
        <f>((T21-P21)/P21)</f>
        <v>8.7794496341507804E-3</v>
      </c>
      <c r="W21" s="24"/>
      <c r="X21" s="72">
        <f>SUM(X5:X20)</f>
        <v>17133825597.439997</v>
      </c>
      <c r="Y21" s="93"/>
      <c r="Z21" s="24">
        <f>((X21-T21)/T21)</f>
        <v>2.0029531351710442E-2</v>
      </c>
      <c r="AA21" s="24"/>
      <c r="AB21" s="72">
        <f>SUM(AB5:AB20)</f>
        <v>17103979411.670002</v>
      </c>
      <c r="AC21" s="93"/>
      <c r="AD21" s="24">
        <f>((AB21-X21)/X21)</f>
        <v>-1.7419452299347626E-3</v>
      </c>
      <c r="AE21" s="24"/>
      <c r="AF21" s="72">
        <f>SUM(AF5:AF20)</f>
        <v>17010664326.750002</v>
      </c>
      <c r="AG21" s="93"/>
      <c r="AH21" s="24">
        <f>((AF21-AB21)/AB21)</f>
        <v>-5.4557528791417641E-3</v>
      </c>
      <c r="AI21" s="24"/>
      <c r="AJ21" s="25">
        <f t="shared" si="14"/>
        <v>9.7380813817701407E-3</v>
      </c>
      <c r="AK21" s="25"/>
      <c r="AL21" s="26">
        <f t="shared" si="16"/>
        <v>5.6088266587073415E-2</v>
      </c>
      <c r="AM21" s="26"/>
      <c r="AN21" s="27">
        <f t="shared" si="18"/>
        <v>1.1735973936479486E-2</v>
      </c>
      <c r="AO21" s="84"/>
      <c r="AP21" s="31"/>
      <c r="AQ21" s="41">
        <f>SUM(AQ5:AQ20)</f>
        <v>13501614037.429998</v>
      </c>
      <c r="AR21" s="42"/>
      <c r="AS21" s="30" t="e">
        <f>(#REF!/AQ21)-1</f>
        <v>#REF!</v>
      </c>
      <c r="AT21" s="30" t="e">
        <f>(#REF!/AR21)-1</f>
        <v>#REF!</v>
      </c>
    </row>
    <row r="22" spans="1:46" s="118" customFormat="1" ht="6" customHeight="1">
      <c r="A22" s="218"/>
      <c r="B22" s="93"/>
      <c r="C22" s="93"/>
      <c r="D22" s="93"/>
      <c r="E22" s="93"/>
      <c r="F22" s="24"/>
      <c r="G22" s="24"/>
      <c r="H22" s="93"/>
      <c r="I22" s="93"/>
      <c r="J22" s="24"/>
      <c r="K22" s="24"/>
      <c r="L22" s="93"/>
      <c r="M22" s="93"/>
      <c r="N22" s="24"/>
      <c r="O22" s="24"/>
      <c r="P22" s="93"/>
      <c r="Q22" s="93"/>
      <c r="R22" s="24"/>
      <c r="S22" s="24"/>
      <c r="T22" s="93"/>
      <c r="U22" s="93"/>
      <c r="V22" s="24"/>
      <c r="W22" s="24"/>
      <c r="X22" s="93"/>
      <c r="Y22" s="93"/>
      <c r="Z22" s="24"/>
      <c r="AA22" s="24"/>
      <c r="AB22" s="93"/>
      <c r="AC22" s="93"/>
      <c r="AD22" s="24"/>
      <c r="AE22" s="24"/>
      <c r="AF22" s="93"/>
      <c r="AG22" s="93"/>
      <c r="AH22" s="24"/>
      <c r="AI22" s="24"/>
      <c r="AJ22" s="25"/>
      <c r="AK22" s="25"/>
      <c r="AL22" s="26"/>
      <c r="AM22" s="26"/>
      <c r="AN22" s="27"/>
      <c r="AO22" s="84"/>
      <c r="AP22" s="31"/>
      <c r="AQ22" s="41"/>
      <c r="AR22" s="42"/>
      <c r="AS22" s="30"/>
      <c r="AT22" s="30"/>
    </row>
    <row r="23" spans="1:46">
      <c r="A23" s="215" t="s">
        <v>48</v>
      </c>
      <c r="B23" s="93"/>
      <c r="C23" s="93"/>
      <c r="D23" s="93"/>
      <c r="E23" s="93"/>
      <c r="F23" s="24"/>
      <c r="G23" s="24"/>
      <c r="H23" s="93"/>
      <c r="I23" s="93"/>
      <c r="J23" s="24"/>
      <c r="K23" s="24"/>
      <c r="L23" s="93"/>
      <c r="M23" s="93"/>
      <c r="N23" s="24"/>
      <c r="O23" s="24"/>
      <c r="P23" s="93"/>
      <c r="Q23" s="93"/>
      <c r="R23" s="24"/>
      <c r="S23" s="24"/>
      <c r="T23" s="93"/>
      <c r="U23" s="93"/>
      <c r="V23" s="24"/>
      <c r="W23" s="24"/>
      <c r="X23" s="93"/>
      <c r="Y23" s="93"/>
      <c r="Z23" s="24"/>
      <c r="AA23" s="24"/>
      <c r="AB23" s="93"/>
      <c r="AC23" s="93"/>
      <c r="AD23" s="24"/>
      <c r="AE23" s="24"/>
      <c r="AF23" s="93"/>
      <c r="AG23" s="93"/>
      <c r="AH23" s="24"/>
      <c r="AI23" s="24"/>
      <c r="AJ23" s="25"/>
      <c r="AK23" s="25"/>
      <c r="AL23" s="26"/>
      <c r="AM23" s="26"/>
      <c r="AN23" s="27"/>
      <c r="AO23" s="84"/>
      <c r="AP23" s="31"/>
      <c r="AQ23" s="41"/>
      <c r="AR23" s="14"/>
      <c r="AS23" s="30" t="e">
        <f>(#REF!/AQ23)-1</f>
        <v>#REF!</v>
      </c>
      <c r="AT23" s="30" t="e">
        <f>(#REF!/AR23)-1</f>
        <v>#REF!</v>
      </c>
    </row>
    <row r="24" spans="1:46">
      <c r="A24" s="216" t="s">
        <v>38</v>
      </c>
      <c r="B24" s="385">
        <v>243588294739.32001</v>
      </c>
      <c r="C24" s="342">
        <v>100</v>
      </c>
      <c r="D24" s="385">
        <v>243528421776.76999</v>
      </c>
      <c r="E24" s="342">
        <v>100</v>
      </c>
      <c r="F24" s="24">
        <f>((D24-B24)/B24)</f>
        <v>-2.4579572928203443E-4</v>
      </c>
      <c r="G24" s="24">
        <f>((E24-C24)/C24)</f>
        <v>0</v>
      </c>
      <c r="H24" s="385">
        <v>255787519198.79001</v>
      </c>
      <c r="I24" s="342">
        <v>100</v>
      </c>
      <c r="J24" s="24">
        <f t="shared" ref="J24:J52" si="20">((H24-D24)/D24)</f>
        <v>5.0339493569491058E-2</v>
      </c>
      <c r="K24" s="24">
        <f t="shared" ref="K24:K52" si="21">((I24-E24)/E24)</f>
        <v>0</v>
      </c>
      <c r="L24" s="385">
        <v>266280194630.57001</v>
      </c>
      <c r="M24" s="342">
        <v>100</v>
      </c>
      <c r="N24" s="24">
        <f t="shared" ref="N24:N52" si="22">((L24-H24)/H24)</f>
        <v>4.1021061014417291E-2</v>
      </c>
      <c r="O24" s="24">
        <f t="shared" ref="O24:O52" si="23">((M24-I24)/I24)</f>
        <v>0</v>
      </c>
      <c r="P24" s="385">
        <v>276227531422.64001</v>
      </c>
      <c r="Q24" s="342">
        <v>100</v>
      </c>
      <c r="R24" s="24">
        <f t="shared" ref="R24:R52" si="24">((P24-L24)/L24)</f>
        <v>3.7356652851597449E-2</v>
      </c>
      <c r="S24" s="24">
        <f t="shared" ref="S24:S52" si="25">((Q24-M24)/M24)</f>
        <v>0</v>
      </c>
      <c r="T24" s="385">
        <v>287881440453.35999</v>
      </c>
      <c r="U24" s="342">
        <v>100</v>
      </c>
      <c r="V24" s="24">
        <f t="shared" ref="V24:V52" si="26">((T24-P24)/P24)</f>
        <v>4.2189527490976229E-2</v>
      </c>
      <c r="W24" s="24">
        <f t="shared" ref="W24:W52" si="27">((U24-Q24)/Q24)</f>
        <v>0</v>
      </c>
      <c r="X24" s="385">
        <v>301352962735.25</v>
      </c>
      <c r="Y24" s="342">
        <v>100</v>
      </c>
      <c r="Z24" s="24">
        <f t="shared" ref="Z24:Z52" si="28">((X24-T24)/T24)</f>
        <v>4.6795383060036312E-2</v>
      </c>
      <c r="AA24" s="24">
        <f t="shared" ref="AA24:AA52" si="29">((Y24-U24)/U24)</f>
        <v>0</v>
      </c>
      <c r="AB24" s="385">
        <v>309565968511.10999</v>
      </c>
      <c r="AC24" s="342">
        <v>100</v>
      </c>
      <c r="AD24" s="24">
        <f t="shared" ref="AD24:AD52" si="30">((AB24-X24)/X24)</f>
        <v>2.7253774780623019E-2</v>
      </c>
      <c r="AE24" s="24">
        <f t="shared" ref="AE24:AE52" si="31">((AC24-Y24)/Y24)</f>
        <v>0</v>
      </c>
      <c r="AF24" s="385">
        <v>318456254915.25</v>
      </c>
      <c r="AG24" s="342">
        <v>100</v>
      </c>
      <c r="AH24" s="24">
        <f t="shared" ref="AH24:AH52" si="32">((AF24-AB24)/AB24)</f>
        <v>2.8718552129288564E-2</v>
      </c>
      <c r="AI24" s="24">
        <f t="shared" ref="AI24:AI52" si="33">((AG24-AC24)/AC24)</f>
        <v>0</v>
      </c>
      <c r="AJ24" s="25">
        <f t="shared" si="14"/>
        <v>3.4178581145893484E-2</v>
      </c>
      <c r="AK24" s="25">
        <f t="shared" si="15"/>
        <v>0</v>
      </c>
      <c r="AL24" s="26">
        <f t="shared" si="16"/>
        <v>0.30767592789297715</v>
      </c>
      <c r="AM24" s="26">
        <f t="shared" si="17"/>
        <v>0</v>
      </c>
      <c r="AN24" s="27">
        <f t="shared" si="18"/>
        <v>1.6054622369844729E-2</v>
      </c>
      <c r="AO24" s="84">
        <f t="shared" si="19"/>
        <v>0</v>
      </c>
      <c r="AP24" s="31"/>
      <c r="AQ24" s="29">
        <v>58847545464.410004</v>
      </c>
      <c r="AR24" s="43">
        <v>100</v>
      </c>
      <c r="AS24" s="30" t="e">
        <f>(#REF!/AQ24)-1</f>
        <v>#REF!</v>
      </c>
      <c r="AT24" s="30" t="e">
        <f>(#REF!/AR24)-1</f>
        <v>#REF!</v>
      </c>
    </row>
    <row r="25" spans="1:46">
      <c r="A25" s="216" t="s">
        <v>18</v>
      </c>
      <c r="B25" s="385">
        <v>148640547362.32999</v>
      </c>
      <c r="C25" s="342">
        <v>100</v>
      </c>
      <c r="D25" s="385">
        <v>149672269428.73001</v>
      </c>
      <c r="E25" s="342">
        <v>100</v>
      </c>
      <c r="F25" s="24">
        <f>((D25-B25)/B25)</f>
        <v>6.9410540038248947E-3</v>
      </c>
      <c r="G25" s="24">
        <f>((E25-C25)/C25)</f>
        <v>0</v>
      </c>
      <c r="H25" s="385">
        <v>155114946720.29001</v>
      </c>
      <c r="I25" s="342">
        <v>100</v>
      </c>
      <c r="J25" s="24">
        <f t="shared" si="20"/>
        <v>3.6363965832372558E-2</v>
      </c>
      <c r="K25" s="24">
        <f t="shared" si="21"/>
        <v>0</v>
      </c>
      <c r="L25" s="385">
        <v>155703829997.19</v>
      </c>
      <c r="M25" s="342">
        <v>100</v>
      </c>
      <c r="N25" s="24">
        <f t="shared" si="22"/>
        <v>3.7964315454518623E-3</v>
      </c>
      <c r="O25" s="24">
        <f t="shared" si="23"/>
        <v>0</v>
      </c>
      <c r="P25" s="385">
        <v>159574142371.60999</v>
      </c>
      <c r="Q25" s="342">
        <v>100</v>
      </c>
      <c r="R25" s="24">
        <f t="shared" si="24"/>
        <v>2.4856886143968526E-2</v>
      </c>
      <c r="S25" s="24">
        <f t="shared" si="25"/>
        <v>0</v>
      </c>
      <c r="T25" s="385">
        <v>162294211621.66</v>
      </c>
      <c r="U25" s="342">
        <v>100</v>
      </c>
      <c r="V25" s="24">
        <f t="shared" si="26"/>
        <v>1.7045802093146319E-2</v>
      </c>
      <c r="W25" s="24">
        <f t="shared" si="27"/>
        <v>0</v>
      </c>
      <c r="X25" s="385">
        <v>166542275515.17999</v>
      </c>
      <c r="Y25" s="342">
        <v>100</v>
      </c>
      <c r="Z25" s="24">
        <f t="shared" si="28"/>
        <v>2.6175079511911791E-2</v>
      </c>
      <c r="AA25" s="24">
        <f t="shared" si="29"/>
        <v>0</v>
      </c>
      <c r="AB25" s="385">
        <v>176094192756.67001</v>
      </c>
      <c r="AC25" s="342">
        <v>100</v>
      </c>
      <c r="AD25" s="24">
        <f t="shared" si="30"/>
        <v>5.7354309660668609E-2</v>
      </c>
      <c r="AE25" s="24">
        <f t="shared" si="31"/>
        <v>0</v>
      </c>
      <c r="AF25" s="385">
        <v>181623521502.04999</v>
      </c>
      <c r="AG25" s="342">
        <v>100</v>
      </c>
      <c r="AH25" s="24">
        <f t="shared" si="32"/>
        <v>3.1399835842516939E-2</v>
      </c>
      <c r="AI25" s="24">
        <f t="shared" si="33"/>
        <v>0</v>
      </c>
      <c r="AJ25" s="25">
        <f t="shared" si="14"/>
        <v>2.5491670579232687E-2</v>
      </c>
      <c r="AK25" s="25">
        <f t="shared" si="15"/>
        <v>0</v>
      </c>
      <c r="AL25" s="26">
        <f t="shared" si="16"/>
        <v>0.21347476185984018</v>
      </c>
      <c r="AM25" s="26">
        <f t="shared" si="17"/>
        <v>0</v>
      </c>
      <c r="AN25" s="27">
        <f t="shared" si="18"/>
        <v>1.7135395512868523E-2</v>
      </c>
      <c r="AO25" s="84">
        <f t="shared" si="19"/>
        <v>0</v>
      </c>
      <c r="AP25" s="31"/>
      <c r="AQ25" s="29">
        <v>56630718400</v>
      </c>
      <c r="AR25" s="43">
        <v>100</v>
      </c>
      <c r="AS25" s="30" t="e">
        <f>(#REF!/AQ25)-1</f>
        <v>#REF!</v>
      </c>
      <c r="AT25" s="30" t="e">
        <f>(#REF!/AR25)-1</f>
        <v>#REF!</v>
      </c>
    </row>
    <row r="26" spans="1:46">
      <c r="A26" s="216" t="s">
        <v>82</v>
      </c>
      <c r="B26" s="385">
        <v>28712741824.240002</v>
      </c>
      <c r="C26" s="342">
        <v>1</v>
      </c>
      <c r="D26" s="385">
        <v>43168717627.940002</v>
      </c>
      <c r="E26" s="342">
        <v>1</v>
      </c>
      <c r="F26" s="24">
        <f>((D26-B26)/B26)</f>
        <v>0.50346901358949669</v>
      </c>
      <c r="G26" s="24">
        <f>((E26-C26)/C26)</f>
        <v>0</v>
      </c>
      <c r="H26" s="385">
        <v>45131055901.550003</v>
      </c>
      <c r="I26" s="342">
        <v>1</v>
      </c>
      <c r="J26" s="24">
        <f t="shared" si="20"/>
        <v>4.5457414105345588E-2</v>
      </c>
      <c r="K26" s="24">
        <f t="shared" si="21"/>
        <v>0</v>
      </c>
      <c r="L26" s="385">
        <v>45703113795.110001</v>
      </c>
      <c r="M26" s="342">
        <v>1</v>
      </c>
      <c r="N26" s="24">
        <f t="shared" si="22"/>
        <v>1.2675482151534384E-2</v>
      </c>
      <c r="O26" s="24">
        <f t="shared" si="23"/>
        <v>0</v>
      </c>
      <c r="P26" s="385">
        <v>46517531611.489998</v>
      </c>
      <c r="Q26" s="342">
        <v>1</v>
      </c>
      <c r="R26" s="24">
        <f t="shared" si="24"/>
        <v>1.7819744624646031E-2</v>
      </c>
      <c r="S26" s="24">
        <f t="shared" si="25"/>
        <v>0</v>
      </c>
      <c r="T26" s="385">
        <v>49246696123.610001</v>
      </c>
      <c r="U26" s="342">
        <v>1</v>
      </c>
      <c r="V26" s="24">
        <f t="shared" si="26"/>
        <v>5.8669590100216953E-2</v>
      </c>
      <c r="W26" s="24">
        <f t="shared" si="27"/>
        <v>0</v>
      </c>
      <c r="X26" s="385">
        <v>47873964795.900002</v>
      </c>
      <c r="Y26" s="342">
        <v>1</v>
      </c>
      <c r="Z26" s="24">
        <f t="shared" si="28"/>
        <v>-2.7874587246714405E-2</v>
      </c>
      <c r="AA26" s="24">
        <f t="shared" si="29"/>
        <v>0</v>
      </c>
      <c r="AB26" s="385">
        <v>48650799152.230003</v>
      </c>
      <c r="AC26" s="342">
        <v>1</v>
      </c>
      <c r="AD26" s="24">
        <f t="shared" si="30"/>
        <v>1.6226655963045098E-2</v>
      </c>
      <c r="AE26" s="24">
        <f t="shared" si="31"/>
        <v>0</v>
      </c>
      <c r="AF26" s="385">
        <v>47752325115.870003</v>
      </c>
      <c r="AG26" s="342">
        <v>1</v>
      </c>
      <c r="AH26" s="24">
        <f t="shared" si="32"/>
        <v>-1.8467816603559683E-2</v>
      </c>
      <c r="AI26" s="24">
        <f t="shared" si="33"/>
        <v>0</v>
      </c>
      <c r="AJ26" s="25">
        <f t="shared" si="14"/>
        <v>7.5996937085501329E-2</v>
      </c>
      <c r="AK26" s="25">
        <f t="shared" si="15"/>
        <v>0</v>
      </c>
      <c r="AL26" s="26">
        <f t="shared" si="16"/>
        <v>0.10617891241141157</v>
      </c>
      <c r="AM26" s="26">
        <f t="shared" si="17"/>
        <v>0</v>
      </c>
      <c r="AN26" s="27">
        <f t="shared" si="18"/>
        <v>0.17511010321986964</v>
      </c>
      <c r="AO26" s="84">
        <f t="shared" si="19"/>
        <v>0</v>
      </c>
      <c r="AP26" s="31"/>
      <c r="AQ26" s="29">
        <v>366113097.69999999</v>
      </c>
      <c r="AR26" s="33">
        <v>1.1357999999999999</v>
      </c>
      <c r="AS26" s="30" t="e">
        <f>(#REF!/AQ26)-1</f>
        <v>#REF!</v>
      </c>
      <c r="AT26" s="30" t="e">
        <f>(#REF!/AR26)-1</f>
        <v>#REF!</v>
      </c>
    </row>
    <row r="27" spans="1:46">
      <c r="A27" s="216" t="s">
        <v>41</v>
      </c>
      <c r="B27" s="385">
        <v>1237371372.5699999</v>
      </c>
      <c r="C27" s="342">
        <v>100</v>
      </c>
      <c r="D27" s="385">
        <v>1309980159.0599999</v>
      </c>
      <c r="E27" s="342">
        <v>100</v>
      </c>
      <c r="F27" s="24">
        <f>((D27-B27)/B27)</f>
        <v>5.8679866125553523E-2</v>
      </c>
      <c r="G27" s="24">
        <f>((E27-C27)/C27)</f>
        <v>0</v>
      </c>
      <c r="H27" s="385">
        <v>1363261126.8299999</v>
      </c>
      <c r="I27" s="342">
        <v>100</v>
      </c>
      <c r="J27" s="24">
        <f t="shared" si="20"/>
        <v>4.0673110505912324E-2</v>
      </c>
      <c r="K27" s="24">
        <f t="shared" si="21"/>
        <v>0</v>
      </c>
      <c r="L27" s="385">
        <v>1408601932.29</v>
      </c>
      <c r="M27" s="342">
        <v>100</v>
      </c>
      <c r="N27" s="24">
        <f t="shared" si="22"/>
        <v>3.3259076025611699E-2</v>
      </c>
      <c r="O27" s="24">
        <f t="shared" si="23"/>
        <v>0</v>
      </c>
      <c r="P27" s="385">
        <v>1457381461.8699999</v>
      </c>
      <c r="Q27" s="342">
        <v>100</v>
      </c>
      <c r="R27" s="24">
        <f t="shared" si="24"/>
        <v>3.4629747739091769E-2</v>
      </c>
      <c r="S27" s="24">
        <f t="shared" si="25"/>
        <v>0</v>
      </c>
      <c r="T27" s="385">
        <v>1661270454.1700001</v>
      </c>
      <c r="U27" s="342">
        <v>100</v>
      </c>
      <c r="V27" s="24">
        <f t="shared" si="26"/>
        <v>0.13990090970306807</v>
      </c>
      <c r="W27" s="24">
        <f t="shared" si="27"/>
        <v>0</v>
      </c>
      <c r="X27" s="385">
        <v>1700711484.52</v>
      </c>
      <c r="Y27" s="342">
        <v>100</v>
      </c>
      <c r="Z27" s="24">
        <f t="shared" si="28"/>
        <v>2.3741486674248555E-2</v>
      </c>
      <c r="AA27" s="24">
        <f t="shared" si="29"/>
        <v>0</v>
      </c>
      <c r="AB27" s="385">
        <v>1750621270.98</v>
      </c>
      <c r="AC27" s="342">
        <v>100</v>
      </c>
      <c r="AD27" s="24">
        <f t="shared" si="30"/>
        <v>2.9346415846710366E-2</v>
      </c>
      <c r="AE27" s="24">
        <f t="shared" si="31"/>
        <v>0</v>
      </c>
      <c r="AF27" s="385">
        <v>1821844864.03</v>
      </c>
      <c r="AG27" s="342">
        <v>100</v>
      </c>
      <c r="AH27" s="24">
        <f t="shared" si="32"/>
        <v>4.0684752453698278E-2</v>
      </c>
      <c r="AI27" s="24">
        <f t="shared" si="33"/>
        <v>0</v>
      </c>
      <c r="AJ27" s="25">
        <f t="shared" si="14"/>
        <v>5.011442063423683E-2</v>
      </c>
      <c r="AK27" s="25">
        <f t="shared" si="15"/>
        <v>0</v>
      </c>
      <c r="AL27" s="26">
        <f t="shared" si="16"/>
        <v>0.39074233409557735</v>
      </c>
      <c r="AM27" s="26">
        <f t="shared" si="17"/>
        <v>0</v>
      </c>
      <c r="AN27" s="27">
        <f t="shared" si="18"/>
        <v>3.7727892031084349E-2</v>
      </c>
      <c r="AO27" s="84">
        <f t="shared" si="19"/>
        <v>0</v>
      </c>
      <c r="AP27" s="31"/>
      <c r="AQ27" s="29">
        <v>691810420.35000002</v>
      </c>
      <c r="AR27" s="43">
        <v>100</v>
      </c>
      <c r="AS27" s="30" t="e">
        <f>(#REF!/AQ27)-1</f>
        <v>#REF!</v>
      </c>
      <c r="AT27" s="30" t="e">
        <f>(#REF!/AR27)-1</f>
        <v>#REF!</v>
      </c>
    </row>
    <row r="28" spans="1:46">
      <c r="A28" s="216" t="s">
        <v>19</v>
      </c>
      <c r="B28" s="385">
        <v>67462316609.160004</v>
      </c>
      <c r="C28" s="342">
        <v>1</v>
      </c>
      <c r="D28" s="385">
        <v>68025901214.75</v>
      </c>
      <c r="E28" s="342">
        <v>1</v>
      </c>
      <c r="F28" s="24">
        <f>((D28-B28)/B28)</f>
        <v>8.3540654089170885E-3</v>
      </c>
      <c r="G28" s="24">
        <f>((E28-C28)/C28)</f>
        <v>0</v>
      </c>
      <c r="H28" s="385">
        <v>71006117751.020004</v>
      </c>
      <c r="I28" s="342">
        <v>1</v>
      </c>
      <c r="J28" s="24">
        <f t="shared" si="20"/>
        <v>4.3810026520072126E-2</v>
      </c>
      <c r="K28" s="24">
        <f t="shared" si="21"/>
        <v>0</v>
      </c>
      <c r="L28" s="385">
        <v>72039178113.5</v>
      </c>
      <c r="M28" s="342">
        <v>1</v>
      </c>
      <c r="N28" s="24">
        <f t="shared" si="22"/>
        <v>1.4548892337733191E-2</v>
      </c>
      <c r="O28" s="24">
        <f t="shared" si="23"/>
        <v>0</v>
      </c>
      <c r="P28" s="385">
        <v>72446472180.080002</v>
      </c>
      <c r="Q28" s="342">
        <v>1</v>
      </c>
      <c r="R28" s="24">
        <f t="shared" si="24"/>
        <v>5.6537855823160163E-3</v>
      </c>
      <c r="S28" s="24">
        <f t="shared" si="25"/>
        <v>0</v>
      </c>
      <c r="T28" s="385">
        <v>73032387522.529999</v>
      </c>
      <c r="U28" s="342">
        <v>1</v>
      </c>
      <c r="V28" s="24">
        <f t="shared" si="26"/>
        <v>8.0875620967931841E-3</v>
      </c>
      <c r="W28" s="24">
        <f t="shared" si="27"/>
        <v>0</v>
      </c>
      <c r="X28" s="385">
        <v>73607417069.979996</v>
      </c>
      <c r="Y28" s="342">
        <v>1</v>
      </c>
      <c r="Z28" s="24">
        <f t="shared" si="28"/>
        <v>7.8736238394589552E-3</v>
      </c>
      <c r="AA28" s="24">
        <f t="shared" si="29"/>
        <v>0</v>
      </c>
      <c r="AB28" s="385">
        <v>73481044105.070007</v>
      </c>
      <c r="AC28" s="342">
        <v>1</v>
      </c>
      <c r="AD28" s="24">
        <f t="shared" si="30"/>
        <v>-1.7168509634001039E-3</v>
      </c>
      <c r="AE28" s="24">
        <f t="shared" si="31"/>
        <v>0</v>
      </c>
      <c r="AF28" s="385">
        <v>73069609765.380005</v>
      </c>
      <c r="AG28" s="342">
        <v>1</v>
      </c>
      <c r="AH28" s="24">
        <f t="shared" si="32"/>
        <v>-5.5991901680342961E-3</v>
      </c>
      <c r="AI28" s="24">
        <f t="shared" si="33"/>
        <v>0</v>
      </c>
      <c r="AJ28" s="25">
        <f t="shared" si="14"/>
        <v>1.0126489331732019E-2</v>
      </c>
      <c r="AK28" s="25">
        <f t="shared" si="15"/>
        <v>0</v>
      </c>
      <c r="AL28" s="26">
        <f t="shared" si="16"/>
        <v>7.4143943124069661E-2</v>
      </c>
      <c r="AM28" s="26">
        <f t="shared" si="17"/>
        <v>0</v>
      </c>
      <c r="AN28" s="27">
        <f t="shared" si="18"/>
        <v>1.4995614709113682E-2</v>
      </c>
      <c r="AO28" s="84">
        <f t="shared" si="19"/>
        <v>0</v>
      </c>
      <c r="AP28" s="31"/>
      <c r="AQ28" s="29">
        <v>13880602273.7041</v>
      </c>
      <c r="AR28" s="36">
        <v>1</v>
      </c>
      <c r="AS28" s="30" t="e">
        <f>(#REF!/AQ28)-1</f>
        <v>#REF!</v>
      </c>
      <c r="AT28" s="30" t="e">
        <f>(#REF!/AR28)-1</f>
        <v>#REF!</v>
      </c>
    </row>
    <row r="29" spans="1:46">
      <c r="A29" s="216" t="s">
        <v>60</v>
      </c>
      <c r="B29" s="376">
        <v>1971448177.95</v>
      </c>
      <c r="C29" s="342">
        <v>10</v>
      </c>
      <c r="D29" s="376">
        <v>2014960727.9400001</v>
      </c>
      <c r="E29" s="342">
        <v>10</v>
      </c>
      <c r="F29" s="24">
        <f>((D29-B29)/B29)</f>
        <v>2.2071363821110582E-2</v>
      </c>
      <c r="G29" s="24">
        <f>((E29-C29)/C29)</f>
        <v>0</v>
      </c>
      <c r="H29" s="376">
        <v>2003373016.8599999</v>
      </c>
      <c r="I29" s="342">
        <v>10</v>
      </c>
      <c r="J29" s="24">
        <f t="shared" si="20"/>
        <v>-5.7508371847261198E-3</v>
      </c>
      <c r="K29" s="24">
        <f t="shared" si="21"/>
        <v>0</v>
      </c>
      <c r="L29" s="376">
        <v>2014364941.29</v>
      </c>
      <c r="M29" s="342">
        <v>10</v>
      </c>
      <c r="N29" s="24">
        <f t="shared" si="22"/>
        <v>5.4867088342980342E-3</v>
      </c>
      <c r="O29" s="24">
        <f t="shared" si="23"/>
        <v>0</v>
      </c>
      <c r="P29" s="376">
        <v>2008920806.8699999</v>
      </c>
      <c r="Q29" s="342">
        <v>10</v>
      </c>
      <c r="R29" s="24">
        <f t="shared" si="24"/>
        <v>-2.7026554664487216E-3</v>
      </c>
      <c r="S29" s="24">
        <f t="shared" si="25"/>
        <v>0</v>
      </c>
      <c r="T29" s="376">
        <v>2033810240.0799999</v>
      </c>
      <c r="U29" s="342">
        <v>10</v>
      </c>
      <c r="V29" s="24">
        <f t="shared" si="26"/>
        <v>1.2389454638970579E-2</v>
      </c>
      <c r="W29" s="24">
        <f t="shared" si="27"/>
        <v>0</v>
      </c>
      <c r="X29" s="376">
        <v>2065747472.3299999</v>
      </c>
      <c r="Y29" s="342">
        <v>10</v>
      </c>
      <c r="Z29" s="24">
        <f t="shared" si="28"/>
        <v>1.5703152447862467E-2</v>
      </c>
      <c r="AA29" s="24">
        <f t="shared" si="29"/>
        <v>0</v>
      </c>
      <c r="AB29" s="376">
        <v>2210926077.0599999</v>
      </c>
      <c r="AC29" s="342">
        <v>10</v>
      </c>
      <c r="AD29" s="24">
        <f t="shared" si="30"/>
        <v>7.0278970045767511E-2</v>
      </c>
      <c r="AE29" s="24">
        <f t="shared" si="31"/>
        <v>0</v>
      </c>
      <c r="AF29" s="376">
        <v>2202197405.5100002</v>
      </c>
      <c r="AG29" s="342">
        <v>10</v>
      </c>
      <c r="AH29" s="24">
        <f t="shared" si="32"/>
        <v>-3.9479707804644234E-3</v>
      </c>
      <c r="AI29" s="24">
        <f t="shared" si="33"/>
        <v>0</v>
      </c>
      <c r="AJ29" s="25">
        <f t="shared" si="14"/>
        <v>1.4191023294546239E-2</v>
      </c>
      <c r="AK29" s="25">
        <f t="shared" si="15"/>
        <v>0</v>
      </c>
      <c r="AL29" s="26">
        <f t="shared" si="16"/>
        <v>9.2923239134998947E-2</v>
      </c>
      <c r="AM29" s="26">
        <f t="shared" si="17"/>
        <v>0</v>
      </c>
      <c r="AN29" s="27">
        <f t="shared" si="18"/>
        <v>2.478868434101715E-2</v>
      </c>
      <c r="AO29" s="84">
        <f t="shared" si="19"/>
        <v>0</v>
      </c>
      <c r="AP29" s="31"/>
      <c r="AQ29" s="39">
        <v>246915130.99000001</v>
      </c>
      <c r="AR29" s="36">
        <v>10</v>
      </c>
      <c r="AS29" s="30" t="e">
        <f>(#REF!/AQ29)-1</f>
        <v>#REF!</v>
      </c>
      <c r="AT29" s="30" t="e">
        <f>(#REF!/AR29)-1</f>
        <v>#REF!</v>
      </c>
    </row>
    <row r="30" spans="1:46">
      <c r="A30" s="216" t="s">
        <v>88</v>
      </c>
      <c r="B30" s="385">
        <v>31470627917.279999</v>
      </c>
      <c r="C30" s="342">
        <v>1</v>
      </c>
      <c r="D30" s="385">
        <v>32547685734.009998</v>
      </c>
      <c r="E30" s="342">
        <v>1</v>
      </c>
      <c r="F30" s="24">
        <f>((D30-B30)/B30)</f>
        <v>3.4224223919555319E-2</v>
      </c>
      <c r="G30" s="24">
        <f>((E30-C30)/C30)</f>
        <v>0</v>
      </c>
      <c r="H30" s="385">
        <v>33227561487.029999</v>
      </c>
      <c r="I30" s="342">
        <v>1</v>
      </c>
      <c r="J30" s="24">
        <f t="shared" si="20"/>
        <v>2.0888605063234311E-2</v>
      </c>
      <c r="K30" s="24">
        <f t="shared" si="21"/>
        <v>0</v>
      </c>
      <c r="L30" s="385">
        <v>33459480780.200001</v>
      </c>
      <c r="M30" s="342">
        <v>1</v>
      </c>
      <c r="N30" s="24">
        <f t="shared" si="22"/>
        <v>6.9797265520230561E-3</v>
      </c>
      <c r="O30" s="24">
        <f t="shared" si="23"/>
        <v>0</v>
      </c>
      <c r="P30" s="385">
        <v>34038129911.73</v>
      </c>
      <c r="Q30" s="342">
        <v>1</v>
      </c>
      <c r="R30" s="24">
        <f t="shared" si="24"/>
        <v>1.7294026029011797E-2</v>
      </c>
      <c r="S30" s="24">
        <f t="shared" si="25"/>
        <v>0</v>
      </c>
      <c r="T30" s="385">
        <v>34524115454.029999</v>
      </c>
      <c r="U30" s="342">
        <v>1</v>
      </c>
      <c r="V30" s="24">
        <f t="shared" si="26"/>
        <v>1.4277680458952655E-2</v>
      </c>
      <c r="W30" s="24">
        <f t="shared" si="27"/>
        <v>0</v>
      </c>
      <c r="X30" s="385">
        <v>34986586178.199997</v>
      </c>
      <c r="Y30" s="342">
        <v>1</v>
      </c>
      <c r="Z30" s="24">
        <f t="shared" si="28"/>
        <v>1.339558503057937E-2</v>
      </c>
      <c r="AA30" s="24">
        <f t="shared" si="29"/>
        <v>0</v>
      </c>
      <c r="AB30" s="385">
        <v>35530039124.43</v>
      </c>
      <c r="AC30" s="342">
        <v>1</v>
      </c>
      <c r="AD30" s="24">
        <f t="shared" si="30"/>
        <v>1.5533180158303834E-2</v>
      </c>
      <c r="AE30" s="24">
        <f t="shared" si="31"/>
        <v>0</v>
      </c>
      <c r="AF30" s="385">
        <v>35398254501.839996</v>
      </c>
      <c r="AG30" s="342">
        <v>1</v>
      </c>
      <c r="AH30" s="24">
        <f t="shared" si="32"/>
        <v>-3.7091043476895737E-3</v>
      </c>
      <c r="AI30" s="24">
        <f t="shared" si="33"/>
        <v>0</v>
      </c>
      <c r="AJ30" s="25">
        <f t="shared" si="14"/>
        <v>1.4860490357996347E-2</v>
      </c>
      <c r="AK30" s="25">
        <f t="shared" si="15"/>
        <v>0</v>
      </c>
      <c r="AL30" s="26">
        <f t="shared" si="16"/>
        <v>8.7581304278459282E-2</v>
      </c>
      <c r="AM30" s="26">
        <f t="shared" si="17"/>
        <v>0</v>
      </c>
      <c r="AN30" s="27">
        <f t="shared" si="18"/>
        <v>1.0869937918522869E-2</v>
      </c>
      <c r="AO30" s="84">
        <f t="shared" si="19"/>
        <v>0</v>
      </c>
      <c r="AP30" s="31"/>
      <c r="AQ30" s="39"/>
      <c r="AR30" s="36"/>
      <c r="AS30" s="30"/>
      <c r="AT30" s="30"/>
    </row>
    <row r="31" spans="1:46">
      <c r="A31" s="216" t="s">
        <v>92</v>
      </c>
      <c r="B31" s="385">
        <v>2092745416.2638049</v>
      </c>
      <c r="C31" s="342">
        <v>100</v>
      </c>
      <c r="D31" s="385">
        <v>2103150629.28</v>
      </c>
      <c r="E31" s="342">
        <v>100</v>
      </c>
      <c r="F31" s="24">
        <f>((D31-B31)/B31)</f>
        <v>4.9720395683730935E-3</v>
      </c>
      <c r="G31" s="24">
        <f>((E31-C31)/C31)</f>
        <v>0</v>
      </c>
      <c r="H31" s="385">
        <v>1937570865.25</v>
      </c>
      <c r="I31" s="342">
        <v>100</v>
      </c>
      <c r="J31" s="24">
        <f t="shared" si="20"/>
        <v>-7.8729389005620168E-2</v>
      </c>
      <c r="K31" s="24">
        <f t="shared" si="21"/>
        <v>0</v>
      </c>
      <c r="L31" s="385">
        <v>2154679707.9000001</v>
      </c>
      <c r="M31" s="342">
        <v>100</v>
      </c>
      <c r="N31" s="24">
        <f t="shared" si="22"/>
        <v>0.11205207847816553</v>
      </c>
      <c r="O31" s="24">
        <f t="shared" si="23"/>
        <v>0</v>
      </c>
      <c r="P31" s="385">
        <v>2124116377.73</v>
      </c>
      <c r="Q31" s="342">
        <v>100</v>
      </c>
      <c r="R31" s="24">
        <f t="shared" si="24"/>
        <v>-1.418462802519628E-2</v>
      </c>
      <c r="S31" s="24">
        <f t="shared" si="25"/>
        <v>0</v>
      </c>
      <c r="T31" s="385">
        <v>2132435455.0699999</v>
      </c>
      <c r="U31" s="342">
        <v>100</v>
      </c>
      <c r="V31" s="24">
        <f t="shared" si="26"/>
        <v>3.9164884877401791E-3</v>
      </c>
      <c r="W31" s="24">
        <f t="shared" si="27"/>
        <v>0</v>
      </c>
      <c r="X31" s="385">
        <v>1926409642.1700001</v>
      </c>
      <c r="Y31" s="342">
        <v>100</v>
      </c>
      <c r="Z31" s="24">
        <f t="shared" si="28"/>
        <v>-9.6615263270998647E-2</v>
      </c>
      <c r="AA31" s="24">
        <f t="shared" si="29"/>
        <v>0</v>
      </c>
      <c r="AB31" s="385">
        <v>1970958099.5981114</v>
      </c>
      <c r="AC31" s="342">
        <v>100</v>
      </c>
      <c r="AD31" s="24">
        <f t="shared" si="30"/>
        <v>2.3125121704607853E-2</v>
      </c>
      <c r="AE31" s="24">
        <f t="shared" si="31"/>
        <v>0</v>
      </c>
      <c r="AF31" s="385">
        <v>1698977342.3900001</v>
      </c>
      <c r="AG31" s="342">
        <v>100</v>
      </c>
      <c r="AH31" s="24">
        <f t="shared" si="32"/>
        <v>-0.13799418529676993</v>
      </c>
      <c r="AI31" s="24">
        <f t="shared" si="33"/>
        <v>0</v>
      </c>
      <c r="AJ31" s="25">
        <f t="shared" si="14"/>
        <v>-2.2932217169962296E-2</v>
      </c>
      <c r="AK31" s="25">
        <f t="shared" si="15"/>
        <v>0</v>
      </c>
      <c r="AL31" s="26">
        <f t="shared" si="16"/>
        <v>-0.19217514963650795</v>
      </c>
      <c r="AM31" s="26">
        <f t="shared" si="17"/>
        <v>0</v>
      </c>
      <c r="AN31" s="27">
        <f t="shared" si="18"/>
        <v>7.9011600927681641E-2</v>
      </c>
      <c r="AO31" s="84">
        <f t="shared" si="19"/>
        <v>0</v>
      </c>
      <c r="AP31" s="31"/>
      <c r="AQ31" s="39"/>
      <c r="AR31" s="36"/>
      <c r="AS31" s="30"/>
      <c r="AT31" s="30"/>
    </row>
    <row r="32" spans="1:46">
      <c r="A32" s="216" t="s">
        <v>95</v>
      </c>
      <c r="B32" s="385">
        <v>4657449123.3800001</v>
      </c>
      <c r="C32" s="342">
        <v>100</v>
      </c>
      <c r="D32" s="385">
        <v>4600608733.8800001</v>
      </c>
      <c r="E32" s="342">
        <v>100</v>
      </c>
      <c r="F32" s="24">
        <f>((D32-B32)/B32)</f>
        <v>-1.2204189030142285E-2</v>
      </c>
      <c r="G32" s="24">
        <f>((E32-C32)/C32)</f>
        <v>0</v>
      </c>
      <c r="H32" s="385">
        <v>4547474873.7700005</v>
      </c>
      <c r="I32" s="342">
        <v>100</v>
      </c>
      <c r="J32" s="24">
        <f t="shared" si="20"/>
        <v>-1.1549310794180128E-2</v>
      </c>
      <c r="K32" s="24">
        <f t="shared" si="21"/>
        <v>0</v>
      </c>
      <c r="L32" s="385">
        <v>4578530432.9399996</v>
      </c>
      <c r="M32" s="342">
        <v>100</v>
      </c>
      <c r="N32" s="24">
        <f t="shared" si="22"/>
        <v>6.8291876331475106E-3</v>
      </c>
      <c r="O32" s="24">
        <f t="shared" si="23"/>
        <v>0</v>
      </c>
      <c r="P32" s="385">
        <v>4948133116.0500002</v>
      </c>
      <c r="Q32" s="342">
        <v>100</v>
      </c>
      <c r="R32" s="24">
        <f t="shared" si="24"/>
        <v>8.0725177766847039E-2</v>
      </c>
      <c r="S32" s="24">
        <f t="shared" si="25"/>
        <v>0</v>
      </c>
      <c r="T32" s="385">
        <v>5097600129.79</v>
      </c>
      <c r="U32" s="342">
        <v>100</v>
      </c>
      <c r="V32" s="24">
        <f t="shared" si="26"/>
        <v>3.0206748734220881E-2</v>
      </c>
      <c r="W32" s="24">
        <f t="shared" si="27"/>
        <v>0</v>
      </c>
      <c r="X32" s="385">
        <v>5276874127.3199997</v>
      </c>
      <c r="Y32" s="342">
        <v>100</v>
      </c>
      <c r="Z32" s="24">
        <f t="shared" si="28"/>
        <v>3.5168313120979358E-2</v>
      </c>
      <c r="AA32" s="24">
        <f t="shared" si="29"/>
        <v>0</v>
      </c>
      <c r="AB32" s="385">
        <v>5325109037.1199999</v>
      </c>
      <c r="AC32" s="342">
        <v>100</v>
      </c>
      <c r="AD32" s="24">
        <f t="shared" si="30"/>
        <v>9.1408111386006418E-3</v>
      </c>
      <c r="AE32" s="24">
        <f t="shared" si="31"/>
        <v>0</v>
      </c>
      <c r="AF32" s="385">
        <v>5316462812.9200001</v>
      </c>
      <c r="AG32" s="342">
        <v>100</v>
      </c>
      <c r="AH32" s="24">
        <f t="shared" si="32"/>
        <v>-1.6236708280955654E-3</v>
      </c>
      <c r="AI32" s="24">
        <f t="shared" si="33"/>
        <v>0</v>
      </c>
      <c r="AJ32" s="25">
        <f t="shared" si="14"/>
        <v>1.7086633467672179E-2</v>
      </c>
      <c r="AK32" s="25">
        <f t="shared" si="15"/>
        <v>0</v>
      </c>
      <c r="AL32" s="26">
        <f t="shared" si="16"/>
        <v>0.15559986089846689</v>
      </c>
      <c r="AM32" s="26">
        <f t="shared" si="17"/>
        <v>0</v>
      </c>
      <c r="AN32" s="27">
        <f t="shared" si="18"/>
        <v>3.1042241370085141E-2</v>
      </c>
      <c r="AO32" s="84">
        <f t="shared" si="19"/>
        <v>0</v>
      </c>
      <c r="AP32" s="31"/>
      <c r="AQ32" s="39"/>
      <c r="AR32" s="36"/>
      <c r="AS32" s="30"/>
      <c r="AT32" s="30"/>
    </row>
    <row r="33" spans="1:47">
      <c r="A33" s="216" t="s">
        <v>101</v>
      </c>
      <c r="B33" s="376">
        <v>613402936.33000004</v>
      </c>
      <c r="C33" s="342">
        <v>10</v>
      </c>
      <c r="D33" s="376">
        <v>645320495.34000003</v>
      </c>
      <c r="E33" s="342">
        <v>10</v>
      </c>
      <c r="F33" s="24">
        <f>((D33-B33)/B33)</f>
        <v>5.2033593449948699E-2</v>
      </c>
      <c r="G33" s="24">
        <f>((E33-C33)/C33)</f>
        <v>0</v>
      </c>
      <c r="H33" s="376">
        <v>647957930.17999995</v>
      </c>
      <c r="I33" s="342">
        <v>10</v>
      </c>
      <c r="J33" s="24">
        <f t="shared" si="20"/>
        <v>4.0870154582806619E-3</v>
      </c>
      <c r="K33" s="24">
        <f t="shared" si="21"/>
        <v>0</v>
      </c>
      <c r="L33" s="376">
        <v>647868996.38</v>
      </c>
      <c r="M33" s="342">
        <v>10</v>
      </c>
      <c r="N33" s="24">
        <f t="shared" si="22"/>
        <v>-1.372524292977584E-4</v>
      </c>
      <c r="O33" s="24">
        <f t="shared" si="23"/>
        <v>0</v>
      </c>
      <c r="P33" s="376">
        <v>628441670.25</v>
      </c>
      <c r="Q33" s="342">
        <v>10</v>
      </c>
      <c r="R33" s="24">
        <f t="shared" si="24"/>
        <v>-2.9986503812578065E-2</v>
      </c>
      <c r="S33" s="24">
        <f t="shared" si="25"/>
        <v>0</v>
      </c>
      <c r="T33" s="376">
        <v>662781568.05999994</v>
      </c>
      <c r="U33" s="342">
        <v>10</v>
      </c>
      <c r="V33" s="24">
        <f t="shared" si="26"/>
        <v>5.4642935749851226E-2</v>
      </c>
      <c r="W33" s="24">
        <f t="shared" si="27"/>
        <v>0</v>
      </c>
      <c r="X33" s="376">
        <v>675469573</v>
      </c>
      <c r="Y33" s="342">
        <v>10</v>
      </c>
      <c r="Z33" s="24">
        <f t="shared" si="28"/>
        <v>1.9143569392158239E-2</v>
      </c>
      <c r="AA33" s="24">
        <f t="shared" si="29"/>
        <v>0</v>
      </c>
      <c r="AB33" s="376">
        <v>677879695.49000001</v>
      </c>
      <c r="AC33" s="342">
        <v>10</v>
      </c>
      <c r="AD33" s="24">
        <f t="shared" si="30"/>
        <v>3.5680696604819674E-3</v>
      </c>
      <c r="AE33" s="24">
        <f t="shared" si="31"/>
        <v>0</v>
      </c>
      <c r="AF33" s="376">
        <v>681449850.38999999</v>
      </c>
      <c r="AG33" s="342">
        <v>10</v>
      </c>
      <c r="AH33" s="24">
        <f t="shared" si="32"/>
        <v>5.2666497075403882E-3</v>
      </c>
      <c r="AI33" s="24">
        <f t="shared" si="33"/>
        <v>0</v>
      </c>
      <c r="AJ33" s="25">
        <f t="shared" si="14"/>
        <v>1.3577259647048168E-2</v>
      </c>
      <c r="AK33" s="25">
        <f t="shared" si="15"/>
        <v>0</v>
      </c>
      <c r="AL33" s="26">
        <f t="shared" si="16"/>
        <v>5.5986684617795192E-2</v>
      </c>
      <c r="AM33" s="26">
        <f t="shared" si="17"/>
        <v>0</v>
      </c>
      <c r="AN33" s="27">
        <f t="shared" si="18"/>
        <v>2.813606570195655E-2</v>
      </c>
      <c r="AO33" s="84">
        <f t="shared" si="19"/>
        <v>0</v>
      </c>
      <c r="AP33" s="31"/>
      <c r="AQ33" s="39"/>
      <c r="AR33" s="36"/>
      <c r="AS33" s="30"/>
      <c r="AT33" s="30"/>
    </row>
    <row r="34" spans="1:47">
      <c r="A34" s="216" t="s">
        <v>103</v>
      </c>
      <c r="B34" s="385">
        <v>4076092021.0500002</v>
      </c>
      <c r="C34" s="342">
        <v>100</v>
      </c>
      <c r="D34" s="385">
        <v>4140718788.75</v>
      </c>
      <c r="E34" s="342">
        <v>100</v>
      </c>
      <c r="F34" s="24">
        <f>((D34-B34)/B34)</f>
        <v>1.5855080642500307E-2</v>
      </c>
      <c r="G34" s="24">
        <f>((E34-C34)/C34)</f>
        <v>0</v>
      </c>
      <c r="H34" s="385">
        <v>4231136818.3000002</v>
      </c>
      <c r="I34" s="342">
        <v>100</v>
      </c>
      <c r="J34" s="24">
        <f t="shared" si="20"/>
        <v>2.1836312525172853E-2</v>
      </c>
      <c r="K34" s="24">
        <f t="shared" si="21"/>
        <v>0</v>
      </c>
      <c r="L34" s="385">
        <v>4300605234.7200003</v>
      </c>
      <c r="M34" s="342">
        <v>100</v>
      </c>
      <c r="N34" s="24">
        <f t="shared" si="22"/>
        <v>1.6418381017494803E-2</v>
      </c>
      <c r="O34" s="24">
        <f t="shared" si="23"/>
        <v>0</v>
      </c>
      <c r="P34" s="385">
        <v>4358837215.7799997</v>
      </c>
      <c r="Q34" s="342">
        <v>100</v>
      </c>
      <c r="R34" s="24">
        <f t="shared" si="24"/>
        <v>1.354041533267835E-2</v>
      </c>
      <c r="S34" s="24">
        <f t="shared" si="25"/>
        <v>0</v>
      </c>
      <c r="T34" s="385">
        <v>4351234721.0900002</v>
      </c>
      <c r="U34" s="342">
        <v>100</v>
      </c>
      <c r="V34" s="24">
        <f t="shared" si="26"/>
        <v>-1.744156598112173E-3</v>
      </c>
      <c r="W34" s="24">
        <f t="shared" si="27"/>
        <v>0</v>
      </c>
      <c r="X34" s="385">
        <v>4374181165.1400003</v>
      </c>
      <c r="Y34" s="342">
        <v>100</v>
      </c>
      <c r="Z34" s="24">
        <f t="shared" si="28"/>
        <v>5.2735477446852197E-3</v>
      </c>
      <c r="AA34" s="24">
        <f t="shared" si="29"/>
        <v>0</v>
      </c>
      <c r="AB34" s="385">
        <v>4874828076.6199999</v>
      </c>
      <c r="AC34" s="342">
        <v>100</v>
      </c>
      <c r="AD34" s="24">
        <f t="shared" si="30"/>
        <v>0.11445500142287221</v>
      </c>
      <c r="AE34" s="24">
        <f t="shared" si="31"/>
        <v>0</v>
      </c>
      <c r="AF34" s="385">
        <v>4875192092.2600002</v>
      </c>
      <c r="AG34" s="342">
        <v>100</v>
      </c>
      <c r="AH34" s="24">
        <f t="shared" si="32"/>
        <v>7.4672508297510344E-5</v>
      </c>
      <c r="AI34" s="24">
        <f t="shared" si="33"/>
        <v>0</v>
      </c>
      <c r="AJ34" s="25">
        <f t="shared" si="14"/>
        <v>2.3213656824448637E-2</v>
      </c>
      <c r="AK34" s="25">
        <f t="shared" si="15"/>
        <v>0</v>
      </c>
      <c r="AL34" s="26">
        <f t="shared" si="16"/>
        <v>0.17737821402059592</v>
      </c>
      <c r="AM34" s="26">
        <f t="shared" si="17"/>
        <v>0</v>
      </c>
      <c r="AN34" s="27">
        <f t="shared" si="18"/>
        <v>3.779820218501611E-2</v>
      </c>
      <c r="AO34" s="84">
        <f t="shared" si="19"/>
        <v>0</v>
      </c>
      <c r="AP34" s="31"/>
      <c r="AQ34" s="39"/>
      <c r="AR34" s="36"/>
      <c r="AS34" s="30"/>
      <c r="AT34" s="30"/>
    </row>
    <row r="35" spans="1:47">
      <c r="A35" s="216" t="s">
        <v>104</v>
      </c>
      <c r="B35" s="385">
        <v>13428577023.67</v>
      </c>
      <c r="C35" s="342">
        <v>100</v>
      </c>
      <c r="D35" s="385">
        <v>10865153127.73</v>
      </c>
      <c r="E35" s="342">
        <v>100</v>
      </c>
      <c r="F35" s="24">
        <f>((D35-B35)/B35)</f>
        <v>-0.1908931893097503</v>
      </c>
      <c r="G35" s="24">
        <f>((E35-C35)/C35)</f>
        <v>0</v>
      </c>
      <c r="H35" s="385">
        <v>10868640081.9</v>
      </c>
      <c r="I35" s="342">
        <v>100</v>
      </c>
      <c r="J35" s="24">
        <f t="shared" si="20"/>
        <v>3.2093005307957289E-4</v>
      </c>
      <c r="K35" s="24">
        <f t="shared" si="21"/>
        <v>0</v>
      </c>
      <c r="L35" s="385">
        <v>11540500388.83</v>
      </c>
      <c r="M35" s="342">
        <v>100</v>
      </c>
      <c r="N35" s="24">
        <f t="shared" si="22"/>
        <v>6.1816409584569583E-2</v>
      </c>
      <c r="O35" s="24">
        <f t="shared" si="23"/>
        <v>0</v>
      </c>
      <c r="P35" s="385">
        <v>11669041718.58</v>
      </c>
      <c r="Q35" s="342">
        <v>100</v>
      </c>
      <c r="R35" s="24">
        <f t="shared" si="24"/>
        <v>1.1138280440111123E-2</v>
      </c>
      <c r="S35" s="24">
        <f t="shared" si="25"/>
        <v>0</v>
      </c>
      <c r="T35" s="385">
        <v>12020396759.15</v>
      </c>
      <c r="U35" s="342">
        <v>100</v>
      </c>
      <c r="V35" s="24">
        <f t="shared" si="26"/>
        <v>3.0110016661484343E-2</v>
      </c>
      <c r="W35" s="24">
        <f t="shared" si="27"/>
        <v>0</v>
      </c>
      <c r="X35" s="385">
        <v>12504464911.290001</v>
      </c>
      <c r="Y35" s="342">
        <v>100</v>
      </c>
      <c r="Z35" s="24">
        <f t="shared" si="28"/>
        <v>4.02705635961247E-2</v>
      </c>
      <c r="AA35" s="24">
        <f t="shared" si="29"/>
        <v>0</v>
      </c>
      <c r="AB35" s="385">
        <v>18333138416.959999</v>
      </c>
      <c r="AC35" s="342">
        <v>100</v>
      </c>
      <c r="AD35" s="24">
        <f t="shared" si="30"/>
        <v>0.46612738306038348</v>
      </c>
      <c r="AE35" s="24">
        <f t="shared" si="31"/>
        <v>0</v>
      </c>
      <c r="AF35" s="385">
        <v>18710694208</v>
      </c>
      <c r="AG35" s="342">
        <v>100</v>
      </c>
      <c r="AH35" s="24">
        <f t="shared" si="32"/>
        <v>2.0594171191699713E-2</v>
      </c>
      <c r="AI35" s="24">
        <f t="shared" si="33"/>
        <v>0</v>
      </c>
      <c r="AJ35" s="25">
        <f t="shared" si="14"/>
        <v>5.4935570659712774E-2</v>
      </c>
      <c r="AK35" s="25">
        <f t="shared" si="15"/>
        <v>0</v>
      </c>
      <c r="AL35" s="26">
        <f t="shared" si="16"/>
        <v>0.72208288167118806</v>
      </c>
      <c r="AM35" s="26">
        <f t="shared" si="17"/>
        <v>0</v>
      </c>
      <c r="AN35" s="27">
        <f t="shared" si="18"/>
        <v>0.18379705253266615</v>
      </c>
      <c r="AO35" s="84">
        <f t="shared" si="19"/>
        <v>0</v>
      </c>
      <c r="AP35" s="31"/>
      <c r="AQ35" s="39"/>
      <c r="AR35" s="36"/>
      <c r="AS35" s="30"/>
      <c r="AT35" s="30"/>
    </row>
    <row r="36" spans="1:47">
      <c r="A36" s="216" t="s">
        <v>107</v>
      </c>
      <c r="B36" s="385">
        <v>10799706195.469999</v>
      </c>
      <c r="C36" s="71">
        <v>100</v>
      </c>
      <c r="D36" s="385">
        <v>10980503944.6</v>
      </c>
      <c r="E36" s="71">
        <v>100</v>
      </c>
      <c r="F36" s="24">
        <f>((D36-B36)/B36)</f>
        <v>1.6740987750744344E-2</v>
      </c>
      <c r="G36" s="24">
        <f>((E36-C36)/C36)</f>
        <v>0</v>
      </c>
      <c r="H36" s="385">
        <v>10961413389.75</v>
      </c>
      <c r="I36" s="71">
        <v>100</v>
      </c>
      <c r="J36" s="24">
        <f t="shared" si="20"/>
        <v>-1.738586402438182E-3</v>
      </c>
      <c r="K36" s="24">
        <f t="shared" si="21"/>
        <v>0</v>
      </c>
      <c r="L36" s="385">
        <v>10666444988.200001</v>
      </c>
      <c r="M36" s="71">
        <v>100</v>
      </c>
      <c r="N36" s="24">
        <f t="shared" si="22"/>
        <v>-2.6909705077433146E-2</v>
      </c>
      <c r="O36" s="24">
        <f t="shared" si="23"/>
        <v>0</v>
      </c>
      <c r="P36" s="385">
        <v>10640450151.299999</v>
      </c>
      <c r="Q36" s="71">
        <v>100</v>
      </c>
      <c r="R36" s="24">
        <f t="shared" si="24"/>
        <v>-2.4370666073615819E-3</v>
      </c>
      <c r="S36" s="24">
        <f t="shared" si="25"/>
        <v>0</v>
      </c>
      <c r="T36" s="385">
        <v>10917044746.450001</v>
      </c>
      <c r="U36" s="71">
        <v>100</v>
      </c>
      <c r="V36" s="24">
        <f t="shared" si="26"/>
        <v>2.5994632860171667E-2</v>
      </c>
      <c r="W36" s="24">
        <f t="shared" si="27"/>
        <v>0</v>
      </c>
      <c r="X36" s="385">
        <v>11015445726.200001</v>
      </c>
      <c r="Y36" s="71">
        <v>100</v>
      </c>
      <c r="Z36" s="24">
        <f t="shared" si="28"/>
        <v>9.0135180385697306E-3</v>
      </c>
      <c r="AA36" s="24">
        <f t="shared" si="29"/>
        <v>0</v>
      </c>
      <c r="AB36" s="385">
        <v>11286240521.299999</v>
      </c>
      <c r="AC36" s="71">
        <v>100</v>
      </c>
      <c r="AD36" s="24">
        <f t="shared" si="30"/>
        <v>2.4583189988936979E-2</v>
      </c>
      <c r="AE36" s="24">
        <f t="shared" si="31"/>
        <v>0</v>
      </c>
      <c r="AF36" s="385">
        <v>11521458203.9</v>
      </c>
      <c r="AG36" s="71">
        <v>100</v>
      </c>
      <c r="AH36" s="24">
        <f t="shared" si="32"/>
        <v>2.0841101353110892E-2</v>
      </c>
      <c r="AI36" s="24">
        <f t="shared" si="33"/>
        <v>0</v>
      </c>
      <c r="AJ36" s="25">
        <f t="shared" si="14"/>
        <v>8.2610089880375877E-3</v>
      </c>
      <c r="AK36" s="25">
        <f t="shared" si="15"/>
        <v>0</v>
      </c>
      <c r="AL36" s="26">
        <f t="shared" si="16"/>
        <v>4.9264975635843207E-2</v>
      </c>
      <c r="AM36" s="26">
        <f t="shared" si="17"/>
        <v>0</v>
      </c>
      <c r="AN36" s="27">
        <f t="shared" si="18"/>
        <v>1.7980346012714275E-2</v>
      </c>
      <c r="AO36" s="84">
        <f t="shared" si="19"/>
        <v>0</v>
      </c>
      <c r="AP36" s="31"/>
      <c r="AQ36" s="39"/>
      <c r="AR36" s="36"/>
      <c r="AS36" s="30"/>
      <c r="AT36" s="30"/>
    </row>
    <row r="37" spans="1:47">
      <c r="A37" s="216" t="s">
        <v>106</v>
      </c>
      <c r="B37" s="385">
        <v>430053365.62</v>
      </c>
      <c r="C37" s="71">
        <v>1000000</v>
      </c>
      <c r="D37" s="385">
        <v>431018536.70999998</v>
      </c>
      <c r="E37" s="71">
        <v>1000000</v>
      </c>
      <c r="F37" s="24">
        <f>((D37-B37)/B37)</f>
        <v>2.2443053982579685E-3</v>
      </c>
      <c r="G37" s="24">
        <f>((E37-C37)/C37)</f>
        <v>0</v>
      </c>
      <c r="H37" s="385">
        <v>425628416.70999998</v>
      </c>
      <c r="I37" s="71">
        <v>1000000</v>
      </c>
      <c r="J37" s="24">
        <f t="shared" si="20"/>
        <v>-1.2505541040399864E-2</v>
      </c>
      <c r="K37" s="24">
        <f t="shared" si="21"/>
        <v>0</v>
      </c>
      <c r="L37" s="385">
        <v>426567162.81999999</v>
      </c>
      <c r="M37" s="71">
        <v>1000000</v>
      </c>
      <c r="N37" s="24">
        <f t="shared" si="22"/>
        <v>2.2055531847621555E-3</v>
      </c>
      <c r="O37" s="24">
        <f t="shared" si="23"/>
        <v>0</v>
      </c>
      <c r="P37" s="385">
        <v>563267863.15999997</v>
      </c>
      <c r="Q37" s="71">
        <v>1000000</v>
      </c>
      <c r="R37" s="24">
        <f t="shared" si="24"/>
        <v>0.320467003217695</v>
      </c>
      <c r="S37" s="24">
        <f t="shared" si="25"/>
        <v>0</v>
      </c>
      <c r="T37" s="385">
        <v>564203738.75999999</v>
      </c>
      <c r="U37" s="71">
        <v>1000000</v>
      </c>
      <c r="V37" s="24">
        <f t="shared" si="26"/>
        <v>1.6615107326550639E-3</v>
      </c>
      <c r="W37" s="24">
        <f t="shared" si="27"/>
        <v>0</v>
      </c>
      <c r="X37" s="385">
        <v>565070760.17999995</v>
      </c>
      <c r="Y37" s="71">
        <v>1000000</v>
      </c>
      <c r="Z37" s="24">
        <f t="shared" si="28"/>
        <v>1.5367168992986222E-3</v>
      </c>
      <c r="AA37" s="24">
        <f t="shared" si="29"/>
        <v>0</v>
      </c>
      <c r="AB37" s="385">
        <v>429441740.11000001</v>
      </c>
      <c r="AC37" s="71">
        <v>1000000</v>
      </c>
      <c r="AD37" s="24">
        <f t="shared" si="30"/>
        <v>-0.24002130286620407</v>
      </c>
      <c r="AE37" s="24">
        <f t="shared" si="31"/>
        <v>0</v>
      </c>
      <c r="AF37" s="385">
        <v>430376811.49000001</v>
      </c>
      <c r="AG37" s="71">
        <v>1000000</v>
      </c>
      <c r="AH37" s="24">
        <f t="shared" si="32"/>
        <v>2.1774114918602927E-3</v>
      </c>
      <c r="AI37" s="24">
        <f t="shared" si="33"/>
        <v>0</v>
      </c>
      <c r="AJ37" s="25">
        <f t="shared" si="14"/>
        <v>9.7207071272406471E-3</v>
      </c>
      <c r="AK37" s="25">
        <f t="shared" si="15"/>
        <v>0</v>
      </c>
      <c r="AL37" s="26">
        <f t="shared" si="16"/>
        <v>-1.4888575904375494E-3</v>
      </c>
      <c r="AM37" s="26">
        <f t="shared" si="17"/>
        <v>0</v>
      </c>
      <c r="AN37" s="27">
        <f t="shared" si="18"/>
        <v>0.15105795575129638</v>
      </c>
      <c r="AO37" s="84">
        <f t="shared" si="19"/>
        <v>0</v>
      </c>
      <c r="AP37" s="31"/>
      <c r="AQ37" s="39"/>
      <c r="AR37" s="36"/>
      <c r="AS37" s="30"/>
      <c r="AT37" s="30"/>
      <c r="AU37" s="96"/>
    </row>
    <row r="38" spans="1:47">
      <c r="A38" s="216" t="s">
        <v>115</v>
      </c>
      <c r="B38" s="385">
        <v>4018142642.6700001</v>
      </c>
      <c r="C38" s="342">
        <v>1</v>
      </c>
      <c r="D38" s="385">
        <v>4047649698.71</v>
      </c>
      <c r="E38" s="342">
        <v>1</v>
      </c>
      <c r="F38" s="24">
        <f>((D38-B38)/B38)</f>
        <v>7.3434565828138275E-3</v>
      </c>
      <c r="G38" s="24">
        <f>((E38-C38)/C38)</f>
        <v>0</v>
      </c>
      <c r="H38" s="385">
        <v>3896504082.9499998</v>
      </c>
      <c r="I38" s="342">
        <v>1</v>
      </c>
      <c r="J38" s="24">
        <f t="shared" si="20"/>
        <v>-3.7341575237642442E-2</v>
      </c>
      <c r="K38" s="24">
        <f t="shared" si="21"/>
        <v>0</v>
      </c>
      <c r="L38" s="385">
        <v>3690124388.1900001</v>
      </c>
      <c r="M38" s="342">
        <v>1</v>
      </c>
      <c r="N38" s="24">
        <f t="shared" si="22"/>
        <v>-5.2965348005936642E-2</v>
      </c>
      <c r="O38" s="24">
        <f t="shared" si="23"/>
        <v>0</v>
      </c>
      <c r="P38" s="385">
        <v>3690124388.1900001</v>
      </c>
      <c r="Q38" s="342">
        <v>1</v>
      </c>
      <c r="R38" s="24">
        <f t="shared" si="24"/>
        <v>0</v>
      </c>
      <c r="S38" s="24">
        <f t="shared" si="25"/>
        <v>0</v>
      </c>
      <c r="T38" s="385">
        <v>4023325120.48</v>
      </c>
      <c r="U38" s="342">
        <v>1</v>
      </c>
      <c r="V38" s="24">
        <f t="shared" si="26"/>
        <v>9.0295257622314024E-2</v>
      </c>
      <c r="W38" s="24">
        <f t="shared" si="27"/>
        <v>0</v>
      </c>
      <c r="X38" s="385">
        <v>4054538294.4499998</v>
      </c>
      <c r="Y38" s="342">
        <v>1</v>
      </c>
      <c r="Z38" s="24">
        <f t="shared" si="28"/>
        <v>7.7580541058227788E-3</v>
      </c>
      <c r="AA38" s="24">
        <f t="shared" si="29"/>
        <v>0</v>
      </c>
      <c r="AB38" s="385">
        <v>4141051273.54</v>
      </c>
      <c r="AC38" s="342">
        <v>1</v>
      </c>
      <c r="AD38" s="24">
        <f t="shared" si="30"/>
        <v>2.1337319518827159E-2</v>
      </c>
      <c r="AE38" s="24">
        <f t="shared" si="31"/>
        <v>0</v>
      </c>
      <c r="AF38" s="385">
        <v>4165432378.1999998</v>
      </c>
      <c r="AG38" s="342">
        <v>1</v>
      </c>
      <c r="AH38" s="24">
        <f t="shared" si="32"/>
        <v>5.8876606565553408E-3</v>
      </c>
      <c r="AI38" s="24">
        <f t="shared" si="33"/>
        <v>0</v>
      </c>
      <c r="AJ38" s="25">
        <f t="shared" si="14"/>
        <v>5.2893531553442549E-3</v>
      </c>
      <c r="AK38" s="25">
        <f t="shared" si="15"/>
        <v>0</v>
      </c>
      <c r="AL38" s="26">
        <f t="shared" si="16"/>
        <v>2.9099029870973646E-2</v>
      </c>
      <c r="AM38" s="26">
        <f t="shared" si="17"/>
        <v>0</v>
      </c>
      <c r="AN38" s="27">
        <f t="shared" si="18"/>
        <v>4.2650065040363679E-2</v>
      </c>
      <c r="AO38" s="84">
        <f t="shared" si="19"/>
        <v>0</v>
      </c>
      <c r="AP38" s="31"/>
      <c r="AQ38" s="39"/>
      <c r="AR38" s="36"/>
      <c r="AS38" s="30"/>
      <c r="AT38" s="30"/>
    </row>
    <row r="39" spans="1:47" s="92" customFormat="1">
      <c r="A39" s="216" t="s">
        <v>120</v>
      </c>
      <c r="B39" s="385">
        <v>16967584727.219999</v>
      </c>
      <c r="C39" s="342">
        <v>1</v>
      </c>
      <c r="D39" s="385">
        <v>17158355947.77</v>
      </c>
      <c r="E39" s="342">
        <v>1</v>
      </c>
      <c r="F39" s="24">
        <f>((D39-B39)/B39)</f>
        <v>1.1243274963227926E-2</v>
      </c>
      <c r="G39" s="24">
        <f>((E39-C39)/C39)</f>
        <v>0</v>
      </c>
      <c r="H39" s="385">
        <v>17261206000.369999</v>
      </c>
      <c r="I39" s="342">
        <v>1</v>
      </c>
      <c r="J39" s="24">
        <f t="shared" si="20"/>
        <v>5.9941670934601085E-3</v>
      </c>
      <c r="K39" s="24">
        <f t="shared" si="21"/>
        <v>0</v>
      </c>
      <c r="L39" s="385">
        <v>17676291839.209999</v>
      </c>
      <c r="M39" s="342">
        <v>1</v>
      </c>
      <c r="N39" s="24">
        <f t="shared" si="22"/>
        <v>2.4047325478364759E-2</v>
      </c>
      <c r="O39" s="24">
        <f t="shared" si="23"/>
        <v>0</v>
      </c>
      <c r="P39" s="385">
        <v>18051521459.57</v>
      </c>
      <c r="Q39" s="342">
        <v>1</v>
      </c>
      <c r="R39" s="24">
        <f t="shared" si="24"/>
        <v>2.1227847094471293E-2</v>
      </c>
      <c r="S39" s="24">
        <f t="shared" si="25"/>
        <v>0</v>
      </c>
      <c r="T39" s="385">
        <v>18748003183.139999</v>
      </c>
      <c r="U39" s="342">
        <v>1</v>
      </c>
      <c r="V39" s="24">
        <f t="shared" si="26"/>
        <v>3.8582992859073406E-2</v>
      </c>
      <c r="W39" s="24">
        <f t="shared" si="27"/>
        <v>0</v>
      </c>
      <c r="X39" s="385">
        <v>19639567240.580002</v>
      </c>
      <c r="Y39" s="342">
        <v>1</v>
      </c>
      <c r="Z39" s="24">
        <f t="shared" si="28"/>
        <v>4.7555147539220723E-2</v>
      </c>
      <c r="AA39" s="24">
        <f t="shared" si="29"/>
        <v>0</v>
      </c>
      <c r="AB39" s="385">
        <v>19141466809.049999</v>
      </c>
      <c r="AC39" s="342">
        <v>1</v>
      </c>
      <c r="AD39" s="24">
        <f t="shared" si="30"/>
        <v>-2.5362087943608502E-2</v>
      </c>
      <c r="AE39" s="24">
        <f t="shared" si="31"/>
        <v>0</v>
      </c>
      <c r="AF39" s="385">
        <v>19049536647.700001</v>
      </c>
      <c r="AG39" s="342">
        <v>1</v>
      </c>
      <c r="AH39" s="24">
        <f t="shared" si="32"/>
        <v>-4.8026706765509899E-3</v>
      </c>
      <c r="AI39" s="24">
        <f t="shared" si="33"/>
        <v>0</v>
      </c>
      <c r="AJ39" s="25">
        <f t="shared" si="14"/>
        <v>1.481074955095734E-2</v>
      </c>
      <c r="AK39" s="25">
        <f t="shared" si="15"/>
        <v>0</v>
      </c>
      <c r="AL39" s="26">
        <f t="shared" si="16"/>
        <v>0.11021922529680293</v>
      </c>
      <c r="AM39" s="26">
        <f t="shared" si="17"/>
        <v>0</v>
      </c>
      <c r="AN39" s="27">
        <f t="shared" si="18"/>
        <v>2.3460638018998555E-2</v>
      </c>
      <c r="AO39" s="84">
        <f t="shared" si="19"/>
        <v>0</v>
      </c>
      <c r="AP39" s="31"/>
      <c r="AQ39" s="39"/>
      <c r="AR39" s="36"/>
      <c r="AS39" s="30"/>
      <c r="AT39" s="30"/>
    </row>
    <row r="40" spans="1:47" s="94" customFormat="1">
      <c r="A40" s="216" t="s">
        <v>123</v>
      </c>
      <c r="B40" s="385">
        <v>636735588.23000002</v>
      </c>
      <c r="C40" s="342">
        <v>100</v>
      </c>
      <c r="D40" s="385">
        <v>641338572.60000002</v>
      </c>
      <c r="E40" s="342">
        <v>100</v>
      </c>
      <c r="F40" s="24">
        <f>((D40-B40)/B40)</f>
        <v>7.2290358118593592E-3</v>
      </c>
      <c r="G40" s="24">
        <f>((E40-C40)/C40)</f>
        <v>0</v>
      </c>
      <c r="H40" s="385">
        <v>640783905.09000003</v>
      </c>
      <c r="I40" s="342">
        <v>100</v>
      </c>
      <c r="J40" s="24">
        <f t="shared" si="20"/>
        <v>-8.6485911451007346E-4</v>
      </c>
      <c r="K40" s="24">
        <f t="shared" si="21"/>
        <v>0</v>
      </c>
      <c r="L40" s="385">
        <v>649687292.97000003</v>
      </c>
      <c r="M40" s="342">
        <v>100</v>
      </c>
      <c r="N40" s="24">
        <f t="shared" si="22"/>
        <v>1.3894524830097734E-2</v>
      </c>
      <c r="O40" s="24">
        <f t="shared" si="23"/>
        <v>0</v>
      </c>
      <c r="P40" s="385">
        <v>674433769.01999998</v>
      </c>
      <c r="Q40" s="342">
        <v>100</v>
      </c>
      <c r="R40" s="24">
        <f t="shared" si="24"/>
        <v>3.808982616371203E-2</v>
      </c>
      <c r="S40" s="24">
        <f t="shared" si="25"/>
        <v>0</v>
      </c>
      <c r="T40" s="385">
        <v>678838566.63999999</v>
      </c>
      <c r="U40" s="342">
        <v>100</v>
      </c>
      <c r="V40" s="24">
        <f t="shared" si="26"/>
        <v>6.5311047909129578E-3</v>
      </c>
      <c r="W40" s="24">
        <f t="shared" si="27"/>
        <v>0</v>
      </c>
      <c r="X40" s="385">
        <v>685907164.41999996</v>
      </c>
      <c r="Y40" s="342">
        <v>100</v>
      </c>
      <c r="Z40" s="24">
        <f t="shared" si="28"/>
        <v>1.0412781664699632E-2</v>
      </c>
      <c r="AA40" s="24">
        <f t="shared" si="29"/>
        <v>0</v>
      </c>
      <c r="AB40" s="385">
        <v>685280097.52999997</v>
      </c>
      <c r="AC40" s="342">
        <v>100</v>
      </c>
      <c r="AD40" s="24">
        <f t="shared" si="30"/>
        <v>-9.1421539608823102E-4</v>
      </c>
      <c r="AE40" s="24">
        <f t="shared" si="31"/>
        <v>0</v>
      </c>
      <c r="AF40" s="385">
        <v>682759880.90999997</v>
      </c>
      <c r="AG40" s="342">
        <v>100</v>
      </c>
      <c r="AH40" s="24">
        <f t="shared" si="32"/>
        <v>-3.677644555976143E-3</v>
      </c>
      <c r="AI40" s="24">
        <f t="shared" si="33"/>
        <v>0</v>
      </c>
      <c r="AJ40" s="25">
        <f t="shared" si="14"/>
        <v>8.8375692743384096E-3</v>
      </c>
      <c r="AK40" s="25">
        <f t="shared" si="15"/>
        <v>0</v>
      </c>
      <c r="AL40" s="26">
        <f t="shared" si="16"/>
        <v>6.4585711946307994E-2</v>
      </c>
      <c r="AM40" s="26">
        <f t="shared" si="17"/>
        <v>0</v>
      </c>
      <c r="AN40" s="27">
        <f t="shared" si="18"/>
        <v>1.3296190556054521E-2</v>
      </c>
      <c r="AO40" s="84">
        <f t="shared" si="19"/>
        <v>0</v>
      </c>
      <c r="AP40" s="31"/>
      <c r="AQ40" s="39"/>
      <c r="AR40" s="36"/>
      <c r="AS40" s="30"/>
      <c r="AT40" s="30"/>
    </row>
    <row r="41" spans="1:47" s="94" customFormat="1">
      <c r="A41" s="216" t="s">
        <v>130</v>
      </c>
      <c r="B41" s="385">
        <v>3425870364.98</v>
      </c>
      <c r="C41" s="342">
        <v>1</v>
      </c>
      <c r="D41" s="406">
        <v>3381298897</v>
      </c>
      <c r="E41" s="342">
        <v>1</v>
      </c>
      <c r="F41" s="24">
        <f>((D41-B41)/B41)</f>
        <v>-1.3010261110758703E-2</v>
      </c>
      <c r="G41" s="24">
        <f>((E41-C41)/C41)</f>
        <v>0</v>
      </c>
      <c r="H41" s="406">
        <v>3426088899.6900001</v>
      </c>
      <c r="I41" s="342">
        <v>1</v>
      </c>
      <c r="J41" s="24">
        <f t="shared" si="20"/>
        <v>1.3246389643263785E-2</v>
      </c>
      <c r="K41" s="24">
        <f t="shared" si="21"/>
        <v>0</v>
      </c>
      <c r="L41" s="406">
        <v>3543416652.5999999</v>
      </c>
      <c r="M41" s="342">
        <v>1</v>
      </c>
      <c r="N41" s="24">
        <f t="shared" si="22"/>
        <v>3.4245390690421346E-2</v>
      </c>
      <c r="O41" s="24">
        <f t="shared" si="23"/>
        <v>0</v>
      </c>
      <c r="P41" s="406">
        <v>3433910989.7600002</v>
      </c>
      <c r="Q41" s="342">
        <v>1</v>
      </c>
      <c r="R41" s="24">
        <f t="shared" si="24"/>
        <v>-3.0903975901239087E-2</v>
      </c>
      <c r="S41" s="24">
        <f t="shared" si="25"/>
        <v>0</v>
      </c>
      <c r="T41" s="406">
        <v>3450376869.5100002</v>
      </c>
      <c r="U41" s="342">
        <v>1</v>
      </c>
      <c r="V41" s="24">
        <f t="shared" si="26"/>
        <v>4.7950805361879276E-3</v>
      </c>
      <c r="W41" s="24">
        <f t="shared" si="27"/>
        <v>0</v>
      </c>
      <c r="X41" s="406">
        <v>3405676489.3499999</v>
      </c>
      <c r="Y41" s="342">
        <v>1</v>
      </c>
      <c r="Z41" s="24">
        <f t="shared" si="28"/>
        <v>-1.2955216734439903E-2</v>
      </c>
      <c r="AA41" s="24">
        <f t="shared" si="29"/>
        <v>0</v>
      </c>
      <c r="AB41" s="406">
        <v>3381518075.29</v>
      </c>
      <c r="AC41" s="342">
        <v>1</v>
      </c>
      <c r="AD41" s="24">
        <f t="shared" si="30"/>
        <v>-7.0935727851857023E-3</v>
      </c>
      <c r="AE41" s="24">
        <f t="shared" si="31"/>
        <v>0</v>
      </c>
      <c r="AF41" s="406">
        <v>3456092475.77</v>
      </c>
      <c r="AG41" s="342">
        <v>1</v>
      </c>
      <c r="AH41" s="24">
        <f t="shared" si="32"/>
        <v>2.2053527090374787E-2</v>
      </c>
      <c r="AI41" s="24">
        <f t="shared" si="33"/>
        <v>0</v>
      </c>
      <c r="AJ41" s="25">
        <f t="shared" si="14"/>
        <v>1.2971701785780565E-3</v>
      </c>
      <c r="AK41" s="25">
        <f t="shared" si="15"/>
        <v>0</v>
      </c>
      <c r="AL41" s="26">
        <f t="shared" si="16"/>
        <v>2.2119777354305859E-2</v>
      </c>
      <c r="AM41" s="26">
        <f t="shared" si="17"/>
        <v>0</v>
      </c>
      <c r="AN41" s="27">
        <f t="shared" si="18"/>
        <v>2.1336026906175028E-2</v>
      </c>
      <c r="AO41" s="84">
        <f t="shared" si="19"/>
        <v>0</v>
      </c>
      <c r="AP41" s="31"/>
      <c r="AQ41" s="39"/>
      <c r="AR41" s="36"/>
      <c r="AS41" s="30"/>
      <c r="AT41" s="30"/>
    </row>
    <row r="42" spans="1:47" s="94" customFormat="1">
      <c r="A42" s="216" t="s">
        <v>131</v>
      </c>
      <c r="B42" s="385">
        <v>562082669.73000002</v>
      </c>
      <c r="C42" s="342">
        <v>10</v>
      </c>
      <c r="D42" s="385">
        <v>548058963.17999995</v>
      </c>
      <c r="E42" s="342">
        <v>10</v>
      </c>
      <c r="F42" s="24">
        <f>((D42-B42)/B42)</f>
        <v>-2.4949544444656954E-2</v>
      </c>
      <c r="G42" s="24">
        <f>((E42-C42)/C42)</f>
        <v>0</v>
      </c>
      <c r="H42" s="385">
        <v>557265275.24000001</v>
      </c>
      <c r="I42" s="342">
        <v>10</v>
      </c>
      <c r="J42" s="24">
        <f t="shared" si="20"/>
        <v>1.6798032106951268E-2</v>
      </c>
      <c r="K42" s="24">
        <f t="shared" si="21"/>
        <v>0</v>
      </c>
      <c r="L42" s="385">
        <v>557265275.24000001</v>
      </c>
      <c r="M42" s="342">
        <v>10</v>
      </c>
      <c r="N42" s="24">
        <f t="shared" si="22"/>
        <v>0</v>
      </c>
      <c r="O42" s="24">
        <f t="shared" si="23"/>
        <v>0</v>
      </c>
      <c r="P42" s="385">
        <v>535648257.05000001</v>
      </c>
      <c r="Q42" s="342">
        <v>10</v>
      </c>
      <c r="R42" s="24">
        <f t="shared" si="24"/>
        <v>-3.8791252838587684E-2</v>
      </c>
      <c r="S42" s="24">
        <f t="shared" si="25"/>
        <v>0</v>
      </c>
      <c r="T42" s="385">
        <v>540837911.65999997</v>
      </c>
      <c r="U42" s="342">
        <v>10</v>
      </c>
      <c r="V42" s="24">
        <f t="shared" si="26"/>
        <v>9.6885494196904051E-3</v>
      </c>
      <c r="W42" s="24">
        <f t="shared" si="27"/>
        <v>0</v>
      </c>
      <c r="X42" s="385">
        <v>545763593.88999999</v>
      </c>
      <c r="Y42" s="342">
        <v>10</v>
      </c>
      <c r="Z42" s="24">
        <f t="shared" si="28"/>
        <v>9.1075017557137716E-3</v>
      </c>
      <c r="AA42" s="24">
        <f t="shared" si="29"/>
        <v>0</v>
      </c>
      <c r="AB42" s="385">
        <v>549338285.57000005</v>
      </c>
      <c r="AC42" s="342">
        <v>10</v>
      </c>
      <c r="AD42" s="24">
        <f t="shared" si="30"/>
        <v>6.5498903188484841E-3</v>
      </c>
      <c r="AE42" s="24">
        <f t="shared" si="31"/>
        <v>0</v>
      </c>
      <c r="AF42" s="385">
        <v>547999203.91999996</v>
      </c>
      <c r="AG42" s="342">
        <v>10</v>
      </c>
      <c r="AH42" s="24">
        <f t="shared" si="32"/>
        <v>-2.4376266595193671E-3</v>
      </c>
      <c r="AI42" s="24">
        <f t="shared" si="33"/>
        <v>0</v>
      </c>
      <c r="AJ42" s="25">
        <f t="shared" si="14"/>
        <v>-3.0043062926950088E-3</v>
      </c>
      <c r="AK42" s="25">
        <f t="shared" si="15"/>
        <v>0</v>
      </c>
      <c r="AL42" s="26">
        <f t="shared" si="16"/>
        <v>-1.0903801235773901E-4</v>
      </c>
      <c r="AM42" s="26">
        <f t="shared" si="17"/>
        <v>0</v>
      </c>
      <c r="AN42" s="27">
        <f t="shared" si="18"/>
        <v>1.9134358632929546E-2</v>
      </c>
      <c r="AO42" s="84">
        <f t="shared" si="19"/>
        <v>0</v>
      </c>
      <c r="AP42" s="31"/>
      <c r="AQ42" s="39"/>
      <c r="AR42" s="36"/>
      <c r="AS42" s="30"/>
      <c r="AT42" s="30"/>
    </row>
    <row r="43" spans="1:47" s="94" customFormat="1">
      <c r="A43" s="216" t="s">
        <v>141</v>
      </c>
      <c r="B43" s="385">
        <v>591707454.80999994</v>
      </c>
      <c r="C43" s="342">
        <v>1</v>
      </c>
      <c r="D43" s="385">
        <v>608579093.09000003</v>
      </c>
      <c r="E43" s="342">
        <v>1</v>
      </c>
      <c r="F43" s="24">
        <f>((D43-B43)/B43)</f>
        <v>2.8513479326397289E-2</v>
      </c>
      <c r="G43" s="24">
        <f>((E43-C43)/C43)</f>
        <v>0</v>
      </c>
      <c r="H43" s="385">
        <v>604903703.10000002</v>
      </c>
      <c r="I43" s="342">
        <v>1</v>
      </c>
      <c r="J43" s="24">
        <f t="shared" si="20"/>
        <v>-6.0392971624092127E-3</v>
      </c>
      <c r="K43" s="24">
        <f t="shared" si="21"/>
        <v>0</v>
      </c>
      <c r="L43" s="385">
        <v>621779090.69000006</v>
      </c>
      <c r="M43" s="342">
        <v>1</v>
      </c>
      <c r="N43" s="24">
        <f t="shared" si="22"/>
        <v>2.789764305213762E-2</v>
      </c>
      <c r="O43" s="24">
        <f t="shared" si="23"/>
        <v>0</v>
      </c>
      <c r="P43" s="385">
        <v>640285265.87</v>
      </c>
      <c r="Q43" s="342">
        <v>1</v>
      </c>
      <c r="R43" s="24">
        <f t="shared" si="24"/>
        <v>2.9763263926201336E-2</v>
      </c>
      <c r="S43" s="24">
        <f t="shared" si="25"/>
        <v>0</v>
      </c>
      <c r="T43" s="385">
        <v>642927561.24000001</v>
      </c>
      <c r="U43" s="342">
        <v>1</v>
      </c>
      <c r="V43" s="24">
        <f t="shared" si="26"/>
        <v>4.1267471092119147E-3</v>
      </c>
      <c r="W43" s="24">
        <f t="shared" si="27"/>
        <v>0</v>
      </c>
      <c r="X43" s="385">
        <v>649009247.21000004</v>
      </c>
      <c r="Y43" s="342">
        <v>1</v>
      </c>
      <c r="Z43" s="24">
        <f t="shared" si="28"/>
        <v>9.4593642217957134E-3</v>
      </c>
      <c r="AA43" s="24">
        <f t="shared" si="29"/>
        <v>0</v>
      </c>
      <c r="AB43" s="385">
        <v>702862185.64999998</v>
      </c>
      <c r="AC43" s="342">
        <v>1</v>
      </c>
      <c r="AD43" s="24">
        <f t="shared" si="30"/>
        <v>8.2977151206251973E-2</v>
      </c>
      <c r="AE43" s="24">
        <f t="shared" si="31"/>
        <v>0</v>
      </c>
      <c r="AF43" s="385">
        <v>745348814.19000006</v>
      </c>
      <c r="AG43" s="342">
        <v>1</v>
      </c>
      <c r="AH43" s="24">
        <f t="shared" si="32"/>
        <v>6.0448021543097911E-2</v>
      </c>
      <c r="AI43" s="24">
        <f t="shared" si="33"/>
        <v>0</v>
      </c>
      <c r="AJ43" s="25">
        <f t="shared" si="14"/>
        <v>2.964329665283557E-2</v>
      </c>
      <c r="AK43" s="25">
        <f t="shared" si="15"/>
        <v>0</v>
      </c>
      <c r="AL43" s="26">
        <f t="shared" si="16"/>
        <v>0.22473614794350774</v>
      </c>
      <c r="AM43" s="26">
        <f t="shared" si="17"/>
        <v>0</v>
      </c>
      <c r="AN43" s="27">
        <f t="shared" si="18"/>
        <v>2.9591268580197966E-2</v>
      </c>
      <c r="AO43" s="84">
        <f t="shared" si="19"/>
        <v>0</v>
      </c>
      <c r="AP43" s="31"/>
      <c r="AQ43" s="39"/>
      <c r="AR43" s="36"/>
      <c r="AS43" s="30"/>
      <c r="AT43" s="30"/>
    </row>
    <row r="44" spans="1:47" s="94" customFormat="1">
      <c r="A44" s="216" t="s">
        <v>179</v>
      </c>
      <c r="B44" s="385">
        <v>7443397387.1399994</v>
      </c>
      <c r="C44" s="342">
        <v>100</v>
      </c>
      <c r="D44" s="385">
        <v>7557726874.7799988</v>
      </c>
      <c r="E44" s="342">
        <v>100</v>
      </c>
      <c r="F44" s="24">
        <f>((D44-B44)/B44)</f>
        <v>1.5359852724983769E-2</v>
      </c>
      <c r="G44" s="24">
        <f>((E44-C44)/C44)</f>
        <v>0</v>
      </c>
      <c r="H44" s="385">
        <v>8051757533.4700003</v>
      </c>
      <c r="I44" s="342">
        <v>100</v>
      </c>
      <c r="J44" s="24">
        <f t="shared" si="20"/>
        <v>6.5367625329061985E-2</v>
      </c>
      <c r="K44" s="24">
        <f t="shared" si="21"/>
        <v>0</v>
      </c>
      <c r="L44" s="385">
        <v>8363312741.2300005</v>
      </c>
      <c r="M44" s="342">
        <v>100</v>
      </c>
      <c r="N44" s="24">
        <f t="shared" si="22"/>
        <v>3.8694062316818406E-2</v>
      </c>
      <c r="O44" s="24">
        <f t="shared" si="23"/>
        <v>0</v>
      </c>
      <c r="P44" s="385">
        <v>8374602897.71</v>
      </c>
      <c r="Q44" s="342">
        <v>100</v>
      </c>
      <c r="R44" s="24">
        <f t="shared" si="24"/>
        <v>1.3499622493298139E-3</v>
      </c>
      <c r="S44" s="24">
        <f t="shared" si="25"/>
        <v>0</v>
      </c>
      <c r="T44" s="385">
        <v>8377701168.6900005</v>
      </c>
      <c r="U44" s="342">
        <v>100</v>
      </c>
      <c r="V44" s="24">
        <f t="shared" si="26"/>
        <v>3.6996034532547271E-4</v>
      </c>
      <c r="W44" s="24">
        <f t="shared" si="27"/>
        <v>0</v>
      </c>
      <c r="X44" s="385">
        <v>8419801649.0600004</v>
      </c>
      <c r="Y44" s="342">
        <v>100</v>
      </c>
      <c r="Z44" s="24">
        <f t="shared" si="28"/>
        <v>5.025302230562018E-3</v>
      </c>
      <c r="AA44" s="24">
        <f t="shared" si="29"/>
        <v>0</v>
      </c>
      <c r="AB44" s="385">
        <v>9009234563.539999</v>
      </c>
      <c r="AC44" s="342">
        <v>100</v>
      </c>
      <c r="AD44" s="24">
        <f t="shared" si="30"/>
        <v>7.0005558212384231E-2</v>
      </c>
      <c r="AE44" s="24">
        <f t="shared" si="31"/>
        <v>0</v>
      </c>
      <c r="AF44" s="385">
        <v>9916730673.4899998</v>
      </c>
      <c r="AG44" s="342">
        <v>100</v>
      </c>
      <c r="AH44" s="24">
        <f t="shared" si="32"/>
        <v>0.10072954628383193</v>
      </c>
      <c r="AI44" s="24">
        <f t="shared" si="33"/>
        <v>0</v>
      </c>
      <c r="AJ44" s="25">
        <f t="shared" si="14"/>
        <v>3.7112733711537199E-2</v>
      </c>
      <c r="AK44" s="25">
        <f t="shared" si="15"/>
        <v>0</v>
      </c>
      <c r="AL44" s="26">
        <f t="shared" si="16"/>
        <v>0.31213139053515615</v>
      </c>
      <c r="AM44" s="26">
        <f t="shared" si="17"/>
        <v>0</v>
      </c>
      <c r="AN44" s="27">
        <f t="shared" si="18"/>
        <v>3.7912822093282568E-2</v>
      </c>
      <c r="AO44" s="84">
        <f t="shared" si="19"/>
        <v>0</v>
      </c>
      <c r="AP44" s="31"/>
      <c r="AQ44" s="39"/>
      <c r="AR44" s="36"/>
      <c r="AS44" s="30"/>
      <c r="AT44" s="30"/>
    </row>
    <row r="45" spans="1:47" s="94" customFormat="1">
      <c r="A45" s="216" t="s">
        <v>144</v>
      </c>
      <c r="B45" s="376">
        <v>271099998</v>
      </c>
      <c r="C45" s="342">
        <v>1</v>
      </c>
      <c r="D45" s="376">
        <v>271481158.62</v>
      </c>
      <c r="E45" s="342">
        <v>1</v>
      </c>
      <c r="F45" s="24">
        <f>((D45-B45)/B45)</f>
        <v>1.405977952091334E-3</v>
      </c>
      <c r="G45" s="24">
        <f>((E45-C45)/C45)</f>
        <v>0</v>
      </c>
      <c r="H45" s="376">
        <v>271928149.94999999</v>
      </c>
      <c r="I45" s="342">
        <v>1</v>
      </c>
      <c r="J45" s="24">
        <f t="shared" si="20"/>
        <v>1.6464911681979741E-3</v>
      </c>
      <c r="K45" s="24">
        <f t="shared" si="21"/>
        <v>0</v>
      </c>
      <c r="L45" s="376">
        <v>273951338.25</v>
      </c>
      <c r="M45" s="342">
        <v>1</v>
      </c>
      <c r="N45" s="24">
        <f t="shared" si="22"/>
        <v>7.4401576312420024E-3</v>
      </c>
      <c r="O45" s="24">
        <f t="shared" si="23"/>
        <v>0</v>
      </c>
      <c r="P45" s="376">
        <v>273636532.5</v>
      </c>
      <c r="Q45" s="342">
        <v>1</v>
      </c>
      <c r="R45" s="24">
        <f t="shared" si="24"/>
        <v>-1.1491301776840289E-3</v>
      </c>
      <c r="S45" s="24">
        <f t="shared" si="25"/>
        <v>0</v>
      </c>
      <c r="T45" s="376">
        <v>230763619.41</v>
      </c>
      <c r="U45" s="342">
        <v>1</v>
      </c>
      <c r="V45" s="24">
        <f t="shared" si="26"/>
        <v>-0.15667832324252978</v>
      </c>
      <c r="W45" s="24">
        <f t="shared" si="27"/>
        <v>0</v>
      </c>
      <c r="X45" s="430">
        <v>273120839.00999999</v>
      </c>
      <c r="Y45" s="342">
        <v>1</v>
      </c>
      <c r="Z45" s="24">
        <f t="shared" si="28"/>
        <v>0.18355241484032847</v>
      </c>
      <c r="AA45" s="24">
        <f t="shared" si="29"/>
        <v>0</v>
      </c>
      <c r="AB45" s="385">
        <v>273453910.26999998</v>
      </c>
      <c r="AC45" s="342">
        <v>1</v>
      </c>
      <c r="AD45" s="24">
        <f t="shared" si="30"/>
        <v>1.2195014529367181E-3</v>
      </c>
      <c r="AE45" s="24">
        <f t="shared" si="31"/>
        <v>0</v>
      </c>
      <c r="AF45" s="385">
        <v>298788464.45999998</v>
      </c>
      <c r="AG45" s="342">
        <v>1</v>
      </c>
      <c r="AH45" s="24">
        <f t="shared" si="32"/>
        <v>9.2646523741369932E-2</v>
      </c>
      <c r="AI45" s="24">
        <f t="shared" si="33"/>
        <v>0</v>
      </c>
      <c r="AJ45" s="25">
        <f t="shared" si="14"/>
        <v>1.6260451670744077E-2</v>
      </c>
      <c r="AK45" s="25">
        <f t="shared" si="15"/>
        <v>0</v>
      </c>
      <c r="AL45" s="26">
        <f t="shared" si="16"/>
        <v>0.10058637578684713</v>
      </c>
      <c r="AM45" s="26">
        <f t="shared" si="17"/>
        <v>0</v>
      </c>
      <c r="AN45" s="27">
        <f t="shared" si="18"/>
        <v>9.619221631532468E-2</v>
      </c>
      <c r="AO45" s="84">
        <f t="shared" si="19"/>
        <v>0</v>
      </c>
      <c r="AP45" s="31"/>
      <c r="AQ45" s="39"/>
      <c r="AR45" s="36"/>
      <c r="AS45" s="30"/>
      <c r="AT45" s="30"/>
    </row>
    <row r="46" spans="1:47" s="94" customFormat="1">
      <c r="A46" s="216" t="s">
        <v>149</v>
      </c>
      <c r="B46" s="385">
        <v>426340800.07999998</v>
      </c>
      <c r="C46" s="342">
        <v>100</v>
      </c>
      <c r="D46" s="385">
        <v>399952168.55000001</v>
      </c>
      <c r="E46" s="342">
        <v>100</v>
      </c>
      <c r="F46" s="24">
        <f>((D46-B46)/B46)</f>
        <v>-6.1895627922657938E-2</v>
      </c>
      <c r="G46" s="24">
        <f>((E46-C46)/C46)</f>
        <v>0</v>
      </c>
      <c r="H46" s="385">
        <v>414441365.91000003</v>
      </c>
      <c r="I46" s="342">
        <v>100</v>
      </c>
      <c r="J46" s="24">
        <f t="shared" si="20"/>
        <v>3.622732541376044E-2</v>
      </c>
      <c r="K46" s="24">
        <f t="shared" si="21"/>
        <v>0</v>
      </c>
      <c r="L46" s="385">
        <v>412658968.36000001</v>
      </c>
      <c r="M46" s="342">
        <v>100</v>
      </c>
      <c r="N46" s="24">
        <f t="shared" si="22"/>
        <v>-4.300723085607909E-3</v>
      </c>
      <c r="O46" s="24">
        <f t="shared" si="23"/>
        <v>0</v>
      </c>
      <c r="P46" s="385">
        <v>420974098.88999999</v>
      </c>
      <c r="Q46" s="342">
        <v>100</v>
      </c>
      <c r="R46" s="24">
        <f t="shared" si="24"/>
        <v>2.0150126781555672E-2</v>
      </c>
      <c r="S46" s="24">
        <f t="shared" si="25"/>
        <v>0</v>
      </c>
      <c r="T46" s="385">
        <v>429020055.66000003</v>
      </c>
      <c r="U46" s="342">
        <v>100</v>
      </c>
      <c r="V46" s="24">
        <f t="shared" si="26"/>
        <v>1.9112712138858783E-2</v>
      </c>
      <c r="W46" s="24">
        <f t="shared" si="27"/>
        <v>0</v>
      </c>
      <c r="X46" s="385">
        <v>434932968.81999999</v>
      </c>
      <c r="Y46" s="342">
        <v>100</v>
      </c>
      <c r="Z46" s="24">
        <f t="shared" si="28"/>
        <v>1.3782370036066501E-2</v>
      </c>
      <c r="AA46" s="24">
        <f t="shared" si="29"/>
        <v>0</v>
      </c>
      <c r="AB46" s="385">
        <v>442217360.69999999</v>
      </c>
      <c r="AC46" s="342">
        <v>100</v>
      </c>
      <c r="AD46" s="24">
        <f t="shared" si="30"/>
        <v>1.6748309284906591E-2</v>
      </c>
      <c r="AE46" s="24">
        <f t="shared" si="31"/>
        <v>0</v>
      </c>
      <c r="AF46" s="385">
        <v>441684363.88</v>
      </c>
      <c r="AG46" s="342">
        <v>100</v>
      </c>
      <c r="AH46" s="24">
        <f t="shared" si="32"/>
        <v>-1.2052824410970549E-3</v>
      </c>
      <c r="AI46" s="24">
        <f t="shared" si="33"/>
        <v>0</v>
      </c>
      <c r="AJ46" s="25">
        <f t="shared" si="14"/>
        <v>4.8274012757231347E-3</v>
      </c>
      <c r="AK46" s="25">
        <f t="shared" si="15"/>
        <v>0</v>
      </c>
      <c r="AL46" s="26">
        <f t="shared" si="16"/>
        <v>0.10434296551334446</v>
      </c>
      <c r="AM46" s="26">
        <f t="shared" si="17"/>
        <v>0</v>
      </c>
      <c r="AN46" s="27">
        <f t="shared" si="18"/>
        <v>2.9806014074610792E-2</v>
      </c>
      <c r="AO46" s="84">
        <f t="shared" si="19"/>
        <v>0</v>
      </c>
      <c r="AP46" s="31"/>
      <c r="AQ46" s="39"/>
      <c r="AR46" s="36"/>
      <c r="AS46" s="30"/>
      <c r="AT46" s="30"/>
    </row>
    <row r="47" spans="1:47" s="101" customFormat="1">
      <c r="A47" s="216" t="s">
        <v>161</v>
      </c>
      <c r="B47" s="385">
        <v>510068353.81999999</v>
      </c>
      <c r="C47" s="342">
        <v>1</v>
      </c>
      <c r="D47" s="385">
        <v>566890118.61000001</v>
      </c>
      <c r="E47" s="342">
        <v>1</v>
      </c>
      <c r="F47" s="24">
        <f>((D47-B47)/B47)</f>
        <v>0.11140029442024955</v>
      </c>
      <c r="G47" s="24">
        <f>((E47-C47)/C47)</f>
        <v>0</v>
      </c>
      <c r="H47" s="385">
        <v>586152133.34000003</v>
      </c>
      <c r="I47" s="342">
        <v>1</v>
      </c>
      <c r="J47" s="24">
        <f t="shared" si="20"/>
        <v>3.3978392103975956E-2</v>
      </c>
      <c r="K47" s="24">
        <f t="shared" si="21"/>
        <v>0</v>
      </c>
      <c r="L47" s="385">
        <v>613379939.86000001</v>
      </c>
      <c r="M47" s="342">
        <v>1</v>
      </c>
      <c r="N47" s="24">
        <f t="shared" si="22"/>
        <v>4.6451774157761833E-2</v>
      </c>
      <c r="O47" s="24">
        <f t="shared" si="23"/>
        <v>0</v>
      </c>
      <c r="P47" s="385">
        <v>621279222.47000003</v>
      </c>
      <c r="Q47" s="342">
        <v>1</v>
      </c>
      <c r="R47" s="24">
        <f t="shared" si="24"/>
        <v>1.2878286518145628E-2</v>
      </c>
      <c r="S47" s="24">
        <f t="shared" si="25"/>
        <v>0</v>
      </c>
      <c r="T47" s="385">
        <v>638236296.75999999</v>
      </c>
      <c r="U47" s="342">
        <v>1</v>
      </c>
      <c r="V47" s="24">
        <f t="shared" si="26"/>
        <v>2.7293805549434377E-2</v>
      </c>
      <c r="W47" s="24">
        <f t="shared" si="27"/>
        <v>0</v>
      </c>
      <c r="X47" s="385">
        <v>677833734.87</v>
      </c>
      <c r="Y47" s="342">
        <v>1</v>
      </c>
      <c r="Z47" s="24">
        <f t="shared" si="28"/>
        <v>6.204197146263226E-2</v>
      </c>
      <c r="AA47" s="24">
        <f t="shared" si="29"/>
        <v>0</v>
      </c>
      <c r="AB47" s="385">
        <v>695101758.38</v>
      </c>
      <c r="AC47" s="342">
        <v>1</v>
      </c>
      <c r="AD47" s="24">
        <f t="shared" si="30"/>
        <v>2.5475308503658024E-2</v>
      </c>
      <c r="AE47" s="24">
        <f t="shared" si="31"/>
        <v>0</v>
      </c>
      <c r="AF47" s="385">
        <v>697420849.95000005</v>
      </c>
      <c r="AG47" s="342">
        <v>1</v>
      </c>
      <c r="AH47" s="24">
        <f t="shared" si="32"/>
        <v>3.3363339137638111E-3</v>
      </c>
      <c r="AI47" s="24">
        <f t="shared" si="33"/>
        <v>0</v>
      </c>
      <c r="AJ47" s="25">
        <f t="shared" si="14"/>
        <v>4.0357020828702676E-2</v>
      </c>
      <c r="AK47" s="25">
        <f t="shared" si="15"/>
        <v>0</v>
      </c>
      <c r="AL47" s="26">
        <f t="shared" si="16"/>
        <v>0.23025755266304171</v>
      </c>
      <c r="AM47" s="26">
        <f t="shared" si="17"/>
        <v>0</v>
      </c>
      <c r="AN47" s="27">
        <f t="shared" si="18"/>
        <v>3.4043966915218285E-2</v>
      </c>
      <c r="AO47" s="84">
        <f t="shared" si="19"/>
        <v>0</v>
      </c>
      <c r="AP47" s="31"/>
      <c r="AQ47" s="39"/>
      <c r="AR47" s="36"/>
      <c r="AS47" s="30"/>
      <c r="AT47" s="30"/>
    </row>
    <row r="48" spans="1:47" s="101" customFormat="1">
      <c r="A48" s="216" t="s">
        <v>169</v>
      </c>
      <c r="B48" s="385">
        <v>1593065799.0699999</v>
      </c>
      <c r="C48" s="342">
        <v>1</v>
      </c>
      <c r="D48" s="385">
        <v>1596965266.4200001</v>
      </c>
      <c r="E48" s="342">
        <v>1</v>
      </c>
      <c r="F48" s="24">
        <f>((D48-B48)/B48)</f>
        <v>2.4477754479925277E-3</v>
      </c>
      <c r="G48" s="24">
        <f>((E48-C48)/C48)</f>
        <v>0</v>
      </c>
      <c r="H48" s="385">
        <v>1101068549.9400001</v>
      </c>
      <c r="I48" s="342">
        <v>1</v>
      </c>
      <c r="J48" s="24">
        <f t="shared" si="20"/>
        <v>-0.31052442210698633</v>
      </c>
      <c r="K48" s="24">
        <f t="shared" si="21"/>
        <v>0</v>
      </c>
      <c r="L48" s="385">
        <v>1104049038.9100001</v>
      </c>
      <c r="M48" s="342">
        <v>1</v>
      </c>
      <c r="N48" s="24">
        <f t="shared" si="22"/>
        <v>2.7069059144069121E-3</v>
      </c>
      <c r="O48" s="24">
        <f t="shared" si="23"/>
        <v>0</v>
      </c>
      <c r="P48" s="385">
        <v>1090109315.4100001</v>
      </c>
      <c r="Q48" s="342">
        <v>1</v>
      </c>
      <c r="R48" s="24">
        <f t="shared" si="24"/>
        <v>-1.2626000303177058E-2</v>
      </c>
      <c r="S48" s="24">
        <f t="shared" si="25"/>
        <v>0</v>
      </c>
      <c r="T48" s="385">
        <v>1112434252.27</v>
      </c>
      <c r="U48" s="342">
        <v>1</v>
      </c>
      <c r="V48" s="24">
        <f t="shared" si="26"/>
        <v>2.0479539569481876E-2</v>
      </c>
      <c r="W48" s="24">
        <f t="shared" si="27"/>
        <v>0</v>
      </c>
      <c r="X48" s="385">
        <v>941319300.09000003</v>
      </c>
      <c r="Y48" s="342">
        <v>1</v>
      </c>
      <c r="Z48" s="24">
        <f t="shared" si="28"/>
        <v>-0.15382028360851702</v>
      </c>
      <c r="AA48" s="24">
        <f t="shared" si="29"/>
        <v>0</v>
      </c>
      <c r="AB48" s="385">
        <v>942664777.26999998</v>
      </c>
      <c r="AC48" s="342">
        <v>1</v>
      </c>
      <c r="AD48" s="24">
        <f t="shared" si="30"/>
        <v>1.4293525904242117E-3</v>
      </c>
      <c r="AE48" s="24">
        <f t="shared" si="31"/>
        <v>0</v>
      </c>
      <c r="AF48" s="385">
        <v>928082945.66999996</v>
      </c>
      <c r="AG48" s="342">
        <v>1</v>
      </c>
      <c r="AH48" s="24">
        <f t="shared" si="32"/>
        <v>-1.5468734964543462E-2</v>
      </c>
      <c r="AI48" s="24">
        <f t="shared" si="33"/>
        <v>0</v>
      </c>
      <c r="AJ48" s="25">
        <f t="shared" si="14"/>
        <v>-5.8171983432614795E-2</v>
      </c>
      <c r="AK48" s="25">
        <f t="shared" si="15"/>
        <v>0</v>
      </c>
      <c r="AL48" s="26">
        <f t="shared" si="16"/>
        <v>-0.41884587900240833</v>
      </c>
      <c r="AM48" s="26">
        <f t="shared" si="17"/>
        <v>0</v>
      </c>
      <c r="AN48" s="27">
        <f t="shared" si="18"/>
        <v>0.11578781721107995</v>
      </c>
      <c r="AO48" s="84">
        <f t="shared" si="19"/>
        <v>0</v>
      </c>
      <c r="AP48" s="31"/>
      <c r="AQ48" s="39"/>
      <c r="AR48" s="36"/>
      <c r="AS48" s="30"/>
      <c r="AT48" s="30"/>
    </row>
    <row r="49" spans="1:48" s="112" customFormat="1">
      <c r="A49" s="216" t="s">
        <v>174</v>
      </c>
      <c r="B49" s="385">
        <v>135352313.33000001</v>
      </c>
      <c r="C49" s="342">
        <v>1</v>
      </c>
      <c r="D49" s="385">
        <v>135352313.27000001</v>
      </c>
      <c r="E49" s="342">
        <v>1</v>
      </c>
      <c r="F49" s="24">
        <f>((D49-B49)/B49)</f>
        <v>-4.4328760187423523E-10</v>
      </c>
      <c r="G49" s="24">
        <f>((E49-C49)/C49)</f>
        <v>0</v>
      </c>
      <c r="H49" s="385">
        <v>136542928.21000001</v>
      </c>
      <c r="I49" s="342">
        <v>1</v>
      </c>
      <c r="J49" s="24">
        <f t="shared" si="20"/>
        <v>8.7964136794985229E-3</v>
      </c>
      <c r="K49" s="24">
        <f t="shared" si="21"/>
        <v>0</v>
      </c>
      <c r="L49" s="385">
        <v>136542928.19999999</v>
      </c>
      <c r="M49" s="342">
        <v>1</v>
      </c>
      <c r="N49" s="24">
        <f t="shared" si="22"/>
        <v>-7.3237189187853166E-11</v>
      </c>
      <c r="O49" s="24">
        <f t="shared" si="23"/>
        <v>0</v>
      </c>
      <c r="P49" s="385">
        <v>136522928.31999999</v>
      </c>
      <c r="Q49" s="342">
        <v>1</v>
      </c>
      <c r="R49" s="24">
        <f t="shared" si="24"/>
        <v>-1.4647320270369911E-4</v>
      </c>
      <c r="S49" s="24">
        <f t="shared" si="25"/>
        <v>0</v>
      </c>
      <c r="T49" s="385">
        <v>136922925.28</v>
      </c>
      <c r="U49" s="342">
        <v>1</v>
      </c>
      <c r="V49" s="24">
        <f t="shared" si="26"/>
        <v>2.9298885170587906E-3</v>
      </c>
      <c r="W49" s="24">
        <f t="shared" si="27"/>
        <v>0</v>
      </c>
      <c r="X49" s="385">
        <v>137522920.72999999</v>
      </c>
      <c r="Y49" s="342">
        <v>1</v>
      </c>
      <c r="Z49" s="24">
        <f t="shared" si="28"/>
        <v>4.3819940946560245E-3</v>
      </c>
      <c r="AA49" s="24">
        <f t="shared" si="29"/>
        <v>0</v>
      </c>
      <c r="AB49" s="385">
        <v>137411921.59</v>
      </c>
      <c r="AC49" s="342">
        <v>1</v>
      </c>
      <c r="AD49" s="24">
        <f t="shared" si="30"/>
        <v>-8.0713192688738281E-4</v>
      </c>
      <c r="AE49" s="24">
        <f t="shared" si="31"/>
        <v>0</v>
      </c>
      <c r="AF49" s="385">
        <v>137391891.61000001</v>
      </c>
      <c r="AG49" s="342">
        <v>1</v>
      </c>
      <c r="AH49" s="24">
        <f t="shared" si="32"/>
        <v>-1.4576595515310026E-4</v>
      </c>
      <c r="AI49" s="24">
        <f t="shared" si="33"/>
        <v>0</v>
      </c>
      <c r="AJ49" s="25">
        <f t="shared" si="14"/>
        <v>1.8761155862430459E-3</v>
      </c>
      <c r="AK49" s="25">
        <f t="shared" si="15"/>
        <v>0</v>
      </c>
      <c r="AL49" s="26">
        <f t="shared" si="16"/>
        <v>1.5068662594125485E-2</v>
      </c>
      <c r="AM49" s="26">
        <f t="shared" si="17"/>
        <v>0</v>
      </c>
      <c r="AN49" s="27">
        <f t="shared" si="18"/>
        <v>3.3316383594155161E-3</v>
      </c>
      <c r="AO49" s="84">
        <f t="shared" si="19"/>
        <v>0</v>
      </c>
      <c r="AP49" s="31"/>
      <c r="AQ49" s="39"/>
      <c r="AR49" s="36"/>
      <c r="AS49" s="30"/>
      <c r="AT49" s="30"/>
    </row>
    <row r="50" spans="1:48" s="112" customFormat="1">
      <c r="A50" s="216" t="s">
        <v>185</v>
      </c>
      <c r="B50" s="385">
        <v>1025854810.76</v>
      </c>
      <c r="C50" s="342">
        <v>1</v>
      </c>
      <c r="D50" s="385">
        <v>1024436433.03</v>
      </c>
      <c r="E50" s="342">
        <v>1</v>
      </c>
      <c r="F50" s="24">
        <f>((D50-B50)/B50)</f>
        <v>-1.3826300906550511E-3</v>
      </c>
      <c r="G50" s="24">
        <f>((E50-C50)/C50)</f>
        <v>0</v>
      </c>
      <c r="H50" s="385">
        <v>1023287009.5599999</v>
      </c>
      <c r="I50" s="342">
        <v>1</v>
      </c>
      <c r="J50" s="24">
        <f t="shared" si="20"/>
        <v>-1.1220056539773303E-3</v>
      </c>
      <c r="K50" s="24">
        <f t="shared" si="21"/>
        <v>0</v>
      </c>
      <c r="L50" s="385">
        <v>1017047036.59</v>
      </c>
      <c r="M50" s="342">
        <v>1</v>
      </c>
      <c r="N50" s="24">
        <f t="shared" si="22"/>
        <v>-6.0979694960488322E-3</v>
      </c>
      <c r="O50" s="24">
        <f t="shared" si="23"/>
        <v>0</v>
      </c>
      <c r="P50" s="385">
        <v>1025200015.99</v>
      </c>
      <c r="Q50" s="342">
        <v>1</v>
      </c>
      <c r="R50" s="24">
        <f t="shared" si="24"/>
        <v>8.0163248175184141E-3</v>
      </c>
      <c r="S50" s="24">
        <f t="shared" si="25"/>
        <v>0</v>
      </c>
      <c r="T50" s="385">
        <v>1031879897.52</v>
      </c>
      <c r="U50" s="342">
        <v>1</v>
      </c>
      <c r="V50" s="24">
        <f t="shared" si="26"/>
        <v>6.5156861352069356E-3</v>
      </c>
      <c r="W50" s="24">
        <f t="shared" si="27"/>
        <v>0</v>
      </c>
      <c r="X50" s="385">
        <v>1037042805.53</v>
      </c>
      <c r="Y50" s="342">
        <v>1</v>
      </c>
      <c r="Z50" s="24">
        <f t="shared" si="28"/>
        <v>5.003400126708954E-3</v>
      </c>
      <c r="AA50" s="24">
        <f t="shared" si="29"/>
        <v>0</v>
      </c>
      <c r="AB50" s="385">
        <v>1084925020.8199999</v>
      </c>
      <c r="AC50" s="342">
        <v>1</v>
      </c>
      <c r="AD50" s="24">
        <f t="shared" si="30"/>
        <v>4.6171879342558932E-2</v>
      </c>
      <c r="AE50" s="24">
        <f t="shared" si="31"/>
        <v>0</v>
      </c>
      <c r="AF50" s="385">
        <v>1088639256.3900001</v>
      </c>
      <c r="AG50" s="342">
        <v>1</v>
      </c>
      <c r="AH50" s="24">
        <f t="shared" si="32"/>
        <v>3.4234951713003224E-3</v>
      </c>
      <c r="AI50" s="24">
        <f t="shared" si="33"/>
        <v>0</v>
      </c>
      <c r="AJ50" s="25">
        <f t="shared" si="14"/>
        <v>7.5660225440765429E-3</v>
      </c>
      <c r="AK50" s="25">
        <f t="shared" si="15"/>
        <v>0</v>
      </c>
      <c r="AL50" s="26">
        <f t="shared" si="16"/>
        <v>6.267135889545232E-2</v>
      </c>
      <c r="AM50" s="26">
        <f t="shared" si="17"/>
        <v>0</v>
      </c>
      <c r="AN50" s="27">
        <f t="shared" si="18"/>
        <v>1.6290709977347148E-2</v>
      </c>
      <c r="AO50" s="84">
        <f t="shared" si="19"/>
        <v>0</v>
      </c>
      <c r="AP50" s="31"/>
      <c r="AQ50" s="39"/>
      <c r="AR50" s="36"/>
      <c r="AS50" s="30"/>
      <c r="AT50" s="30"/>
    </row>
    <row r="51" spans="1:48" s="118" customFormat="1">
      <c r="A51" s="216" t="s">
        <v>195</v>
      </c>
      <c r="B51" s="385">
        <v>36923152.729999997</v>
      </c>
      <c r="C51" s="342">
        <v>100</v>
      </c>
      <c r="D51" s="385">
        <v>36923152.729999997</v>
      </c>
      <c r="E51" s="342">
        <v>100</v>
      </c>
      <c r="F51" s="24">
        <f>((D51-B51)/B51)</f>
        <v>0</v>
      </c>
      <c r="G51" s="24">
        <f>((E51-C51)/C51)</f>
        <v>0</v>
      </c>
      <c r="H51" s="385">
        <v>36923152.729999997</v>
      </c>
      <c r="I51" s="342">
        <v>100</v>
      </c>
      <c r="J51" s="24">
        <f t="shared" si="20"/>
        <v>0</v>
      </c>
      <c r="K51" s="24">
        <f t="shared" si="21"/>
        <v>0</v>
      </c>
      <c r="L51" s="385">
        <v>36923152.729999997</v>
      </c>
      <c r="M51" s="342">
        <v>100</v>
      </c>
      <c r="N51" s="24">
        <f t="shared" si="22"/>
        <v>0</v>
      </c>
      <c r="O51" s="24">
        <f t="shared" si="23"/>
        <v>0</v>
      </c>
      <c r="P51" s="385">
        <v>36923152.729999997</v>
      </c>
      <c r="Q51" s="342">
        <v>100</v>
      </c>
      <c r="R51" s="24">
        <f t="shared" si="24"/>
        <v>0</v>
      </c>
      <c r="S51" s="24">
        <f t="shared" si="25"/>
        <v>0</v>
      </c>
      <c r="T51" s="385">
        <v>38546362.039286934</v>
      </c>
      <c r="U51" s="342">
        <v>100</v>
      </c>
      <c r="V51" s="24">
        <f t="shared" si="26"/>
        <v>4.3961828534974545E-2</v>
      </c>
      <c r="W51" s="24">
        <f t="shared" si="27"/>
        <v>0</v>
      </c>
      <c r="X51" s="385">
        <v>38546362.039286934</v>
      </c>
      <c r="Y51" s="342">
        <v>100</v>
      </c>
      <c r="Z51" s="24">
        <f t="shared" si="28"/>
        <v>0</v>
      </c>
      <c r="AA51" s="24">
        <f t="shared" si="29"/>
        <v>0</v>
      </c>
      <c r="AB51" s="385">
        <v>36923152.729999997</v>
      </c>
      <c r="AC51" s="342">
        <v>100</v>
      </c>
      <c r="AD51" s="24">
        <f t="shared" si="30"/>
        <v>-4.2110570840188287E-2</v>
      </c>
      <c r="AE51" s="24">
        <f t="shared" si="31"/>
        <v>0</v>
      </c>
      <c r="AF51" s="385">
        <v>42423296.57</v>
      </c>
      <c r="AG51" s="342">
        <v>100</v>
      </c>
      <c r="AH51" s="24">
        <f t="shared" si="32"/>
        <v>0.14896192316565499</v>
      </c>
      <c r="AI51" s="24">
        <f t="shared" si="33"/>
        <v>0</v>
      </c>
      <c r="AJ51" s="25">
        <f t="shared" si="14"/>
        <v>1.8851647607555155E-2</v>
      </c>
      <c r="AK51" s="25">
        <f t="shared" si="15"/>
        <v>0</v>
      </c>
      <c r="AL51" s="26">
        <f t="shared" si="16"/>
        <v>0.14896192316565499</v>
      </c>
      <c r="AM51" s="26">
        <f t="shared" si="17"/>
        <v>0</v>
      </c>
      <c r="AN51" s="27">
        <f t="shared" si="18"/>
        <v>5.7386559100392635E-2</v>
      </c>
      <c r="AO51" s="84">
        <f t="shared" si="19"/>
        <v>0</v>
      </c>
      <c r="AP51" s="31"/>
      <c r="AQ51" s="39"/>
      <c r="AR51" s="36"/>
      <c r="AS51" s="30"/>
      <c r="AT51" s="30"/>
    </row>
    <row r="52" spans="1:48">
      <c r="A52" s="216" t="s">
        <v>204</v>
      </c>
      <c r="B52" s="385">
        <v>2615683146.5699997</v>
      </c>
      <c r="C52" s="342">
        <v>100</v>
      </c>
      <c r="D52" s="385">
        <v>2687777877.7799997</v>
      </c>
      <c r="E52" s="342">
        <v>100</v>
      </c>
      <c r="F52" s="24">
        <f>((D52-B52)/B52)</f>
        <v>2.75624864213922E-2</v>
      </c>
      <c r="G52" s="24">
        <f>((E52-C52)/C52)</f>
        <v>0</v>
      </c>
      <c r="H52" s="385">
        <v>2743322843.6199994</v>
      </c>
      <c r="I52" s="342">
        <v>100</v>
      </c>
      <c r="J52" s="24">
        <f t="shared" si="20"/>
        <v>2.0665757501463499E-2</v>
      </c>
      <c r="K52" s="24">
        <f t="shared" si="21"/>
        <v>0</v>
      </c>
      <c r="L52" s="385">
        <v>2835783650.5099998</v>
      </c>
      <c r="M52" s="342">
        <v>100</v>
      </c>
      <c r="N52" s="24">
        <f t="shared" si="22"/>
        <v>3.3703946695530763E-2</v>
      </c>
      <c r="O52" s="24">
        <f t="shared" si="23"/>
        <v>0</v>
      </c>
      <c r="P52" s="385">
        <v>2784419355.7399998</v>
      </c>
      <c r="Q52" s="342">
        <v>100</v>
      </c>
      <c r="R52" s="24">
        <f t="shared" si="24"/>
        <v>-1.8112910257015693E-2</v>
      </c>
      <c r="S52" s="24">
        <f t="shared" si="25"/>
        <v>0</v>
      </c>
      <c r="T52" s="385">
        <v>2893650266.5900002</v>
      </c>
      <c r="U52" s="342">
        <v>100</v>
      </c>
      <c r="V52" s="24">
        <f t="shared" si="26"/>
        <v>3.9229331826337158E-2</v>
      </c>
      <c r="W52" s="24">
        <f t="shared" si="27"/>
        <v>0</v>
      </c>
      <c r="X52" s="385">
        <v>2979051482.6799998</v>
      </c>
      <c r="Y52" s="342">
        <v>100</v>
      </c>
      <c r="Z52" s="24">
        <f t="shared" si="28"/>
        <v>2.9513316476437935E-2</v>
      </c>
      <c r="AA52" s="24">
        <f t="shared" si="29"/>
        <v>0</v>
      </c>
      <c r="AB52" s="385">
        <v>2999562470.8000002</v>
      </c>
      <c r="AC52" s="342">
        <v>100</v>
      </c>
      <c r="AD52" s="24">
        <f t="shared" si="30"/>
        <v>6.8850733997884344E-3</v>
      </c>
      <c r="AE52" s="24">
        <f t="shared" si="31"/>
        <v>0</v>
      </c>
      <c r="AF52" s="385">
        <v>3091518265.77</v>
      </c>
      <c r="AG52" s="342">
        <v>100</v>
      </c>
      <c r="AH52" s="24">
        <f t="shared" si="32"/>
        <v>3.065640268044648E-2</v>
      </c>
      <c r="AI52" s="24">
        <f t="shared" si="33"/>
        <v>0</v>
      </c>
      <c r="AJ52" s="25">
        <f t="shared" si="14"/>
        <v>2.1262925593047599E-2</v>
      </c>
      <c r="AK52" s="25">
        <f t="shared" si="15"/>
        <v>0</v>
      </c>
      <c r="AL52" s="26">
        <f t="shared" si="16"/>
        <v>0.15021345005022296</v>
      </c>
      <c r="AM52" s="26">
        <f t="shared" si="17"/>
        <v>0</v>
      </c>
      <c r="AN52" s="27">
        <f t="shared" si="18"/>
        <v>1.8635976265102289E-2</v>
      </c>
      <c r="AO52" s="84">
        <f t="shared" si="19"/>
        <v>0</v>
      </c>
      <c r="AP52" s="31"/>
      <c r="AQ52" s="40">
        <v>2266908745.4000001</v>
      </c>
      <c r="AR52" s="36">
        <v>1</v>
      </c>
      <c r="AS52" s="30" t="e">
        <f>(#REF!/AQ52)-1</f>
        <v>#REF!</v>
      </c>
      <c r="AT52" s="30" t="e">
        <f>(#REF!/AR52)-1</f>
        <v>#REF!</v>
      </c>
    </row>
    <row r="53" spans="1:48">
      <c r="A53" s="218" t="s">
        <v>46</v>
      </c>
      <c r="B53" s="81">
        <f>SUM(B24:B52)</f>
        <v>599441283293.77356</v>
      </c>
      <c r="C53" s="93"/>
      <c r="D53" s="81">
        <f>SUM(D24:D52)</f>
        <v>614697197461.63013</v>
      </c>
      <c r="E53" s="93"/>
      <c r="F53" s="24">
        <f>((D53-B53)/B53)</f>
        <v>2.545022272077975E-2</v>
      </c>
      <c r="G53" s="24"/>
      <c r="H53" s="81">
        <f>SUM(H24:H52)</f>
        <v>638005833111.39978</v>
      </c>
      <c r="I53" s="93"/>
      <c r="J53" s="24">
        <f>((H53-D53)/D53)</f>
        <v>3.7918890383788671E-2</v>
      </c>
      <c r="K53" s="24"/>
      <c r="L53" s="81">
        <f>SUM(L24:L52)</f>
        <v>652456174435.47937</v>
      </c>
      <c r="M53" s="93"/>
      <c r="N53" s="24">
        <f>((L53-H53)/H53)</f>
        <v>2.2649230734472722E-2</v>
      </c>
      <c r="O53" s="24"/>
      <c r="P53" s="81">
        <f>SUM(P24:P52)</f>
        <v>668991989528.35986</v>
      </c>
      <c r="Q53" s="93"/>
      <c r="R53" s="24">
        <f>((P53-L53)/L53)</f>
        <v>2.5343947594928768E-2</v>
      </c>
      <c r="S53" s="24"/>
      <c r="T53" s="81">
        <f>SUM(T24:T52)</f>
        <v>689393093044.69934</v>
      </c>
      <c r="U53" s="93"/>
      <c r="V53" s="24">
        <f>((T53-P53)/P53)</f>
        <v>3.049528818831191E-2</v>
      </c>
      <c r="W53" s="24"/>
      <c r="X53" s="81">
        <f>SUM(X24:X52)</f>
        <v>708387215249.38928</v>
      </c>
      <c r="Y53" s="93"/>
      <c r="Z53" s="24">
        <f>((X53-T53)/T53)</f>
        <v>2.7551947352420583E-2</v>
      </c>
      <c r="AA53" s="24"/>
      <c r="AB53" s="81">
        <f>SUM(AB24:AB52)</f>
        <v>734404198247.47839</v>
      </c>
      <c r="AC53" s="93"/>
      <c r="AD53" s="24">
        <f>((AB53-X53)/X53)</f>
        <v>3.6727064574322919E-2</v>
      </c>
      <c r="AE53" s="24"/>
      <c r="AF53" s="81">
        <f>SUM(AF24:AF52)</f>
        <v>748848468799.76001</v>
      </c>
      <c r="AG53" s="93"/>
      <c r="AH53" s="24">
        <f>((AF53-AB53)/AB53)</f>
        <v>1.966801195683553E-2</v>
      </c>
      <c r="AI53" s="24"/>
      <c r="AJ53" s="25">
        <f t="shared" si="14"/>
        <v>2.8225575438232609E-2</v>
      </c>
      <c r="AK53" s="25"/>
      <c r="AL53" s="26">
        <f t="shared" si="16"/>
        <v>0.21823960137137879</v>
      </c>
      <c r="AM53" s="26"/>
      <c r="AN53" s="27">
        <f t="shared" si="18"/>
        <v>6.46059393175865E-3</v>
      </c>
      <c r="AO53" s="84"/>
      <c r="AP53" s="31"/>
      <c r="AQ53" s="44">
        <f>SUM(AQ24:AQ52)</f>
        <v>132930613532.55411</v>
      </c>
      <c r="AR53" s="45"/>
      <c r="AS53" s="30" t="e">
        <f>(#REF!/AQ53)-1</f>
        <v>#REF!</v>
      </c>
      <c r="AT53" s="30" t="e">
        <f>(#REF!/AR53)-1</f>
        <v>#REF!</v>
      </c>
    </row>
    <row r="54" spans="1:48" s="118" customFormat="1" ht="8.25" customHeight="1">
      <c r="A54" s="218"/>
      <c r="B54" s="93"/>
      <c r="C54" s="93"/>
      <c r="D54" s="93"/>
      <c r="E54" s="93"/>
      <c r="F54" s="24"/>
      <c r="G54" s="24"/>
      <c r="H54" s="93"/>
      <c r="I54" s="93"/>
      <c r="J54" s="24"/>
      <c r="K54" s="24"/>
      <c r="L54" s="93"/>
      <c r="M54" s="93"/>
      <c r="N54" s="24"/>
      <c r="O54" s="24"/>
      <c r="P54" s="93"/>
      <c r="Q54" s="93"/>
      <c r="R54" s="24"/>
      <c r="S54" s="24"/>
      <c r="T54" s="93"/>
      <c r="U54" s="93"/>
      <c r="V54" s="24"/>
      <c r="W54" s="24"/>
      <c r="X54" s="93"/>
      <c r="Y54" s="93"/>
      <c r="Z54" s="24"/>
      <c r="AA54" s="24"/>
      <c r="AB54" s="93"/>
      <c r="AC54" s="93"/>
      <c r="AD54" s="24"/>
      <c r="AE54" s="24"/>
      <c r="AF54" s="93"/>
      <c r="AG54" s="93"/>
      <c r="AH54" s="24"/>
      <c r="AI54" s="24"/>
      <c r="AJ54" s="25"/>
      <c r="AK54" s="25"/>
      <c r="AL54" s="26"/>
      <c r="AM54" s="26"/>
      <c r="AN54" s="27"/>
      <c r="AO54" s="84"/>
      <c r="AP54" s="31"/>
      <c r="AQ54" s="44"/>
      <c r="AR54" s="45"/>
      <c r="AS54" s="30"/>
      <c r="AT54" s="30"/>
    </row>
    <row r="55" spans="1:48">
      <c r="A55" s="219" t="s">
        <v>209</v>
      </c>
      <c r="B55" s="93"/>
      <c r="C55" s="93"/>
      <c r="D55" s="93"/>
      <c r="E55" s="93"/>
      <c r="F55" s="24"/>
      <c r="G55" s="24"/>
      <c r="H55" s="93"/>
      <c r="I55" s="93"/>
      <c r="J55" s="24"/>
      <c r="K55" s="24"/>
      <c r="L55" s="93"/>
      <c r="M55" s="93"/>
      <c r="N55" s="24"/>
      <c r="O55" s="24"/>
      <c r="P55" s="93"/>
      <c r="Q55" s="93"/>
      <c r="R55" s="24"/>
      <c r="S55" s="24"/>
      <c r="T55" s="93"/>
      <c r="U55" s="93"/>
      <c r="V55" s="24"/>
      <c r="W55" s="24"/>
      <c r="X55" s="93"/>
      <c r="Y55" s="93"/>
      <c r="Z55" s="24"/>
      <c r="AA55" s="24"/>
      <c r="AB55" s="93"/>
      <c r="AC55" s="93"/>
      <c r="AD55" s="24"/>
      <c r="AE55" s="24"/>
      <c r="AF55" s="93"/>
      <c r="AG55" s="93"/>
      <c r="AH55" s="24"/>
      <c r="AI55" s="24"/>
      <c r="AJ55" s="25"/>
      <c r="AK55" s="25"/>
      <c r="AL55" s="26"/>
      <c r="AM55" s="26"/>
      <c r="AN55" s="27"/>
      <c r="AO55" s="84"/>
      <c r="AP55" s="31"/>
      <c r="AQ55" s="41"/>
      <c r="AR55" s="14"/>
      <c r="AS55" s="30" t="e">
        <f>(#REF!/AQ55)-1</f>
        <v>#REF!</v>
      </c>
      <c r="AT55" s="30" t="e">
        <f>(#REF!/AR55)-1</f>
        <v>#REF!</v>
      </c>
    </row>
    <row r="56" spans="1:48">
      <c r="A56" s="216" t="s">
        <v>20</v>
      </c>
      <c r="B56" s="391">
        <v>47161071001.010002</v>
      </c>
      <c r="C56" s="392">
        <v>244.74</v>
      </c>
      <c r="D56" s="391">
        <v>46741526404.959999</v>
      </c>
      <c r="E56" s="392">
        <v>245.03</v>
      </c>
      <c r="F56" s="24">
        <f>((D56-B56)/B56)</f>
        <v>-8.8959938174647916E-3</v>
      </c>
      <c r="G56" s="24">
        <f>((E56-C56)/C56)</f>
        <v>1.1849309471275314E-3</v>
      </c>
      <c r="H56" s="391">
        <v>46712395049.68</v>
      </c>
      <c r="I56" s="392">
        <v>245.23</v>
      </c>
      <c r="J56" s="24">
        <f t="shared" ref="J56:J84" si="34">((H56-D56)/D56)</f>
        <v>-6.2324355921991224E-4</v>
      </c>
      <c r="K56" s="24">
        <f t="shared" ref="K56:K85" si="35">((I56-E56)/E56)</f>
        <v>8.1622658449981072E-4</v>
      </c>
      <c r="L56" s="391">
        <v>46507399602.230003</v>
      </c>
      <c r="M56" s="392">
        <v>245.4</v>
      </c>
      <c r="N56" s="24">
        <f t="shared" ref="N56:N84" si="36">((L56-H56)/H56)</f>
        <v>-4.3884593635581792E-3</v>
      </c>
      <c r="O56" s="24">
        <f t="shared" ref="O56:O85" si="37">((M56-I56)/I56)</f>
        <v>6.9322676670886894E-4</v>
      </c>
      <c r="P56" s="391">
        <v>45767085554.709999</v>
      </c>
      <c r="Q56" s="392">
        <v>245.58</v>
      </c>
      <c r="R56" s="24">
        <f t="shared" ref="R56:R84" si="38">((P56-L56)/L56)</f>
        <v>-1.5918199122113605E-2</v>
      </c>
      <c r="S56" s="24">
        <f t="shared" ref="S56:S85" si="39">((Q56-M56)/M56)</f>
        <v>7.334963325183652E-4</v>
      </c>
      <c r="T56" s="391">
        <v>45266681411.410004</v>
      </c>
      <c r="U56" s="392">
        <v>245.82</v>
      </c>
      <c r="V56" s="24">
        <f t="shared" ref="V56:V84" si="40">((T56-P56)/P56)</f>
        <v>-1.0933712235222232E-2</v>
      </c>
      <c r="W56" s="24">
        <f t="shared" ref="W56:W85" si="41">((U56-Q56)/Q56)</f>
        <v>9.7727827999014851E-4</v>
      </c>
      <c r="X56" s="391">
        <v>45134879962.370003</v>
      </c>
      <c r="Y56" s="392">
        <v>245.96</v>
      </c>
      <c r="Z56" s="24">
        <f t="shared" ref="Z56:Z84" si="42">((X56-T56)/T56)</f>
        <v>-2.9116658197695668E-3</v>
      </c>
      <c r="AA56" s="24">
        <f t="shared" ref="AA56:AA85" si="43">((Y56-U56)/U56)</f>
        <v>5.6952241477509875E-4</v>
      </c>
      <c r="AB56" s="391">
        <v>44924763261.139999</v>
      </c>
      <c r="AC56" s="392">
        <v>246.1</v>
      </c>
      <c r="AD56" s="24">
        <f t="shared" ref="AD56:AD84" si="44">((AB56-X56)/X56)</f>
        <v>-4.6553065257996153E-3</v>
      </c>
      <c r="AE56" s="24">
        <f t="shared" ref="AE56:AE85" si="45">((AC56-Y56)/Y56)</f>
        <v>5.6919824361679279E-4</v>
      </c>
      <c r="AF56" s="391">
        <v>44117869609.199997</v>
      </c>
      <c r="AG56" s="392">
        <v>246.38</v>
      </c>
      <c r="AH56" s="24">
        <f t="shared" ref="AH56:AH84" si="46">((AF56-AB56)/AB56)</f>
        <v>-1.7960999532700195E-2</v>
      </c>
      <c r="AI56" s="24">
        <f t="shared" ref="AI56:AI85" si="47">((AG56-AC56)/AC56)</f>
        <v>1.1377488825680664E-3</v>
      </c>
      <c r="AJ56" s="25">
        <f t="shared" si="14"/>
        <v>-8.2859474969810137E-3</v>
      </c>
      <c r="AK56" s="25">
        <f t="shared" si="15"/>
        <v>8.3520355647558541E-4</v>
      </c>
      <c r="AL56" s="26">
        <f t="shared" si="16"/>
        <v>-5.6131174943435128E-2</v>
      </c>
      <c r="AM56" s="26">
        <f t="shared" si="17"/>
        <v>5.5095294453740128E-3</v>
      </c>
      <c r="AN56" s="27">
        <f t="shared" si="18"/>
        <v>6.2702542006001297E-3</v>
      </c>
      <c r="AO56" s="84">
        <f t="shared" si="19"/>
        <v>2.4090168071573401E-4</v>
      </c>
      <c r="AP56" s="31"/>
      <c r="AQ56" s="29">
        <v>1092437778.4100001</v>
      </c>
      <c r="AR56" s="33">
        <v>143.21</v>
      </c>
      <c r="AS56" s="30" t="e">
        <f>(#REF!/AQ56)-1</f>
        <v>#REF!</v>
      </c>
      <c r="AT56" s="30" t="e">
        <f>(#REF!/AR56)-1</f>
        <v>#REF!</v>
      </c>
    </row>
    <row r="57" spans="1:48">
      <c r="A57" s="216" t="s">
        <v>21</v>
      </c>
      <c r="B57" s="391">
        <v>1429327958.95</v>
      </c>
      <c r="C57" s="392">
        <v>322.5736</v>
      </c>
      <c r="D57" s="391">
        <v>1432432714.52</v>
      </c>
      <c r="E57" s="392">
        <v>323.27420000000001</v>
      </c>
      <c r="F57" s="24">
        <f>((D57-B57)/B57)</f>
        <v>2.1721785756438437E-3</v>
      </c>
      <c r="G57" s="24">
        <f>((E57-C57)/C57)</f>
        <v>2.1719074344583949E-3</v>
      </c>
      <c r="H57" s="391">
        <v>1455535528.6600001</v>
      </c>
      <c r="I57" s="392">
        <v>323.96870000000001</v>
      </c>
      <c r="J57" s="24">
        <f t="shared" si="34"/>
        <v>1.6128376506495613E-2</v>
      </c>
      <c r="K57" s="24">
        <f t="shared" si="35"/>
        <v>2.1483310452860296E-3</v>
      </c>
      <c r="L57" s="391">
        <v>1458634593.3399999</v>
      </c>
      <c r="M57" s="392">
        <v>324.6585</v>
      </c>
      <c r="N57" s="24">
        <f t="shared" si="36"/>
        <v>2.1291577010510349E-3</v>
      </c>
      <c r="O57" s="24">
        <f t="shared" si="37"/>
        <v>2.1292180386561759E-3</v>
      </c>
      <c r="P57" s="391">
        <v>1441464715.8299999</v>
      </c>
      <c r="Q57" s="392">
        <v>325.31259999999997</v>
      </c>
      <c r="R57" s="24">
        <f t="shared" si="38"/>
        <v>-1.1771198618486202E-2</v>
      </c>
      <c r="S57" s="24">
        <f t="shared" si="39"/>
        <v>2.0147324034330573E-3</v>
      </c>
      <c r="T57" s="391">
        <v>1442895699.1199999</v>
      </c>
      <c r="U57" s="392">
        <v>311.63119999999998</v>
      </c>
      <c r="V57" s="24">
        <f t="shared" si="40"/>
        <v>9.9272862823839383E-4</v>
      </c>
      <c r="W57" s="24">
        <f t="shared" si="41"/>
        <v>-4.2056163825194587E-2</v>
      </c>
      <c r="X57" s="391">
        <v>1448176779.3299999</v>
      </c>
      <c r="Y57" s="392">
        <v>312.77179999999998</v>
      </c>
      <c r="Z57" s="24">
        <f t="shared" si="42"/>
        <v>3.6600567963581071E-3</v>
      </c>
      <c r="AA57" s="24">
        <f t="shared" si="43"/>
        <v>3.6600956515265683E-3</v>
      </c>
      <c r="AB57" s="391">
        <v>1469837436.77</v>
      </c>
      <c r="AC57" s="392">
        <v>317.47230000000002</v>
      </c>
      <c r="AD57" s="24">
        <f t="shared" si="44"/>
        <v>1.4957191517751982E-2</v>
      </c>
      <c r="AE57" s="24">
        <f t="shared" si="45"/>
        <v>1.5028528786802499E-2</v>
      </c>
      <c r="AF57" s="391">
        <v>1491562874.8399999</v>
      </c>
      <c r="AG57" s="392">
        <v>322.14299999999997</v>
      </c>
      <c r="AH57" s="24">
        <f t="shared" si="46"/>
        <v>1.4780844144058584E-2</v>
      </c>
      <c r="AI57" s="24">
        <f t="shared" si="47"/>
        <v>1.4712149689909809E-2</v>
      </c>
      <c r="AJ57" s="25">
        <f t="shared" si="14"/>
        <v>5.3811669063889202E-3</v>
      </c>
      <c r="AK57" s="25">
        <f t="shared" si="15"/>
        <v>-2.3900096890256978E-5</v>
      </c>
      <c r="AL57" s="26">
        <f t="shared" si="16"/>
        <v>4.1279537754633111E-2</v>
      </c>
      <c r="AM57" s="26">
        <f t="shared" si="17"/>
        <v>-3.4991966572031894E-3</v>
      </c>
      <c r="AN57" s="27">
        <f t="shared" si="18"/>
        <v>9.5082980099925173E-3</v>
      </c>
      <c r="AO57" s="84">
        <f t="shared" si="19"/>
        <v>1.7897892519370306E-2</v>
      </c>
      <c r="AP57" s="31"/>
      <c r="AQ57" s="32">
        <v>1186217562.8099999</v>
      </c>
      <c r="AR57" s="36">
        <v>212.98</v>
      </c>
      <c r="AS57" s="30" t="e">
        <f>(#REF!/AQ57)-1</f>
        <v>#REF!</v>
      </c>
      <c r="AT57" s="30" t="e">
        <f>(#REF!/AR57)-1</f>
        <v>#REF!</v>
      </c>
      <c r="AU57" s="91"/>
      <c r="AV57" s="91"/>
    </row>
    <row r="58" spans="1:48">
      <c r="A58" s="216" t="s">
        <v>229</v>
      </c>
      <c r="B58" s="391">
        <v>62369822864.970001</v>
      </c>
      <c r="C58" s="391">
        <v>1464.97</v>
      </c>
      <c r="D58" s="391">
        <v>62909816646.620003</v>
      </c>
      <c r="E58" s="391">
        <v>1468.16</v>
      </c>
      <c r="F58" s="24">
        <f>((D58-B58)/B58)</f>
        <v>8.6579335461491099E-3</v>
      </c>
      <c r="G58" s="24">
        <f>((E58-C58)/C58)</f>
        <v>2.1775189935630455E-3</v>
      </c>
      <c r="H58" s="391">
        <v>62909816646.620003</v>
      </c>
      <c r="I58" s="391">
        <v>1468.16</v>
      </c>
      <c r="J58" s="24">
        <f t="shared" si="34"/>
        <v>0</v>
      </c>
      <c r="K58" s="24">
        <f t="shared" si="35"/>
        <v>0</v>
      </c>
      <c r="L58" s="391">
        <v>64474642694.279999</v>
      </c>
      <c r="M58" s="391">
        <v>1474.96</v>
      </c>
      <c r="N58" s="24">
        <f t="shared" si="36"/>
        <v>2.4874115536689782E-2</v>
      </c>
      <c r="O58" s="24">
        <f t="shared" si="37"/>
        <v>4.6316477768090355E-3</v>
      </c>
      <c r="P58" s="391">
        <v>64835795122.18</v>
      </c>
      <c r="Q58" s="391">
        <v>1479.54</v>
      </c>
      <c r="R58" s="24">
        <f t="shared" si="38"/>
        <v>5.6014645883728474E-3</v>
      </c>
      <c r="S58" s="24">
        <f t="shared" si="39"/>
        <v>3.1051689537342892E-3</v>
      </c>
      <c r="T58" s="391">
        <v>65901740998.370003</v>
      </c>
      <c r="U58" s="391">
        <v>1483.71</v>
      </c>
      <c r="V58" s="24">
        <f t="shared" si="40"/>
        <v>1.6440700298057234E-2</v>
      </c>
      <c r="W58" s="24">
        <f t="shared" si="41"/>
        <v>2.818443570298926E-3</v>
      </c>
      <c r="X58" s="391">
        <v>65781795758.760002</v>
      </c>
      <c r="Y58" s="391">
        <v>1487.3</v>
      </c>
      <c r="Z58" s="24">
        <f t="shared" si="42"/>
        <v>-1.8200617736785938E-3</v>
      </c>
      <c r="AA58" s="24">
        <f t="shared" si="43"/>
        <v>2.4196103012043579E-3</v>
      </c>
      <c r="AB58" s="391">
        <v>66073147157.080002</v>
      </c>
      <c r="AC58" s="391">
        <v>1490.89</v>
      </c>
      <c r="AD58" s="24">
        <f t="shared" si="44"/>
        <v>4.4290581453334853E-3</v>
      </c>
      <c r="AE58" s="24">
        <f t="shared" si="45"/>
        <v>2.4137699186446214E-3</v>
      </c>
      <c r="AF58" s="391">
        <v>66432295735.940002</v>
      </c>
      <c r="AG58" s="391">
        <v>1494.54</v>
      </c>
      <c r="AH58" s="24">
        <f t="shared" si="46"/>
        <v>5.4356208885611773E-3</v>
      </c>
      <c r="AI58" s="24">
        <f t="shared" si="47"/>
        <v>2.4482020806363067E-3</v>
      </c>
      <c r="AJ58" s="25">
        <f t="shared" si="14"/>
        <v>7.9523539036856303E-3</v>
      </c>
      <c r="AK58" s="25">
        <f t="shared" si="15"/>
        <v>2.5017951993613228E-3</v>
      </c>
      <c r="AL58" s="26">
        <f t="shared" si="16"/>
        <v>5.5992518768678598E-2</v>
      </c>
      <c r="AM58" s="26">
        <f t="shared" si="17"/>
        <v>1.796806887532686E-2</v>
      </c>
      <c r="AN58" s="27">
        <f t="shared" si="18"/>
        <v>8.7986213476126986E-3</v>
      </c>
      <c r="AO58" s="84">
        <f t="shared" si="19"/>
        <v>1.275153065716511E-3</v>
      </c>
      <c r="AP58" s="31"/>
      <c r="AQ58" s="32">
        <v>4662655514.79</v>
      </c>
      <c r="AR58" s="36">
        <v>1067.58</v>
      </c>
      <c r="AS58" s="30" t="e">
        <f>(#REF!/AQ58)-1</f>
        <v>#REF!</v>
      </c>
      <c r="AT58" s="30" t="e">
        <f>(#REF!/AR58)-1</f>
        <v>#REF!</v>
      </c>
    </row>
    <row r="59" spans="1:48" s="112" customFormat="1">
      <c r="A59" s="216" t="s">
        <v>186</v>
      </c>
      <c r="B59" s="391">
        <v>674057430.72000003</v>
      </c>
      <c r="C59" s="353">
        <v>1.0649</v>
      </c>
      <c r="D59" s="391">
        <v>675581246.38</v>
      </c>
      <c r="E59" s="353">
        <v>1.0671999999999999</v>
      </c>
      <c r="F59" s="24">
        <f>((D59-B59)/B59)</f>
        <v>2.2606614667422184E-3</v>
      </c>
      <c r="G59" s="24">
        <f>((E59-C59)/C59)</f>
        <v>2.1598272138228648E-3</v>
      </c>
      <c r="H59" s="391">
        <v>676263464.47000003</v>
      </c>
      <c r="I59" s="353">
        <v>1.0682</v>
      </c>
      <c r="J59" s="24">
        <f t="shared" si="34"/>
        <v>1.0098239015005166E-3</v>
      </c>
      <c r="K59" s="24">
        <f t="shared" si="35"/>
        <v>9.3703148425797601E-4</v>
      </c>
      <c r="L59" s="391">
        <v>677267967.00999999</v>
      </c>
      <c r="M59" s="353">
        <v>1.0703</v>
      </c>
      <c r="N59" s="24">
        <f t="shared" si="36"/>
        <v>1.4853715937282058E-3</v>
      </c>
      <c r="O59" s="24">
        <f t="shared" si="37"/>
        <v>1.9659239842725993E-3</v>
      </c>
      <c r="P59" s="391">
        <v>679357116.98000002</v>
      </c>
      <c r="Q59" s="353">
        <v>1.0736000000000001</v>
      </c>
      <c r="R59" s="24">
        <f t="shared" si="38"/>
        <v>3.0846726432717611E-3</v>
      </c>
      <c r="S59" s="24">
        <f t="shared" si="39"/>
        <v>3.0832476875643096E-3</v>
      </c>
      <c r="T59" s="391">
        <v>681006688.22000003</v>
      </c>
      <c r="U59" s="353">
        <v>1.0757000000000001</v>
      </c>
      <c r="V59" s="24">
        <f t="shared" si="40"/>
        <v>2.4281356576243422E-3</v>
      </c>
      <c r="W59" s="24">
        <f t="shared" si="41"/>
        <v>1.9560357675111684E-3</v>
      </c>
      <c r="X59" s="391">
        <v>682370353.85000002</v>
      </c>
      <c r="Y59" s="353">
        <v>1.0778000000000001</v>
      </c>
      <c r="Z59" s="24">
        <f t="shared" si="42"/>
        <v>2.0024261928532801E-3</v>
      </c>
      <c r="AA59" s="24">
        <f t="shared" si="43"/>
        <v>1.952217160918463E-3</v>
      </c>
      <c r="AB59" s="391">
        <v>683545437.17999995</v>
      </c>
      <c r="AC59" s="353">
        <v>1.0799000000000001</v>
      </c>
      <c r="AD59" s="24">
        <f t="shared" si="44"/>
        <v>1.7220609356341304E-3</v>
      </c>
      <c r="AE59" s="24">
        <f t="shared" si="45"/>
        <v>1.9484134347745321E-3</v>
      </c>
      <c r="AF59" s="391">
        <v>684829394.50999999</v>
      </c>
      <c r="AG59" s="353">
        <v>1.0819000000000001</v>
      </c>
      <c r="AH59" s="24">
        <f t="shared" si="46"/>
        <v>1.8783789052810762E-3</v>
      </c>
      <c r="AI59" s="24">
        <f t="shared" si="47"/>
        <v>1.8520233354940288E-3</v>
      </c>
      <c r="AJ59" s="25">
        <f t="shared" si="14"/>
        <v>1.9839414120794412E-3</v>
      </c>
      <c r="AK59" s="25">
        <f t="shared" si="15"/>
        <v>1.9818400085769928E-3</v>
      </c>
      <c r="AL59" s="26">
        <f t="shared" si="16"/>
        <v>1.3689172367579472E-2</v>
      </c>
      <c r="AM59" s="26">
        <f t="shared" si="17"/>
        <v>1.3774362818590853E-2</v>
      </c>
      <c r="AN59" s="27">
        <f t="shared" si="18"/>
        <v>6.2826689754346484E-4</v>
      </c>
      <c r="AO59" s="84">
        <f t="shared" si="19"/>
        <v>5.8016864165143375E-4</v>
      </c>
      <c r="AP59" s="31"/>
      <c r="AQ59" s="32"/>
      <c r="AR59" s="32"/>
      <c r="AS59" s="30"/>
      <c r="AT59" s="30"/>
    </row>
    <row r="60" spans="1:48">
      <c r="A60" s="217" t="s">
        <v>22</v>
      </c>
      <c r="B60" s="391">
        <v>2774218484.6220999</v>
      </c>
      <c r="C60" s="391">
        <v>3705.6041539685498</v>
      </c>
      <c r="D60" s="391">
        <v>2779160539.0440998</v>
      </c>
      <c r="E60" s="391">
        <v>3711.2368188138298</v>
      </c>
      <c r="F60" s="24">
        <f>((D60-B60)/B60)</f>
        <v>1.7814222093156917E-3</v>
      </c>
      <c r="G60" s="24">
        <f>((E60-C60)/C60)</f>
        <v>1.5200395431464746E-3</v>
      </c>
      <c r="H60" s="391">
        <v>2782527104.9903002</v>
      </c>
      <c r="I60" s="391">
        <v>3717.3798506471599</v>
      </c>
      <c r="J60" s="24">
        <f t="shared" si="34"/>
        <v>1.2113607324599933E-3</v>
      </c>
      <c r="K60" s="24">
        <f t="shared" si="35"/>
        <v>1.6552519101417657E-3</v>
      </c>
      <c r="L60" s="391">
        <v>2783531082.0030999</v>
      </c>
      <c r="M60" s="391">
        <v>3723.3897840357899</v>
      </c>
      <c r="N60" s="24">
        <f t="shared" si="36"/>
        <v>3.6081481865860916E-4</v>
      </c>
      <c r="O60" s="24">
        <f t="shared" si="37"/>
        <v>1.616712208622914E-3</v>
      </c>
      <c r="P60" s="391">
        <v>2786190226.1162901</v>
      </c>
      <c r="Q60" s="391">
        <v>3728.8673447405199</v>
      </c>
      <c r="R60" s="24">
        <f t="shared" si="38"/>
        <v>9.5531324596403869E-4</v>
      </c>
      <c r="S60" s="24">
        <f t="shared" si="39"/>
        <v>1.471122021179536E-3</v>
      </c>
      <c r="T60" s="391">
        <v>2789583219.0589099</v>
      </c>
      <c r="U60" s="391">
        <v>3734.5709536272698</v>
      </c>
      <c r="V60" s="24">
        <f t="shared" si="40"/>
        <v>1.2177894067733276E-3</v>
      </c>
      <c r="W60" s="24">
        <f t="shared" si="41"/>
        <v>1.5295821383387823E-3</v>
      </c>
      <c r="X60" s="391">
        <v>2792536039.86694</v>
      </c>
      <c r="Y60" s="391">
        <v>3740.2730861172299</v>
      </c>
      <c r="Z60" s="24">
        <f t="shared" si="42"/>
        <v>1.0585168378759778E-3</v>
      </c>
      <c r="AA60" s="24">
        <f t="shared" si="43"/>
        <v>1.5268507576276867E-3</v>
      </c>
      <c r="AB60" s="391">
        <v>2801866564.71591</v>
      </c>
      <c r="AC60" s="391">
        <v>3745.6839867844401</v>
      </c>
      <c r="AD60" s="24">
        <f t="shared" si="44"/>
        <v>3.3412370389370233E-3</v>
      </c>
      <c r="AE60" s="24">
        <f t="shared" si="45"/>
        <v>1.4466592525807299E-3</v>
      </c>
      <c r="AF60" s="391">
        <v>2806857804.0954599</v>
      </c>
      <c r="AG60" s="391">
        <v>3750.97828280573</v>
      </c>
      <c r="AH60" s="24">
        <f t="shared" si="46"/>
        <v>1.7813979589195953E-3</v>
      </c>
      <c r="AI60" s="24">
        <f t="shared" si="47"/>
        <v>1.4134390514440958E-3</v>
      </c>
      <c r="AJ60" s="25">
        <f t="shared" si="14"/>
        <v>1.4634815311130322E-3</v>
      </c>
      <c r="AK60" s="25">
        <f t="shared" si="15"/>
        <v>1.5224571103852483E-3</v>
      </c>
      <c r="AL60" s="26">
        <f t="shared" si="16"/>
        <v>9.9660543758608063E-3</v>
      </c>
      <c r="AM60" s="26">
        <f t="shared" si="17"/>
        <v>1.0708414992660646E-2</v>
      </c>
      <c r="AN60" s="27">
        <f t="shared" si="18"/>
        <v>8.8561178867810971E-4</v>
      </c>
      <c r="AO60" s="84">
        <f t="shared" si="19"/>
        <v>8.1818563195610043E-5</v>
      </c>
      <c r="AP60" s="31"/>
      <c r="AQ60" s="46">
        <v>1198249163.9190199</v>
      </c>
      <c r="AR60" s="46">
        <v>1987.7461478934799</v>
      </c>
      <c r="AS60" s="30" t="e">
        <f>(#REF!/AQ60)-1</f>
        <v>#REF!</v>
      </c>
      <c r="AT60" s="30" t="e">
        <f>(#REF!/AR60)-1</f>
        <v>#REF!</v>
      </c>
    </row>
    <row r="61" spans="1:48">
      <c r="A61" s="216" t="s">
        <v>167</v>
      </c>
      <c r="B61" s="391">
        <v>100371778930.53</v>
      </c>
      <c r="C61" s="391">
        <v>1.9489000000000001</v>
      </c>
      <c r="D61" s="391">
        <v>100521961444.42999</v>
      </c>
      <c r="E61" s="391">
        <v>1.9517</v>
      </c>
      <c r="F61" s="24">
        <f>((D61-B61)/B61)</f>
        <v>1.496262350834085E-3</v>
      </c>
      <c r="G61" s="24">
        <f>((E61-C61)/C61)</f>
        <v>1.4367078865000326E-3</v>
      </c>
      <c r="H61" s="391">
        <v>100625936251.25999</v>
      </c>
      <c r="I61" s="391">
        <v>1.9544999999999999</v>
      </c>
      <c r="J61" s="24">
        <f t="shared" si="34"/>
        <v>1.0343491644607494E-3</v>
      </c>
      <c r="K61" s="24">
        <f t="shared" si="35"/>
        <v>1.4346467182455877E-3</v>
      </c>
      <c r="L61" s="391">
        <v>100638180880.91</v>
      </c>
      <c r="M61" s="391">
        <v>1.9573</v>
      </c>
      <c r="N61" s="24">
        <f t="shared" si="36"/>
        <v>1.2168462829935491E-4</v>
      </c>
      <c r="O61" s="24">
        <f t="shared" si="37"/>
        <v>1.4325914556153163E-3</v>
      </c>
      <c r="P61" s="391">
        <v>100823461417.21001</v>
      </c>
      <c r="Q61" s="391">
        <v>1.9599</v>
      </c>
      <c r="R61" s="24">
        <f t="shared" si="38"/>
        <v>1.8410560949949444E-3</v>
      </c>
      <c r="S61" s="24">
        <f t="shared" si="39"/>
        <v>1.3283604966024298E-3</v>
      </c>
      <c r="T61" s="391">
        <v>100918801811.34</v>
      </c>
      <c r="U61" s="391">
        <v>1.9626999999999999</v>
      </c>
      <c r="V61" s="24">
        <f t="shared" si="40"/>
        <v>9.4561714892398593E-4</v>
      </c>
      <c r="W61" s="24">
        <f t="shared" si="41"/>
        <v>1.4286443185876391E-3</v>
      </c>
      <c r="X61" s="391">
        <v>100939786075.22</v>
      </c>
      <c r="Y61" s="391">
        <v>1.9652000000000001</v>
      </c>
      <c r="Z61" s="24">
        <f t="shared" si="42"/>
        <v>2.0793215439907187E-4</v>
      </c>
      <c r="AA61" s="24">
        <f t="shared" si="43"/>
        <v>1.2737555408366887E-3</v>
      </c>
      <c r="AB61" s="391">
        <v>101080280753.25</v>
      </c>
      <c r="AC61" s="391">
        <v>1.968</v>
      </c>
      <c r="AD61" s="24">
        <f t="shared" si="44"/>
        <v>1.3918662154217625E-3</v>
      </c>
      <c r="AE61" s="24">
        <f t="shared" si="45"/>
        <v>1.4247913698350874E-3</v>
      </c>
      <c r="AF61" s="391">
        <v>101154044855.03999</v>
      </c>
      <c r="AG61" s="391">
        <v>1.9702999999999999</v>
      </c>
      <c r="AH61" s="24">
        <f t="shared" si="46"/>
        <v>7.2975758714067065E-4</v>
      </c>
      <c r="AI61" s="24">
        <f t="shared" si="47"/>
        <v>1.1686991869918541E-3</v>
      </c>
      <c r="AJ61" s="25">
        <f t="shared" si="14"/>
        <v>9.7106566805932803E-4</v>
      </c>
      <c r="AK61" s="25">
        <f t="shared" si="15"/>
        <v>1.3660246216518296E-3</v>
      </c>
      <c r="AL61" s="26">
        <f t="shared" si="16"/>
        <v>6.2880131020864091E-3</v>
      </c>
      <c r="AM61" s="26">
        <f t="shared" si="17"/>
        <v>9.5301531997745298E-3</v>
      </c>
      <c r="AN61" s="27">
        <f t="shared" si="18"/>
        <v>6.0668783777780369E-4</v>
      </c>
      <c r="AO61" s="84">
        <f t="shared" si="19"/>
        <v>1.0027142688349874E-4</v>
      </c>
      <c r="AP61" s="31"/>
      <c r="AQ61" s="29">
        <v>609639394.97000003</v>
      </c>
      <c r="AR61" s="33">
        <v>1.1629</v>
      </c>
      <c r="AS61" s="30" t="e">
        <f>(#REF!/AQ61)-1</f>
        <v>#REF!</v>
      </c>
      <c r="AT61" s="30" t="e">
        <f>(#REF!/AR61)-1</f>
        <v>#REF!</v>
      </c>
    </row>
    <row r="62" spans="1:48">
      <c r="A62" s="216" t="s">
        <v>53</v>
      </c>
      <c r="B62" s="391">
        <v>9660295986.3099995</v>
      </c>
      <c r="C62" s="392">
        <v>1</v>
      </c>
      <c r="D62" s="391">
        <v>9672470184.2800007</v>
      </c>
      <c r="E62" s="392">
        <v>1</v>
      </c>
      <c r="F62" s="24">
        <f>((D62-B62)/B62)</f>
        <v>1.260230327026602E-3</v>
      </c>
      <c r="G62" s="24">
        <f>((E62-C62)/C62)</f>
        <v>0</v>
      </c>
      <c r="H62" s="391">
        <v>9642551136.1100006</v>
      </c>
      <c r="I62" s="392">
        <v>1</v>
      </c>
      <c r="J62" s="24">
        <f t="shared" si="34"/>
        <v>-3.0932168928910677E-3</v>
      </c>
      <c r="K62" s="24">
        <f t="shared" si="35"/>
        <v>0</v>
      </c>
      <c r="L62" s="391">
        <v>9554837374.6900005</v>
      </c>
      <c r="M62" s="392">
        <v>1</v>
      </c>
      <c r="N62" s="24">
        <f t="shared" si="36"/>
        <v>-9.0965305946394577E-3</v>
      </c>
      <c r="O62" s="24">
        <f t="shared" si="37"/>
        <v>0</v>
      </c>
      <c r="P62" s="391">
        <v>9805816423.0100002</v>
      </c>
      <c r="Q62" s="392">
        <v>1</v>
      </c>
      <c r="R62" s="24">
        <f t="shared" si="38"/>
        <v>2.6267223446923661E-2</v>
      </c>
      <c r="S62" s="24">
        <f t="shared" si="39"/>
        <v>0</v>
      </c>
      <c r="T62" s="391">
        <v>9816509334.4599991</v>
      </c>
      <c r="U62" s="392">
        <v>1</v>
      </c>
      <c r="V62" s="24">
        <f t="shared" si="40"/>
        <v>1.0904662078832343E-3</v>
      </c>
      <c r="W62" s="24">
        <f t="shared" si="41"/>
        <v>0</v>
      </c>
      <c r="X62" s="391">
        <v>9875463395.9500008</v>
      </c>
      <c r="Y62" s="392">
        <v>1</v>
      </c>
      <c r="Z62" s="24">
        <f t="shared" si="42"/>
        <v>6.005603364838517E-3</v>
      </c>
      <c r="AA62" s="24">
        <f t="shared" si="43"/>
        <v>0</v>
      </c>
      <c r="AB62" s="391">
        <v>9886268816.0599995</v>
      </c>
      <c r="AC62" s="392">
        <v>1</v>
      </c>
      <c r="AD62" s="24">
        <f t="shared" si="44"/>
        <v>1.094168412839248E-3</v>
      </c>
      <c r="AE62" s="24">
        <f t="shared" si="45"/>
        <v>0</v>
      </c>
      <c r="AF62" s="391">
        <v>9888728146.8999996</v>
      </c>
      <c r="AG62" s="392">
        <v>1</v>
      </c>
      <c r="AH62" s="24">
        <f t="shared" si="46"/>
        <v>2.487622869413616E-4</v>
      </c>
      <c r="AI62" s="24">
        <f t="shared" si="47"/>
        <v>0</v>
      </c>
      <c r="AJ62" s="25">
        <f t="shared" si="14"/>
        <v>2.9720883198652626E-3</v>
      </c>
      <c r="AK62" s="25">
        <f t="shared" si="15"/>
        <v>0</v>
      </c>
      <c r="AL62" s="26">
        <f t="shared" si="16"/>
        <v>2.2358090384343401E-2</v>
      </c>
      <c r="AM62" s="26">
        <f t="shared" si="17"/>
        <v>0</v>
      </c>
      <c r="AN62" s="27">
        <f t="shared" si="18"/>
        <v>1.0362839319705016E-2</v>
      </c>
      <c r="AO62" s="84">
        <f t="shared" si="19"/>
        <v>0</v>
      </c>
      <c r="AP62" s="31"/>
      <c r="AQ62" s="29">
        <v>4056683843.0900002</v>
      </c>
      <c r="AR62" s="36">
        <v>1</v>
      </c>
      <c r="AS62" s="30" t="e">
        <f>(#REF!/AQ62)-1</f>
        <v>#REF!</v>
      </c>
      <c r="AT62" s="30" t="e">
        <f>(#REF!/AR62)-1</f>
        <v>#REF!</v>
      </c>
    </row>
    <row r="63" spans="1:48" ht="15" customHeight="1">
      <c r="A63" s="216" t="s">
        <v>23</v>
      </c>
      <c r="B63" s="391">
        <v>3459149646.1300001</v>
      </c>
      <c r="C63" s="392">
        <v>23.517099999999999</v>
      </c>
      <c r="D63" s="391">
        <v>3463939758.4299998</v>
      </c>
      <c r="E63" s="392">
        <v>23.543600000000001</v>
      </c>
      <c r="F63" s="24">
        <f>((D63-B63)/B63)</f>
        <v>1.3847658499997991E-3</v>
      </c>
      <c r="G63" s="24">
        <f>((E63-C63)/C63)</f>
        <v>1.1268396188306462E-3</v>
      </c>
      <c r="H63" s="391">
        <v>3466320641.5900002</v>
      </c>
      <c r="I63" s="392">
        <v>23.575500000000002</v>
      </c>
      <c r="J63" s="24">
        <f t="shared" si="34"/>
        <v>6.8733388166064373E-4</v>
      </c>
      <c r="K63" s="24">
        <f t="shared" si="35"/>
        <v>1.3549329754158352E-3</v>
      </c>
      <c r="L63" s="391">
        <v>3468085438.9499998</v>
      </c>
      <c r="M63" s="392">
        <v>23.598700000000001</v>
      </c>
      <c r="N63" s="24">
        <f t="shared" si="36"/>
        <v>5.0912698001017722E-4</v>
      </c>
      <c r="O63" s="24">
        <f t="shared" si="37"/>
        <v>9.840724480922661E-4</v>
      </c>
      <c r="P63" s="391">
        <v>3481204543.0999999</v>
      </c>
      <c r="Q63" s="392">
        <v>23.654</v>
      </c>
      <c r="R63" s="24">
        <f t="shared" si="38"/>
        <v>3.7828088093389205E-3</v>
      </c>
      <c r="S63" s="24">
        <f t="shared" si="39"/>
        <v>2.3433494217901417E-3</v>
      </c>
      <c r="T63" s="391">
        <v>3484348469.6100001</v>
      </c>
      <c r="U63" s="392">
        <v>23.685300000000002</v>
      </c>
      <c r="V63" s="24">
        <f t="shared" si="40"/>
        <v>9.0311456022649388E-4</v>
      </c>
      <c r="W63" s="24">
        <f t="shared" si="41"/>
        <v>1.3232434260590877E-3</v>
      </c>
      <c r="X63" s="391">
        <v>3487799753.27</v>
      </c>
      <c r="Y63" s="392">
        <v>23.717600000000001</v>
      </c>
      <c r="Z63" s="24">
        <f t="shared" si="42"/>
        <v>9.9051047566035963E-4</v>
      </c>
      <c r="AA63" s="24">
        <f t="shared" si="43"/>
        <v>1.3637150468855926E-3</v>
      </c>
      <c r="AB63" s="391">
        <v>3471159531.71</v>
      </c>
      <c r="AC63" s="392">
        <v>23.717600000000001</v>
      </c>
      <c r="AD63" s="24">
        <f t="shared" si="44"/>
        <v>-4.7709796253064237E-3</v>
      </c>
      <c r="AE63" s="24">
        <f t="shared" si="45"/>
        <v>0</v>
      </c>
      <c r="AF63" s="391">
        <v>3475256348.6399999</v>
      </c>
      <c r="AG63" s="392">
        <v>23.777699999999999</v>
      </c>
      <c r="AH63" s="24">
        <f t="shared" si="46"/>
        <v>1.1802444954126352E-3</v>
      </c>
      <c r="AI63" s="24">
        <f t="shared" si="47"/>
        <v>2.5339832023475598E-3</v>
      </c>
      <c r="AJ63" s="25">
        <f t="shared" si="14"/>
        <v>5.8336567837532561E-4</v>
      </c>
      <c r="AK63" s="25">
        <f t="shared" si="15"/>
        <v>1.3787670174276413E-3</v>
      </c>
      <c r="AL63" s="26">
        <f t="shared" si="16"/>
        <v>3.2669708479945341E-3</v>
      </c>
      <c r="AM63" s="26">
        <f t="shared" si="17"/>
        <v>9.943254217706636E-3</v>
      </c>
      <c r="AN63" s="27">
        <f t="shared" si="18"/>
        <v>2.3960766605213854E-3</v>
      </c>
      <c r="AO63" s="84">
        <f t="shared" si="19"/>
        <v>7.9183970661942467E-4</v>
      </c>
      <c r="AP63" s="31"/>
      <c r="AQ63" s="29">
        <v>739078842.02999997</v>
      </c>
      <c r="AR63" s="33">
        <v>16.871500000000001</v>
      </c>
      <c r="AS63" s="30" t="e">
        <f>(#REF!/AQ63)-1</f>
        <v>#REF!</v>
      </c>
      <c r="AT63" s="30" t="e">
        <f>(#REF!/AR63)-1</f>
        <v>#REF!</v>
      </c>
    </row>
    <row r="64" spans="1:48">
      <c r="A64" s="216" t="s">
        <v>112</v>
      </c>
      <c r="B64" s="391">
        <v>411826531.14999998</v>
      </c>
      <c r="C64" s="392">
        <v>2.0825999999999998</v>
      </c>
      <c r="D64" s="391">
        <v>412686356.10000002</v>
      </c>
      <c r="E64" s="392">
        <v>2.0863999999999998</v>
      </c>
      <c r="F64" s="24">
        <f>((D64-B64)/B64)</f>
        <v>2.0878328251437324E-3</v>
      </c>
      <c r="G64" s="24">
        <f>((E64-C64)/C64)</f>
        <v>1.8246422740804888E-3</v>
      </c>
      <c r="H64" s="391">
        <v>414930495.36000001</v>
      </c>
      <c r="I64" s="392">
        <v>2.0988000000000002</v>
      </c>
      <c r="J64" s="24">
        <f t="shared" si="34"/>
        <v>5.4378809156855239E-3</v>
      </c>
      <c r="K64" s="24">
        <f t="shared" si="35"/>
        <v>5.9432515337425286E-3</v>
      </c>
      <c r="L64" s="391">
        <v>414930495.36000001</v>
      </c>
      <c r="M64" s="392">
        <v>2.0988000000000002</v>
      </c>
      <c r="N64" s="24">
        <f t="shared" si="36"/>
        <v>0</v>
      </c>
      <c r="O64" s="24">
        <f t="shared" si="37"/>
        <v>0</v>
      </c>
      <c r="P64" s="391">
        <v>412899995.08999997</v>
      </c>
      <c r="Q64" s="392">
        <v>2.1053999999999999</v>
      </c>
      <c r="R64" s="24">
        <f t="shared" si="38"/>
        <v>-4.8935913188023154E-3</v>
      </c>
      <c r="S64" s="24">
        <f t="shared" si="39"/>
        <v>3.1446540880501793E-3</v>
      </c>
      <c r="T64" s="391">
        <v>416692178.63</v>
      </c>
      <c r="U64" s="392">
        <v>2.1244999999999998</v>
      </c>
      <c r="V64" s="24">
        <f t="shared" si="40"/>
        <v>9.1842663722324289E-3</v>
      </c>
      <c r="W64" s="24">
        <f t="shared" si="41"/>
        <v>9.071910325828771E-3</v>
      </c>
      <c r="X64" s="391">
        <v>416910135.31</v>
      </c>
      <c r="Y64" s="392">
        <v>2.1255999999999999</v>
      </c>
      <c r="Z64" s="24">
        <f t="shared" si="42"/>
        <v>5.2306400546466903E-4</v>
      </c>
      <c r="AA64" s="24">
        <f t="shared" si="43"/>
        <v>5.1776888679694094E-4</v>
      </c>
      <c r="AB64" s="391">
        <v>419497477.39999998</v>
      </c>
      <c r="AC64" s="392">
        <v>2.1385999999999998</v>
      </c>
      <c r="AD64" s="24">
        <f t="shared" si="44"/>
        <v>6.2059946997357488E-3</v>
      </c>
      <c r="AE64" s="24">
        <f t="shared" si="45"/>
        <v>6.1159202107639726E-3</v>
      </c>
      <c r="AF64" s="391">
        <v>419606403.51999998</v>
      </c>
      <c r="AG64" s="392">
        <v>2.1391</v>
      </c>
      <c r="AH64" s="24">
        <f t="shared" si="46"/>
        <v>2.5965858167995931E-4</v>
      </c>
      <c r="AI64" s="24">
        <f t="shared" si="47"/>
        <v>2.3379781165256102E-4</v>
      </c>
      <c r="AJ64" s="25">
        <f t="shared" si="14"/>
        <v>2.3506382601424687E-3</v>
      </c>
      <c r="AK64" s="25">
        <f t="shared" si="15"/>
        <v>3.35649314136443E-3</v>
      </c>
      <c r="AL64" s="26">
        <f t="shared" si="16"/>
        <v>1.6768297080127184E-2</v>
      </c>
      <c r="AM64" s="26">
        <f t="shared" si="17"/>
        <v>2.5258819018405002E-2</v>
      </c>
      <c r="AN64" s="27">
        <f t="shared" si="18"/>
        <v>4.422006113198226E-3</v>
      </c>
      <c r="AO64" s="84">
        <f t="shared" si="19"/>
        <v>3.3474685726072378E-3</v>
      </c>
      <c r="AP64" s="31"/>
      <c r="AQ64" s="37">
        <v>0</v>
      </c>
      <c r="AR64" s="38">
        <v>0</v>
      </c>
      <c r="AS64" s="30" t="e">
        <f>(#REF!/AQ64)-1</f>
        <v>#REF!</v>
      </c>
      <c r="AT64" s="30" t="e">
        <f>(#REF!/AR64)-1</f>
        <v>#REF!</v>
      </c>
    </row>
    <row r="65" spans="1:46">
      <c r="A65" s="216" t="s">
        <v>68</v>
      </c>
      <c r="B65" s="391">
        <v>15434207148.58</v>
      </c>
      <c r="C65" s="392">
        <v>332.02</v>
      </c>
      <c r="D65" s="391">
        <v>15374180590.620001</v>
      </c>
      <c r="E65" s="392">
        <v>332.46</v>
      </c>
      <c r="F65" s="24">
        <f>((D65-B65)/B65)</f>
        <v>-3.8891896021702502E-3</v>
      </c>
      <c r="G65" s="24">
        <f>((E65-C65)/C65)</f>
        <v>1.3252213722064869E-3</v>
      </c>
      <c r="H65" s="391">
        <v>15357547109.43</v>
      </c>
      <c r="I65" s="392">
        <v>332.79</v>
      </c>
      <c r="J65" s="24">
        <f t="shared" si="34"/>
        <v>-1.0819100954329137E-3</v>
      </c>
      <c r="K65" s="24">
        <f t="shared" si="35"/>
        <v>9.9260061360777522E-4</v>
      </c>
      <c r="L65" s="391">
        <v>15228761887.76</v>
      </c>
      <c r="M65" s="392">
        <v>333.22</v>
      </c>
      <c r="N65" s="24">
        <f t="shared" si="36"/>
        <v>-8.3857936916841395E-3</v>
      </c>
      <c r="O65" s="24">
        <f t="shared" si="37"/>
        <v>1.2921061329968051E-3</v>
      </c>
      <c r="P65" s="391">
        <v>15234542421.57</v>
      </c>
      <c r="Q65" s="392">
        <v>333.65</v>
      </c>
      <c r="R65" s="24">
        <f t="shared" si="38"/>
        <v>3.7958002446971908E-4</v>
      </c>
      <c r="S65" s="24">
        <f t="shared" si="39"/>
        <v>1.2904387491745693E-3</v>
      </c>
      <c r="T65" s="391">
        <v>15237704481.639999</v>
      </c>
      <c r="U65" s="392">
        <v>334.08</v>
      </c>
      <c r="V65" s="24">
        <f t="shared" si="40"/>
        <v>2.075585851218384E-4</v>
      </c>
      <c r="W65" s="24">
        <f t="shared" si="41"/>
        <v>1.2887756631200565E-3</v>
      </c>
      <c r="X65" s="391">
        <v>15199943360.51</v>
      </c>
      <c r="Y65" s="392">
        <v>334.41</v>
      </c>
      <c r="Z65" s="24">
        <f t="shared" si="42"/>
        <v>-2.4781371219987735E-3</v>
      </c>
      <c r="AA65" s="24">
        <f t="shared" si="43"/>
        <v>9.8778735632196169E-4</v>
      </c>
      <c r="AB65" s="391">
        <v>15125976500.41</v>
      </c>
      <c r="AC65" s="392">
        <v>334.76</v>
      </c>
      <c r="AD65" s="24">
        <f t="shared" si="44"/>
        <v>-4.8662589291068644E-3</v>
      </c>
      <c r="AE65" s="24">
        <f t="shared" si="45"/>
        <v>1.0466194192756374E-3</v>
      </c>
      <c r="AF65" s="391">
        <v>14935685735.74</v>
      </c>
      <c r="AG65" s="392">
        <v>335.18</v>
      </c>
      <c r="AH65" s="24">
        <f t="shared" si="46"/>
        <v>-1.2580395365868916E-2</v>
      </c>
      <c r="AI65" s="24">
        <f t="shared" si="47"/>
        <v>1.2546301828175886E-3</v>
      </c>
      <c r="AJ65" s="25">
        <f t="shared" si="14"/>
        <v>-4.086818274583787E-3</v>
      </c>
      <c r="AK65" s="25">
        <f t="shared" si="15"/>
        <v>1.18477243619011E-3</v>
      </c>
      <c r="AL65" s="26">
        <f t="shared" si="16"/>
        <v>-2.852151061289945E-2</v>
      </c>
      <c r="AM65" s="26">
        <f t="shared" si="17"/>
        <v>8.181435360644973E-3</v>
      </c>
      <c r="AN65" s="27">
        <f t="shared" si="18"/>
        <v>4.4924753097865663E-3</v>
      </c>
      <c r="AO65" s="84">
        <f t="shared" si="19"/>
        <v>1.4780680389404668E-4</v>
      </c>
      <c r="AP65" s="31"/>
      <c r="AQ65" s="29">
        <v>3320655667.8400002</v>
      </c>
      <c r="AR65" s="33">
        <v>177.09</v>
      </c>
      <c r="AS65" s="30" t="e">
        <f>(#REF!/AQ65)-1</f>
        <v>#REF!</v>
      </c>
      <c r="AT65" s="30" t="e">
        <f>(#REF!/AR65)-1</f>
        <v>#REF!</v>
      </c>
    </row>
    <row r="66" spans="1:46">
      <c r="A66" s="216" t="s">
        <v>39</v>
      </c>
      <c r="B66" s="391">
        <v>6559050836.9499998</v>
      </c>
      <c r="C66" s="392">
        <v>1.1000000000000001</v>
      </c>
      <c r="D66" s="391">
        <v>6551967511.0699997</v>
      </c>
      <c r="E66" s="392">
        <v>1.1000000000000001</v>
      </c>
      <c r="F66" s="24">
        <f>((D66-B66)/B66)</f>
        <v>-1.0799315413286088E-3</v>
      </c>
      <c r="G66" s="24">
        <f>((E66-C66)/C66)</f>
        <v>0</v>
      </c>
      <c r="H66" s="391">
        <v>6454636622.2600002</v>
      </c>
      <c r="I66" s="392">
        <v>1</v>
      </c>
      <c r="J66" s="24">
        <f t="shared" si="34"/>
        <v>-1.4855215421253575E-2</v>
      </c>
      <c r="K66" s="24">
        <f t="shared" si="35"/>
        <v>-9.0909090909090981E-2</v>
      </c>
      <c r="L66" s="391">
        <v>6573397093.9200001</v>
      </c>
      <c r="M66" s="392">
        <v>1</v>
      </c>
      <c r="N66" s="24">
        <f t="shared" si="36"/>
        <v>1.8399249812209806E-2</v>
      </c>
      <c r="O66" s="24">
        <f t="shared" si="37"/>
        <v>0</v>
      </c>
      <c r="P66" s="391">
        <v>6671908602.7700005</v>
      </c>
      <c r="Q66" s="392">
        <v>1.01</v>
      </c>
      <c r="R66" s="24">
        <f t="shared" si="38"/>
        <v>1.4986392491200273E-2</v>
      </c>
      <c r="S66" s="24">
        <f t="shared" si="39"/>
        <v>1.0000000000000009E-2</v>
      </c>
      <c r="T66" s="391">
        <v>6464200299.3000002</v>
      </c>
      <c r="U66" s="392">
        <v>1.01</v>
      </c>
      <c r="V66" s="24">
        <f t="shared" si="40"/>
        <v>-3.1131766910560684E-2</v>
      </c>
      <c r="W66" s="24">
        <f t="shared" si="41"/>
        <v>0</v>
      </c>
      <c r="X66" s="391">
        <v>6563947332.9499998</v>
      </c>
      <c r="Y66" s="392">
        <v>1.01</v>
      </c>
      <c r="Z66" s="24">
        <f t="shared" si="42"/>
        <v>1.5430684234954955E-2</v>
      </c>
      <c r="AA66" s="24">
        <f t="shared" si="43"/>
        <v>0</v>
      </c>
      <c r="AB66" s="391">
        <v>6547686679.6000004</v>
      </c>
      <c r="AC66" s="392">
        <v>1.01</v>
      </c>
      <c r="AD66" s="24">
        <f t="shared" si="44"/>
        <v>-2.4772674924391095E-3</v>
      </c>
      <c r="AE66" s="24">
        <f t="shared" si="45"/>
        <v>0</v>
      </c>
      <c r="AF66" s="391">
        <v>6545118096.0600004</v>
      </c>
      <c r="AG66" s="392">
        <v>1.01</v>
      </c>
      <c r="AH66" s="24">
        <f t="shared" si="46"/>
        <v>-3.9228870678901774E-4</v>
      </c>
      <c r="AI66" s="24">
        <f t="shared" si="47"/>
        <v>0</v>
      </c>
      <c r="AJ66" s="25">
        <f t="shared" si="14"/>
        <v>-1.4001794175074535E-4</v>
      </c>
      <c r="AK66" s="25">
        <f t="shared" si="15"/>
        <v>-1.0113636363636372E-2</v>
      </c>
      <c r="AL66" s="26">
        <f t="shared" si="16"/>
        <v>-1.045398195034807E-3</v>
      </c>
      <c r="AM66" s="26">
        <f t="shared" si="17"/>
        <v>-8.1818181818181887E-2</v>
      </c>
      <c r="AN66" s="27">
        <f t="shared" si="18"/>
        <v>1.6896300788283528E-2</v>
      </c>
      <c r="AO66" s="84">
        <f t="shared" si="19"/>
        <v>3.2833296875385561E-2</v>
      </c>
      <c r="AP66" s="31"/>
      <c r="AQ66" s="47">
        <v>1300500308</v>
      </c>
      <c r="AR66" s="33">
        <v>1.19</v>
      </c>
      <c r="AS66" s="30" t="e">
        <f>(#REF!/AQ66)-1</f>
        <v>#REF!</v>
      </c>
      <c r="AT66" s="30" t="e">
        <f>(#REF!/AR66)-1</f>
        <v>#REF!</v>
      </c>
    </row>
    <row r="67" spans="1:46">
      <c r="A67" s="216" t="s">
        <v>119</v>
      </c>
      <c r="B67" s="391">
        <v>1666467123.74</v>
      </c>
      <c r="C67" s="392">
        <v>3.57</v>
      </c>
      <c r="D67" s="391">
        <v>1667804957.21</v>
      </c>
      <c r="E67" s="392">
        <v>3.57</v>
      </c>
      <c r="F67" s="24">
        <f>((D67-B67)/B67)</f>
        <v>8.027961973816626E-4</v>
      </c>
      <c r="G67" s="24">
        <f>((E67-C67)/C67)</f>
        <v>0</v>
      </c>
      <c r="H67" s="391">
        <v>1669419183.8699999</v>
      </c>
      <c r="I67" s="392">
        <v>3.58</v>
      </c>
      <c r="J67" s="24">
        <f t="shared" si="34"/>
        <v>9.6787496224991351E-4</v>
      </c>
      <c r="K67" s="24">
        <f t="shared" si="35"/>
        <v>2.8011204481793364E-3</v>
      </c>
      <c r="L67" s="391">
        <v>1669419183.8699999</v>
      </c>
      <c r="M67" s="392">
        <v>3.58</v>
      </c>
      <c r="N67" s="24">
        <f t="shared" si="36"/>
        <v>0</v>
      </c>
      <c r="O67" s="24">
        <f t="shared" si="37"/>
        <v>0</v>
      </c>
      <c r="P67" s="391">
        <v>1541763718.3099999</v>
      </c>
      <c r="Q67" s="392">
        <v>3.53</v>
      </c>
      <c r="R67" s="24">
        <f t="shared" si="38"/>
        <v>-7.6466993307260728E-2</v>
      </c>
      <c r="S67" s="24">
        <f t="shared" si="39"/>
        <v>-1.3966480446927448E-2</v>
      </c>
      <c r="T67" s="391">
        <v>1543349555.27</v>
      </c>
      <c r="U67" s="392">
        <v>3.54</v>
      </c>
      <c r="V67" s="24">
        <f t="shared" si="40"/>
        <v>1.0285862490903269E-3</v>
      </c>
      <c r="W67" s="24">
        <f t="shared" si="41"/>
        <v>2.8328611898017653E-3</v>
      </c>
      <c r="X67" s="391">
        <v>1504009068.04</v>
      </c>
      <c r="Y67" s="392">
        <v>3.54</v>
      </c>
      <c r="Z67" s="24">
        <f t="shared" si="42"/>
        <v>-2.5490328549139102E-2</v>
      </c>
      <c r="AA67" s="24">
        <f t="shared" si="43"/>
        <v>0</v>
      </c>
      <c r="AB67" s="391">
        <v>1504770352.8699999</v>
      </c>
      <c r="AC67" s="392">
        <v>3.55</v>
      </c>
      <c r="AD67" s="24">
        <f t="shared" si="44"/>
        <v>5.0617037235820505E-4</v>
      </c>
      <c r="AE67" s="24">
        <f t="shared" si="45"/>
        <v>2.8248587570620866E-3</v>
      </c>
      <c r="AF67" s="391">
        <v>1504042386.28</v>
      </c>
      <c r="AG67" s="392">
        <v>3.55</v>
      </c>
      <c r="AH67" s="24">
        <f t="shared" si="46"/>
        <v>-4.8377254948669545E-4</v>
      </c>
      <c r="AI67" s="24">
        <f t="shared" si="47"/>
        <v>0</v>
      </c>
      <c r="AJ67" s="25">
        <f t="shared" si="14"/>
        <v>-1.2391958328100803E-2</v>
      </c>
      <c r="AK67" s="25">
        <f t="shared" si="15"/>
        <v>-6.8845500648553252E-4</v>
      </c>
      <c r="AL67" s="26">
        <f t="shared" si="16"/>
        <v>-9.8190480980432815E-2</v>
      </c>
      <c r="AM67" s="26">
        <f t="shared" si="17"/>
        <v>-5.6022408963585487E-3</v>
      </c>
      <c r="AN67" s="27">
        <f t="shared" si="18"/>
        <v>2.7442413375302854E-2</v>
      </c>
      <c r="AO67" s="84">
        <f t="shared" si="19"/>
        <v>5.5436194853699097E-3</v>
      </c>
      <c r="AP67" s="31"/>
      <c r="AQ67" s="32">
        <v>776682398.99000001</v>
      </c>
      <c r="AR67" s="36">
        <v>2.4700000000000002</v>
      </c>
      <c r="AS67" s="30" t="e">
        <f>(#REF!/AQ67)-1</f>
        <v>#REF!</v>
      </c>
      <c r="AT67" s="30" t="e">
        <f>(#REF!/AR67)-1</f>
        <v>#REF!</v>
      </c>
    </row>
    <row r="68" spans="1:46">
      <c r="A68" s="217" t="s">
        <v>73</v>
      </c>
      <c r="B68" s="391">
        <v>38213912030.050003</v>
      </c>
      <c r="C68" s="391">
        <v>4562.5600000000004</v>
      </c>
      <c r="D68" s="391">
        <v>47044717555.330002</v>
      </c>
      <c r="E68" s="391">
        <v>4570.4399999999996</v>
      </c>
      <c r="F68" s="24">
        <f>((D68-B68)/B68)</f>
        <v>0.23108875946372046</v>
      </c>
      <c r="G68" s="24">
        <f>((E68-C68)/C68)</f>
        <v>1.727100575115549E-3</v>
      </c>
      <c r="H68" s="391">
        <v>46972332393.550003</v>
      </c>
      <c r="I68" s="391">
        <v>4576.53</v>
      </c>
      <c r="J68" s="24">
        <f t="shared" si="34"/>
        <v>-1.538645899932665E-3</v>
      </c>
      <c r="K68" s="24">
        <f t="shared" si="35"/>
        <v>1.3324756478588814E-3</v>
      </c>
      <c r="L68" s="391">
        <v>46050980936.120003</v>
      </c>
      <c r="M68" s="391">
        <v>4580.96</v>
      </c>
      <c r="N68" s="24">
        <f t="shared" si="36"/>
        <v>-1.9614769173278597E-2</v>
      </c>
      <c r="O68" s="24">
        <f t="shared" si="37"/>
        <v>9.6798229226079395E-4</v>
      </c>
      <c r="P68" s="391">
        <v>44213188501.279999</v>
      </c>
      <c r="Q68" s="391">
        <v>4586.42</v>
      </c>
      <c r="R68" s="24">
        <f t="shared" si="38"/>
        <v>-3.9907780409483846E-2</v>
      </c>
      <c r="S68" s="24">
        <f t="shared" si="39"/>
        <v>1.19188990953862E-3</v>
      </c>
      <c r="T68" s="391">
        <v>42997908215.529999</v>
      </c>
      <c r="U68" s="391">
        <v>4591.88</v>
      </c>
      <c r="V68" s="24">
        <f t="shared" si="40"/>
        <v>-2.7486827504304895E-2</v>
      </c>
      <c r="W68" s="24">
        <f t="shared" si="41"/>
        <v>1.1904709991671142E-3</v>
      </c>
      <c r="X68" s="391">
        <v>42631431626.849998</v>
      </c>
      <c r="Y68" s="391">
        <v>4598.99</v>
      </c>
      <c r="Z68" s="24">
        <f t="shared" si="42"/>
        <v>-8.5231259819201193E-3</v>
      </c>
      <c r="AA68" s="24">
        <f t="shared" si="43"/>
        <v>1.5483854107685028E-3</v>
      </c>
      <c r="AB68" s="391">
        <v>40527765481.970001</v>
      </c>
      <c r="AC68" s="391">
        <v>4608.74</v>
      </c>
      <c r="AD68" s="24">
        <f t="shared" si="44"/>
        <v>-4.9345425771605396E-2</v>
      </c>
      <c r="AE68" s="24">
        <f t="shared" si="45"/>
        <v>2.1200307023933516E-3</v>
      </c>
      <c r="AF68" s="391">
        <v>40407572233.879997</v>
      </c>
      <c r="AG68" s="391">
        <v>4616.88</v>
      </c>
      <c r="AH68" s="24">
        <f t="shared" si="46"/>
        <v>-2.965701332422967E-3</v>
      </c>
      <c r="AI68" s="24">
        <f t="shared" si="47"/>
        <v>1.7662094194943363E-3</v>
      </c>
      <c r="AJ68" s="25">
        <f t="shared" si="14"/>
        <v>1.0213310423846499E-2</v>
      </c>
      <c r="AK68" s="25">
        <f t="shared" si="15"/>
        <v>1.4805681195746436E-3</v>
      </c>
      <c r="AL68" s="26">
        <f t="shared" si="16"/>
        <v>-0.1410816275736794</v>
      </c>
      <c r="AM68" s="26">
        <f t="shared" si="17"/>
        <v>1.0160947304854787E-2</v>
      </c>
      <c r="AN68" s="27">
        <f t="shared" si="18"/>
        <v>9.0883908996852877E-2</v>
      </c>
      <c r="AO68" s="84">
        <f t="shared" si="19"/>
        <v>3.7948232453193702E-4</v>
      </c>
      <c r="AP68" s="31"/>
      <c r="AQ68" s="29">
        <v>8144502990.9799995</v>
      </c>
      <c r="AR68" s="29">
        <v>2263.5700000000002</v>
      </c>
      <c r="AS68" s="30" t="e">
        <f>(#REF!/AQ68)-1</f>
        <v>#REF!</v>
      </c>
      <c r="AT68" s="30" t="e">
        <f>(#REF!/AR68)-1</f>
        <v>#REF!</v>
      </c>
    </row>
    <row r="69" spans="1:46">
      <c r="A69" s="217" t="s">
        <v>74</v>
      </c>
      <c r="B69" s="391">
        <v>237358787.83000001</v>
      </c>
      <c r="C69" s="391">
        <v>4219.2</v>
      </c>
      <c r="D69" s="391">
        <v>239509173.63</v>
      </c>
      <c r="E69" s="391">
        <v>4257.57</v>
      </c>
      <c r="F69" s="24">
        <f>((D69-B69)/B69)</f>
        <v>9.0596426602082298E-3</v>
      </c>
      <c r="G69" s="24">
        <f>((E69-C69)/C69)</f>
        <v>9.0941410693970159E-3</v>
      </c>
      <c r="H69" s="391">
        <v>240963324.24000001</v>
      </c>
      <c r="I69" s="391">
        <v>4283.72</v>
      </c>
      <c r="J69" s="24">
        <f t="shared" si="34"/>
        <v>6.0713775090987703E-3</v>
      </c>
      <c r="K69" s="24">
        <f t="shared" si="35"/>
        <v>6.1420011884714869E-3</v>
      </c>
      <c r="L69" s="391">
        <v>242585253.30000001</v>
      </c>
      <c r="M69" s="391">
        <v>4312.6499999999996</v>
      </c>
      <c r="N69" s="24">
        <f t="shared" si="36"/>
        <v>6.7310204368883847E-3</v>
      </c>
      <c r="O69" s="24">
        <f t="shared" si="37"/>
        <v>6.7534759508089647E-3</v>
      </c>
      <c r="P69" s="391">
        <v>243248345.88999999</v>
      </c>
      <c r="Q69" s="391">
        <v>4324.46</v>
      </c>
      <c r="R69" s="24">
        <f t="shared" si="38"/>
        <v>2.73344146430839E-3</v>
      </c>
      <c r="S69" s="24">
        <f t="shared" si="39"/>
        <v>2.7384554740125912E-3</v>
      </c>
      <c r="T69" s="391">
        <v>244171568.50999999</v>
      </c>
      <c r="U69" s="391">
        <v>4341.07</v>
      </c>
      <c r="V69" s="24">
        <f t="shared" si="40"/>
        <v>3.7953911531118812E-3</v>
      </c>
      <c r="W69" s="24">
        <f t="shared" si="41"/>
        <v>3.8409419904449739E-3</v>
      </c>
      <c r="X69" s="391">
        <v>246173710.88</v>
      </c>
      <c r="Y69" s="391">
        <v>4377.1099999999997</v>
      </c>
      <c r="Z69" s="24">
        <f t="shared" si="42"/>
        <v>8.1997358751373529E-3</v>
      </c>
      <c r="AA69" s="24">
        <f t="shared" si="43"/>
        <v>8.3021006341754376E-3</v>
      </c>
      <c r="AB69" s="391">
        <v>246408335.30000001</v>
      </c>
      <c r="AC69" s="391">
        <v>4372.3100000000004</v>
      </c>
      <c r="AD69" s="24">
        <f t="shared" si="44"/>
        <v>9.530847918784751E-4</v>
      </c>
      <c r="AE69" s="24">
        <f t="shared" si="45"/>
        <v>-1.096613975888034E-3</v>
      </c>
      <c r="AF69" s="391">
        <v>246084212.38999999</v>
      </c>
      <c r="AG69" s="391">
        <v>4366.49</v>
      </c>
      <c r="AH69" s="24">
        <f t="shared" si="46"/>
        <v>-1.3153893905634702E-3</v>
      </c>
      <c r="AI69" s="24">
        <f t="shared" si="47"/>
        <v>-1.3311041531823265E-3</v>
      </c>
      <c r="AJ69" s="25">
        <f t="shared" si="14"/>
        <v>4.5285380625085013E-3</v>
      </c>
      <c r="AK69" s="25">
        <f t="shared" si="15"/>
        <v>4.3054247722800129E-3</v>
      </c>
      <c r="AL69" s="26">
        <f t="shared" si="16"/>
        <v>2.7452137470764613E-2</v>
      </c>
      <c r="AM69" s="26">
        <f t="shared" si="17"/>
        <v>2.5582668047736169E-2</v>
      </c>
      <c r="AN69" s="27">
        <f t="shared" si="18"/>
        <v>3.624029225225311E-3</v>
      </c>
      <c r="AO69" s="84">
        <f t="shared" si="19"/>
        <v>3.9981211163165808E-3</v>
      </c>
      <c r="AP69" s="31"/>
      <c r="AQ69" s="29"/>
      <c r="AR69" s="29"/>
      <c r="AS69" s="30"/>
      <c r="AT69" s="30"/>
    </row>
    <row r="70" spans="1:46">
      <c r="A70" s="217" t="s">
        <v>97</v>
      </c>
      <c r="B70" s="391">
        <v>54471334.799999997</v>
      </c>
      <c r="C70" s="391">
        <v>11.765102000000001</v>
      </c>
      <c r="D70" s="391">
        <v>53735796.859999999</v>
      </c>
      <c r="E70" s="391">
        <v>11.61585</v>
      </c>
      <c r="F70" s="24">
        <f>((D70-B70)/B70)</f>
        <v>-1.3503211233957087E-2</v>
      </c>
      <c r="G70" s="24">
        <f>((E70-C70)/C70)</f>
        <v>-1.2685992862620366E-2</v>
      </c>
      <c r="H70" s="391">
        <v>53672625.829999998</v>
      </c>
      <c r="I70" s="391">
        <v>11.638166</v>
      </c>
      <c r="J70" s="24">
        <f t="shared" si="34"/>
        <v>-1.1755856187372299E-3</v>
      </c>
      <c r="K70" s="24">
        <f t="shared" si="35"/>
        <v>1.9211680591605439E-3</v>
      </c>
      <c r="L70" s="391">
        <v>53701823.649999999</v>
      </c>
      <c r="M70" s="391">
        <v>11.647703999999999</v>
      </c>
      <c r="N70" s="24">
        <f t="shared" si="36"/>
        <v>5.4399835201802906E-4</v>
      </c>
      <c r="O70" s="24">
        <f t="shared" si="37"/>
        <v>8.1954493517270323E-4</v>
      </c>
      <c r="P70" s="391">
        <v>53763448.409999996</v>
      </c>
      <c r="Q70" s="391">
        <v>11.692159999999999</v>
      </c>
      <c r="R70" s="24">
        <f t="shared" si="38"/>
        <v>1.1475357038456535E-3</v>
      </c>
      <c r="S70" s="24">
        <f t="shared" si="39"/>
        <v>3.8167178698909482E-3</v>
      </c>
      <c r="T70" s="391">
        <v>53887213.490000002</v>
      </c>
      <c r="U70" s="391">
        <v>11.716478</v>
      </c>
      <c r="V70" s="24">
        <f t="shared" si="40"/>
        <v>2.3020301647352177E-3</v>
      </c>
      <c r="W70" s="24">
        <f t="shared" si="41"/>
        <v>2.0798552192239032E-3</v>
      </c>
      <c r="X70" s="391">
        <v>53499589.799999997</v>
      </c>
      <c r="Y70" s="391">
        <v>11.651462</v>
      </c>
      <c r="Z70" s="24">
        <f t="shared" si="42"/>
        <v>-7.1932405647944196E-3</v>
      </c>
      <c r="AA70" s="24">
        <f t="shared" si="43"/>
        <v>-5.5491078462316032E-3</v>
      </c>
      <c r="AB70" s="391">
        <v>53594505.380000003</v>
      </c>
      <c r="AC70" s="391">
        <v>11.707857000000001</v>
      </c>
      <c r="AD70" s="24">
        <f t="shared" si="44"/>
        <v>1.774136593473576E-3</v>
      </c>
      <c r="AE70" s="24">
        <f t="shared" si="45"/>
        <v>4.8401651226258292E-3</v>
      </c>
      <c r="AF70" s="391">
        <v>52388518.450000003</v>
      </c>
      <c r="AG70" s="391">
        <v>11.7</v>
      </c>
      <c r="AH70" s="24">
        <f t="shared" si="46"/>
        <v>-2.2502062878446506E-2</v>
      </c>
      <c r="AI70" s="24">
        <f t="shared" si="47"/>
        <v>-6.7108780026962531E-4</v>
      </c>
      <c r="AJ70" s="25">
        <f t="shared" ref="AJ70:AJ133" si="48">AVERAGE(F70,J70,N70,R70,V70,Z70,AD70,AH70)</f>
        <v>-4.8257999352328464E-3</v>
      </c>
      <c r="AK70" s="25">
        <f t="shared" ref="AK70:AK133" si="49">AVERAGE(G70,K70,O70,S70,W70,AA70,AE70,AI70)</f>
        <v>-6.7859216288095839E-4</v>
      </c>
      <c r="AL70" s="26">
        <f t="shared" ref="AL70:AL133" si="50">((AF70-D70)/D70)</f>
        <v>-2.5072270045796739E-2</v>
      </c>
      <c r="AM70" s="26">
        <f t="shared" ref="AM70:AM133" si="51">((AG70-E70)/E70)</f>
        <v>7.2444117305233181E-3</v>
      </c>
      <c r="AN70" s="27">
        <f t="shared" ref="AN70:AN133" si="52">STDEV(F70,J70,N70,R70,V70,Z70,AD70,AH70)</f>
        <v>8.9885417107044511E-3</v>
      </c>
      <c r="AO70" s="84">
        <f t="shared" ref="AO70:AO133" si="53">STDEV(G70,K70,O70,S70,W70,AA70,AE70,AI70)</f>
        <v>5.7962592013533583E-3</v>
      </c>
      <c r="AP70" s="31"/>
      <c r="AQ70" s="29">
        <v>421796041.39999998</v>
      </c>
      <c r="AR70" s="29">
        <v>2004.5</v>
      </c>
      <c r="AS70" s="30" t="e">
        <f>(#REF!/AQ70)-1</f>
        <v>#REF!</v>
      </c>
      <c r="AT70" s="30" t="e">
        <f>(#REF!/AR70)-1</f>
        <v>#REF!</v>
      </c>
    </row>
    <row r="71" spans="1:46">
      <c r="A71" s="216" t="s">
        <v>91</v>
      </c>
      <c r="B71" s="391">
        <v>14991061991.209999</v>
      </c>
      <c r="C71" s="391">
        <v>1176.95</v>
      </c>
      <c r="D71" s="391">
        <v>15529502889.469999</v>
      </c>
      <c r="E71" s="391">
        <v>1183.8499999999999</v>
      </c>
      <c r="F71" s="24">
        <f>((D71-B71)/B71)</f>
        <v>3.5917461923359047E-2</v>
      </c>
      <c r="G71" s="24">
        <f>((E71-C71)/C71)</f>
        <v>5.862610986023079E-3</v>
      </c>
      <c r="H71" s="391">
        <v>15529502889.469999</v>
      </c>
      <c r="I71" s="391">
        <v>1183.8499999999999</v>
      </c>
      <c r="J71" s="24">
        <f t="shared" si="34"/>
        <v>0</v>
      </c>
      <c r="K71" s="24">
        <f t="shared" si="35"/>
        <v>0</v>
      </c>
      <c r="L71" s="391">
        <v>15628115601.200001</v>
      </c>
      <c r="M71" s="391">
        <v>1185.71</v>
      </c>
      <c r="N71" s="24">
        <f t="shared" si="36"/>
        <v>6.3500237214204197E-3</v>
      </c>
      <c r="O71" s="24">
        <f t="shared" si="37"/>
        <v>1.5711449930313193E-3</v>
      </c>
      <c r="P71" s="391">
        <v>15627517056.77</v>
      </c>
      <c r="Q71" s="391">
        <v>1186.45</v>
      </c>
      <c r="R71" s="24">
        <f t="shared" si="38"/>
        <v>-3.8299206716537605E-5</v>
      </c>
      <c r="S71" s="24">
        <f t="shared" si="39"/>
        <v>6.2409864132039795E-4</v>
      </c>
      <c r="T71" s="391">
        <v>15481166021.469999</v>
      </c>
      <c r="U71" s="391">
        <v>1164.53</v>
      </c>
      <c r="V71" s="24">
        <f t="shared" si="40"/>
        <v>-9.3649576428777841E-3</v>
      </c>
      <c r="W71" s="24">
        <f t="shared" si="41"/>
        <v>-1.8475283408487565E-2</v>
      </c>
      <c r="X71" s="391">
        <v>15253556583.790001</v>
      </c>
      <c r="Y71" s="391">
        <v>1166.44</v>
      </c>
      <c r="Z71" s="24">
        <f t="shared" si="42"/>
        <v>-1.4702344601455671E-2</v>
      </c>
      <c r="AA71" s="24">
        <f t="shared" si="43"/>
        <v>1.6401466686131589E-3</v>
      </c>
      <c r="AB71" s="391">
        <v>15393079324.059999</v>
      </c>
      <c r="AC71" s="391">
        <v>1168.4100000000001</v>
      </c>
      <c r="AD71" s="24">
        <f t="shared" si="44"/>
        <v>9.1468989218075059E-3</v>
      </c>
      <c r="AE71" s="24">
        <f t="shared" si="45"/>
        <v>1.6888995576283625E-3</v>
      </c>
      <c r="AF71" s="391">
        <v>15385839766.059999</v>
      </c>
      <c r="AG71" s="391">
        <v>1172.68</v>
      </c>
      <c r="AH71" s="24">
        <f t="shared" si="46"/>
        <v>-4.7031252471260124E-4</v>
      </c>
      <c r="AI71" s="24">
        <f t="shared" si="47"/>
        <v>3.6545390744687064E-3</v>
      </c>
      <c r="AJ71" s="25">
        <f t="shared" si="48"/>
        <v>3.3548088238530473E-3</v>
      </c>
      <c r="AK71" s="25">
        <f t="shared" si="49"/>
        <v>-4.2923043592531772E-4</v>
      </c>
      <c r="AL71" s="26">
        <f t="shared" si="50"/>
        <v>-9.2509801783425202E-3</v>
      </c>
      <c r="AM71" s="26">
        <f t="shared" si="51"/>
        <v>-9.4353169742787055E-3</v>
      </c>
      <c r="AN71" s="27">
        <f t="shared" si="52"/>
        <v>1.525075512575632E-2</v>
      </c>
      <c r="AO71" s="84">
        <f t="shared" si="53"/>
        <v>7.5212889170933736E-3</v>
      </c>
      <c r="AP71" s="31"/>
      <c r="AQ71" s="29"/>
      <c r="AR71" s="29"/>
      <c r="AS71" s="30"/>
      <c r="AT71" s="30"/>
    </row>
    <row r="72" spans="1:46">
      <c r="A72" s="216" t="s">
        <v>190</v>
      </c>
      <c r="B72" s="391">
        <v>23054719.539999999</v>
      </c>
      <c r="C72" s="391">
        <v>0.68220000000000003</v>
      </c>
      <c r="D72" s="391">
        <v>23086167.539999999</v>
      </c>
      <c r="E72" s="391">
        <v>0.68310000000000004</v>
      </c>
      <c r="F72" s="24">
        <f>((D72-B72)/B72)</f>
        <v>1.3640591005862222E-3</v>
      </c>
      <c r="G72" s="24">
        <f>((E72-C72)/C72)</f>
        <v>1.3192612137203339E-3</v>
      </c>
      <c r="H72" s="391">
        <v>21354460.920000002</v>
      </c>
      <c r="I72" s="391">
        <v>0.63190000000000002</v>
      </c>
      <c r="J72" s="24">
        <f t="shared" si="34"/>
        <v>-7.5010571460142728E-2</v>
      </c>
      <c r="K72" s="24">
        <f t="shared" si="35"/>
        <v>-7.4952422778509761E-2</v>
      </c>
      <c r="L72" s="391">
        <v>21398702.379999999</v>
      </c>
      <c r="M72" s="391">
        <v>0.63319999999999999</v>
      </c>
      <c r="N72" s="24">
        <f t="shared" si="36"/>
        <v>2.0717666517426265E-3</v>
      </c>
      <c r="O72" s="24">
        <f t="shared" si="37"/>
        <v>2.0572875454976545E-3</v>
      </c>
      <c r="P72" s="391">
        <v>21413212.379999999</v>
      </c>
      <c r="Q72" s="391">
        <v>0.63360000000000005</v>
      </c>
      <c r="R72" s="24">
        <f t="shared" si="38"/>
        <v>6.7807849944964747E-4</v>
      </c>
      <c r="S72" s="24">
        <f t="shared" si="39"/>
        <v>6.317119393557596E-4</v>
      </c>
      <c r="T72" s="391">
        <v>21232230.949999999</v>
      </c>
      <c r="U72" s="391">
        <v>0.62829999999999997</v>
      </c>
      <c r="V72" s="24">
        <f t="shared" si="40"/>
        <v>-8.4518579832065215E-3</v>
      </c>
      <c r="W72" s="24">
        <f t="shared" si="41"/>
        <v>-8.3648989898991201E-3</v>
      </c>
      <c r="X72" s="391">
        <v>21237029.399999999</v>
      </c>
      <c r="Y72" s="391">
        <v>0.62839999999999996</v>
      </c>
      <c r="Z72" s="24">
        <f t="shared" si="42"/>
        <v>2.2599838949091946E-4</v>
      </c>
      <c r="AA72" s="24">
        <f t="shared" si="43"/>
        <v>1.5915963711600985E-4</v>
      </c>
      <c r="AB72" s="391">
        <v>21935492.049999997</v>
      </c>
      <c r="AC72" s="391">
        <v>0.64910000000000001</v>
      </c>
      <c r="AD72" s="24">
        <f t="shared" si="44"/>
        <v>3.2888905356979851E-2</v>
      </c>
      <c r="AE72" s="24">
        <f t="shared" si="45"/>
        <v>3.2940802036919244E-2</v>
      </c>
      <c r="AF72" s="391">
        <v>21935411</v>
      </c>
      <c r="AG72" s="391">
        <v>0.64910000000000001</v>
      </c>
      <c r="AH72" s="24">
        <f t="shared" si="46"/>
        <v>-3.694925092734347E-6</v>
      </c>
      <c r="AI72" s="24">
        <f t="shared" si="47"/>
        <v>0</v>
      </c>
      <c r="AJ72" s="25">
        <f t="shared" si="48"/>
        <v>-5.7796645462740914E-3</v>
      </c>
      <c r="AK72" s="25">
        <f t="shared" si="49"/>
        <v>-5.7761374244749862E-3</v>
      </c>
      <c r="AL72" s="26">
        <f t="shared" si="50"/>
        <v>-4.9846148695150604E-2</v>
      </c>
      <c r="AM72" s="26">
        <f t="shared" si="51"/>
        <v>-4.9773093251354164E-2</v>
      </c>
      <c r="AN72" s="27">
        <f t="shared" si="52"/>
        <v>3.0517272404916841E-2</v>
      </c>
      <c r="AO72" s="84">
        <f t="shared" si="53"/>
        <v>3.0501570966340923E-2</v>
      </c>
      <c r="AP72" s="31"/>
      <c r="AQ72" s="29"/>
      <c r="AR72" s="29"/>
      <c r="AS72" s="30"/>
      <c r="AT72" s="30"/>
    </row>
    <row r="73" spans="1:46">
      <c r="A73" s="216" t="s">
        <v>108</v>
      </c>
      <c r="B73" s="391">
        <v>399426631.81999999</v>
      </c>
      <c r="C73" s="391">
        <v>1175.57</v>
      </c>
      <c r="D73" s="391">
        <v>400617975.57999998</v>
      </c>
      <c r="E73" s="391">
        <v>1179.08</v>
      </c>
      <c r="F73" s="24">
        <f>((D73-B73)/B73)</f>
        <v>2.9826347696737076E-3</v>
      </c>
      <c r="G73" s="24">
        <f>((E73-C73)/C73)</f>
        <v>2.9857856188912537E-3</v>
      </c>
      <c r="H73" s="391">
        <v>381123781.33999997</v>
      </c>
      <c r="I73" s="391">
        <v>1108.96</v>
      </c>
      <c r="J73" s="24">
        <f t="shared" si="34"/>
        <v>-4.8660308394242749E-2</v>
      </c>
      <c r="K73" s="24">
        <f t="shared" si="35"/>
        <v>-5.9470095328561165E-2</v>
      </c>
      <c r="L73" s="391">
        <v>381614571.61000001</v>
      </c>
      <c r="M73" s="391">
        <v>1112.1099999999999</v>
      </c>
      <c r="N73" s="24">
        <f t="shared" si="36"/>
        <v>1.2877450687397731E-3</v>
      </c>
      <c r="O73" s="24">
        <f t="shared" si="37"/>
        <v>2.8404992064635908E-3</v>
      </c>
      <c r="P73" s="391">
        <v>360938156.56999999</v>
      </c>
      <c r="Q73" s="391">
        <v>1107.03</v>
      </c>
      <c r="R73" s="24">
        <f t="shared" si="38"/>
        <v>-5.4181408620661294E-2</v>
      </c>
      <c r="S73" s="24">
        <f t="shared" si="39"/>
        <v>-4.5678934637760002E-3</v>
      </c>
      <c r="T73" s="391">
        <v>359262473.38</v>
      </c>
      <c r="U73" s="391">
        <v>1110.6300000000001</v>
      </c>
      <c r="V73" s="24">
        <f t="shared" si="40"/>
        <v>-4.6425770163067183E-3</v>
      </c>
      <c r="W73" s="24">
        <f t="shared" si="41"/>
        <v>3.2519443917510245E-3</v>
      </c>
      <c r="X73" s="391">
        <v>360065095.25999999</v>
      </c>
      <c r="Y73" s="77">
        <v>1113.53</v>
      </c>
      <c r="Z73" s="24">
        <f t="shared" si="42"/>
        <v>2.2340821529418242E-3</v>
      </c>
      <c r="AA73" s="24">
        <f t="shared" si="43"/>
        <v>2.6111306195581458E-3</v>
      </c>
      <c r="AB73" s="391">
        <v>359816791.54000002</v>
      </c>
      <c r="AC73" s="77">
        <v>1118.3499999999999</v>
      </c>
      <c r="AD73" s="24">
        <f t="shared" si="44"/>
        <v>-6.8960786054719065E-4</v>
      </c>
      <c r="AE73" s="24">
        <f t="shared" si="45"/>
        <v>4.328576688548972E-3</v>
      </c>
      <c r="AF73" s="391">
        <v>359930585.42000002</v>
      </c>
      <c r="AG73" s="77">
        <v>1118.81</v>
      </c>
      <c r="AH73" s="24">
        <f t="shared" si="46"/>
        <v>3.1625505722776982E-4</v>
      </c>
      <c r="AI73" s="24">
        <f t="shared" si="47"/>
        <v>4.1132024858053063E-4</v>
      </c>
      <c r="AJ73" s="25">
        <f t="shared" si="48"/>
        <v>-1.266914810539686E-2</v>
      </c>
      <c r="AK73" s="25">
        <f t="shared" si="49"/>
        <v>-5.9510915023179558E-3</v>
      </c>
      <c r="AL73" s="26">
        <f t="shared" si="50"/>
        <v>-0.10156156897626538</v>
      </c>
      <c r="AM73" s="26">
        <f t="shared" si="51"/>
        <v>-5.1116124436000936E-2</v>
      </c>
      <c r="AN73" s="27">
        <f t="shared" si="52"/>
        <v>2.4074487864668061E-2</v>
      </c>
      <c r="AO73" s="84">
        <f t="shared" si="53"/>
        <v>2.1802739755661597E-2</v>
      </c>
      <c r="AP73" s="31"/>
      <c r="AQ73" s="29"/>
      <c r="AR73" s="29"/>
      <c r="AS73" s="30"/>
      <c r="AT73" s="30"/>
    </row>
    <row r="74" spans="1:46">
      <c r="A74" s="216" t="s">
        <v>111</v>
      </c>
      <c r="B74" s="391">
        <v>729710706.53999996</v>
      </c>
      <c r="C74" s="392">
        <v>198.92843500000001</v>
      </c>
      <c r="D74" s="391">
        <v>731251484.28999996</v>
      </c>
      <c r="E74" s="392">
        <v>199.36254700000001</v>
      </c>
      <c r="F74" s="24">
        <f>((D74-B74)/B74)</f>
        <v>2.1114912200010873E-3</v>
      </c>
      <c r="G74" s="24">
        <f>((E74-C74)/C74)</f>
        <v>2.1822521249915778E-3</v>
      </c>
      <c r="H74" s="391">
        <v>729510875.46000004</v>
      </c>
      <c r="I74" s="392">
        <v>199.06486000000001</v>
      </c>
      <c r="J74" s="24">
        <f t="shared" si="34"/>
        <v>-2.3803149359620753E-3</v>
      </c>
      <c r="K74" s="24">
        <f t="shared" si="35"/>
        <v>-1.4931942056297879E-3</v>
      </c>
      <c r="L74" s="391">
        <v>720954491.48000002</v>
      </c>
      <c r="M74" s="392">
        <v>199.52411799999999</v>
      </c>
      <c r="N74" s="24">
        <f t="shared" si="36"/>
        <v>-1.1728932724415808E-2</v>
      </c>
      <c r="O74" s="24">
        <f t="shared" si="37"/>
        <v>2.3070772008679835E-3</v>
      </c>
      <c r="P74" s="391">
        <v>720903124.25</v>
      </c>
      <c r="Q74" s="392">
        <v>199.80257399999999</v>
      </c>
      <c r="R74" s="24">
        <f t="shared" si="38"/>
        <v>-7.1248921543675618E-5</v>
      </c>
      <c r="S74" s="24">
        <f t="shared" si="39"/>
        <v>1.3956007062765495E-3</v>
      </c>
      <c r="T74" s="391">
        <v>714641406.76999998</v>
      </c>
      <c r="U74" s="392">
        <v>198.16141099999999</v>
      </c>
      <c r="V74" s="24">
        <f t="shared" si="40"/>
        <v>-8.6859347246059874E-3</v>
      </c>
      <c r="W74" s="24">
        <f t="shared" si="41"/>
        <v>-8.2139232100183358E-3</v>
      </c>
      <c r="X74" s="391">
        <v>714641406.76999998</v>
      </c>
      <c r="Y74" s="392">
        <v>198.16141099999999</v>
      </c>
      <c r="Z74" s="24">
        <f t="shared" si="42"/>
        <v>0</v>
      </c>
      <c r="AA74" s="24">
        <f t="shared" si="43"/>
        <v>0</v>
      </c>
      <c r="AB74" s="391">
        <v>780786261.21000004</v>
      </c>
      <c r="AC74" s="392">
        <v>199.10397399999999</v>
      </c>
      <c r="AD74" s="24">
        <f t="shared" si="44"/>
        <v>9.2556705801526695E-2</v>
      </c>
      <c r="AE74" s="24">
        <f t="shared" si="45"/>
        <v>4.7565416255539632E-3</v>
      </c>
      <c r="AF74" s="391">
        <v>778347987.40999997</v>
      </c>
      <c r="AG74" s="392">
        <v>198.27907500000001</v>
      </c>
      <c r="AH74" s="24">
        <f t="shared" si="46"/>
        <v>-3.1228441394722159E-3</v>
      </c>
      <c r="AI74" s="24">
        <f t="shared" si="47"/>
        <v>-4.1430564314099919E-3</v>
      </c>
      <c r="AJ74" s="25">
        <f t="shared" si="48"/>
        <v>8.584865196941004E-3</v>
      </c>
      <c r="AK74" s="25">
        <f t="shared" si="49"/>
        <v>-4.0108777367100514E-4</v>
      </c>
      <c r="AL74" s="26">
        <f t="shared" si="50"/>
        <v>6.440534362228037E-2</v>
      </c>
      <c r="AM74" s="26">
        <f t="shared" si="51"/>
        <v>-5.4346817709948316E-3</v>
      </c>
      <c r="AN74" s="27">
        <f t="shared" si="52"/>
        <v>3.4247084039420526E-2</v>
      </c>
      <c r="AO74" s="84">
        <f t="shared" si="53"/>
        <v>4.1444166904217976E-3</v>
      </c>
      <c r="AP74" s="31"/>
      <c r="AQ74" s="29"/>
      <c r="AR74" s="29"/>
      <c r="AS74" s="30"/>
      <c r="AT74" s="30"/>
    </row>
    <row r="75" spans="1:46" s="94" customFormat="1">
      <c r="A75" s="216" t="s">
        <v>117</v>
      </c>
      <c r="B75" s="391">
        <v>328035830.23000002</v>
      </c>
      <c r="C75" s="392">
        <v>1.3898999999999999</v>
      </c>
      <c r="D75" s="391">
        <v>329076934.24000001</v>
      </c>
      <c r="E75" s="392">
        <v>1.3939999999999999</v>
      </c>
      <c r="F75" s="24">
        <f>((D75-B75)/B75)</f>
        <v>3.1737508956568182E-3</v>
      </c>
      <c r="G75" s="24">
        <f>((E75-C75)/C75)</f>
        <v>2.949852507374626E-3</v>
      </c>
      <c r="H75" s="391">
        <v>329076934.24000001</v>
      </c>
      <c r="I75" s="392">
        <v>1.3944000000000001</v>
      </c>
      <c r="J75" s="24">
        <f t="shared" si="34"/>
        <v>0</v>
      </c>
      <c r="K75" s="24">
        <f t="shared" si="35"/>
        <v>2.8694404591117506E-4</v>
      </c>
      <c r="L75" s="391">
        <v>341312067.02999997</v>
      </c>
      <c r="M75" s="392">
        <v>1.4457</v>
      </c>
      <c r="N75" s="24">
        <f t="shared" si="36"/>
        <v>3.7180159157179711E-2</v>
      </c>
      <c r="O75" s="24">
        <f t="shared" si="37"/>
        <v>3.6790017211703885E-2</v>
      </c>
      <c r="P75" s="391">
        <v>337672067.02999997</v>
      </c>
      <c r="Q75" s="392">
        <v>1.4137999999999999</v>
      </c>
      <c r="R75" s="24">
        <f t="shared" si="38"/>
        <v>-1.0664726951127862E-2</v>
      </c>
      <c r="S75" s="24">
        <f t="shared" si="39"/>
        <v>-2.2065435429203875E-2</v>
      </c>
      <c r="T75" s="391">
        <v>331462654.23000002</v>
      </c>
      <c r="U75" s="392">
        <v>1.3561000000000001</v>
      </c>
      <c r="V75" s="24">
        <f t="shared" si="40"/>
        <v>-1.8388884975339952E-2</v>
      </c>
      <c r="W75" s="24">
        <f t="shared" si="41"/>
        <v>-4.0811996039043619E-2</v>
      </c>
      <c r="X75" s="391">
        <v>331755186.32999998</v>
      </c>
      <c r="Y75" s="392">
        <v>1.3561000000000001</v>
      </c>
      <c r="Z75" s="24">
        <f t="shared" si="42"/>
        <v>8.8254919903277523E-4</v>
      </c>
      <c r="AA75" s="24">
        <f t="shared" si="43"/>
        <v>0</v>
      </c>
      <c r="AB75" s="391">
        <v>335225579.20999998</v>
      </c>
      <c r="AC75" s="392">
        <v>1.3714</v>
      </c>
      <c r="AD75" s="24">
        <f t="shared" si="44"/>
        <v>1.0460704227086183E-2</v>
      </c>
      <c r="AE75" s="24">
        <f t="shared" si="45"/>
        <v>1.1282353808716073E-2</v>
      </c>
      <c r="AF75" s="391">
        <v>335085343.69</v>
      </c>
      <c r="AG75" s="392">
        <v>1.3712</v>
      </c>
      <c r="AH75" s="24">
        <f t="shared" si="46"/>
        <v>-4.183318001283287E-4</v>
      </c>
      <c r="AI75" s="24">
        <f t="shared" si="47"/>
        <v>-1.4583637159105875E-4</v>
      </c>
      <c r="AJ75" s="25">
        <f t="shared" si="48"/>
        <v>2.7781524690449174E-3</v>
      </c>
      <c r="AK75" s="25">
        <f t="shared" si="49"/>
        <v>-1.4642625332665993E-3</v>
      </c>
      <c r="AL75" s="26">
        <f t="shared" si="50"/>
        <v>1.8258373118360153E-2</v>
      </c>
      <c r="AM75" s="26">
        <f t="shared" si="51"/>
        <v>-1.6355810616929652E-2</v>
      </c>
      <c r="AN75" s="27">
        <f t="shared" si="52"/>
        <v>1.6444537085347134E-2</v>
      </c>
      <c r="AO75" s="84">
        <f t="shared" si="53"/>
        <v>2.2756324245270482E-2</v>
      </c>
      <c r="AP75" s="31"/>
      <c r="AQ75" s="29"/>
      <c r="AR75" s="29"/>
      <c r="AS75" s="30"/>
      <c r="AT75" s="30"/>
    </row>
    <row r="76" spans="1:46" s="94" customFormat="1">
      <c r="A76" s="216" t="s">
        <v>148</v>
      </c>
      <c r="B76" s="391">
        <v>430500523.10000002</v>
      </c>
      <c r="C76" s="392">
        <v>1.2295</v>
      </c>
      <c r="D76" s="391">
        <v>431046640.11000001</v>
      </c>
      <c r="E76" s="392">
        <v>1.2311000000000001</v>
      </c>
      <c r="F76" s="24">
        <f>((D76-B76)/B76)</f>
        <v>1.2685629417298853E-3</v>
      </c>
      <c r="G76" s="24">
        <f>((E76-C76)/C76)</f>
        <v>1.3013420089467635E-3</v>
      </c>
      <c r="H76" s="391">
        <v>434223646.60000002</v>
      </c>
      <c r="I76" s="392">
        <v>1.2404999999999999</v>
      </c>
      <c r="J76" s="24">
        <f t="shared" si="34"/>
        <v>7.3704471729306607E-3</v>
      </c>
      <c r="K76" s="24">
        <f t="shared" si="35"/>
        <v>7.63544797335704E-3</v>
      </c>
      <c r="L76" s="391">
        <v>433248355.13</v>
      </c>
      <c r="M76" s="392">
        <v>1.2387999999999999</v>
      </c>
      <c r="N76" s="24">
        <f t="shared" si="36"/>
        <v>-2.2460579418846155E-3</v>
      </c>
      <c r="O76" s="24">
        <f t="shared" si="37"/>
        <v>-1.3704151551793913E-3</v>
      </c>
      <c r="P76" s="391">
        <v>426006472.60000002</v>
      </c>
      <c r="Q76" s="392">
        <v>1.2181</v>
      </c>
      <c r="R76" s="24">
        <f t="shared" si="38"/>
        <v>-1.6715314540148643E-2</v>
      </c>
      <c r="S76" s="24">
        <f t="shared" si="39"/>
        <v>-1.6709719082983486E-2</v>
      </c>
      <c r="T76" s="391">
        <v>429134588.19999999</v>
      </c>
      <c r="U76" s="392">
        <v>1.2272000000000001</v>
      </c>
      <c r="V76" s="24">
        <f t="shared" si="40"/>
        <v>7.3428827991942674E-3</v>
      </c>
      <c r="W76" s="24">
        <f t="shared" si="41"/>
        <v>7.4706510138741553E-3</v>
      </c>
      <c r="X76" s="391">
        <v>426638654.23000002</v>
      </c>
      <c r="Y76" s="392">
        <v>1.2239</v>
      </c>
      <c r="Z76" s="24">
        <f t="shared" si="42"/>
        <v>-5.8162032113727646E-3</v>
      </c>
      <c r="AA76" s="24">
        <f t="shared" si="43"/>
        <v>-2.6890482398957633E-3</v>
      </c>
      <c r="AB76" s="391">
        <v>426430973.39999998</v>
      </c>
      <c r="AC76" s="392">
        <v>1.2234</v>
      </c>
      <c r="AD76" s="24">
        <f t="shared" si="44"/>
        <v>-4.867839046953364E-4</v>
      </c>
      <c r="AE76" s="24">
        <f t="shared" si="45"/>
        <v>-4.085301086689639E-4</v>
      </c>
      <c r="AF76" s="391">
        <v>430345693.22000003</v>
      </c>
      <c r="AG76" s="392">
        <v>1.2306999999999999</v>
      </c>
      <c r="AH76" s="24">
        <f t="shared" si="46"/>
        <v>9.1801957742126163E-3</v>
      </c>
      <c r="AI76" s="24">
        <f t="shared" si="47"/>
        <v>5.9669772764425876E-3</v>
      </c>
      <c r="AJ76" s="25">
        <f t="shared" si="48"/>
        <v>-1.278386375424146E-5</v>
      </c>
      <c r="AK76" s="25">
        <f t="shared" si="49"/>
        <v>1.4958821073661759E-4</v>
      </c>
      <c r="AL76" s="26">
        <f t="shared" si="50"/>
        <v>-1.6261509191235293E-3</v>
      </c>
      <c r="AM76" s="26">
        <f t="shared" si="51"/>
        <v>-3.2491267971747052E-4</v>
      </c>
      <c r="AN76" s="27">
        <f t="shared" si="52"/>
        <v>8.5576786999792282E-3</v>
      </c>
      <c r="AO76" s="84">
        <f t="shared" si="53"/>
        <v>7.9257321871807011E-3</v>
      </c>
      <c r="AP76" s="31"/>
      <c r="AQ76" s="29"/>
      <c r="AR76" s="29"/>
      <c r="AS76" s="30"/>
      <c r="AT76" s="30"/>
    </row>
    <row r="77" spans="1:46" s="94" customFormat="1">
      <c r="A77" s="216" t="s">
        <v>154</v>
      </c>
      <c r="B77" s="391">
        <v>964410272.22000003</v>
      </c>
      <c r="C77" s="392">
        <v>1.0817000000000001</v>
      </c>
      <c r="D77" s="391">
        <v>1026359586.5</v>
      </c>
      <c r="E77" s="392">
        <v>1.1074999999999999</v>
      </c>
      <c r="F77" s="24">
        <f>((D77-B77)/B77)</f>
        <v>6.4235435959632922E-2</v>
      </c>
      <c r="G77" s="24">
        <f>((E77-C77)/C77)</f>
        <v>2.3851345104927264E-2</v>
      </c>
      <c r="H77" s="391">
        <v>1022278222.96</v>
      </c>
      <c r="I77" s="392">
        <v>1.1088</v>
      </c>
      <c r="J77" s="24">
        <f t="shared" si="34"/>
        <v>-3.9765434977012924E-3</v>
      </c>
      <c r="K77" s="24">
        <f t="shared" si="35"/>
        <v>1.1738148984199359E-3</v>
      </c>
      <c r="L77" s="391">
        <v>1027838657.5</v>
      </c>
      <c r="M77" s="392">
        <v>1.1147</v>
      </c>
      <c r="N77" s="24">
        <f t="shared" si="36"/>
        <v>5.4392575476172808E-3</v>
      </c>
      <c r="O77" s="24">
        <f t="shared" si="37"/>
        <v>5.3210678210678358E-3</v>
      </c>
      <c r="P77" s="391">
        <v>1023618232.6</v>
      </c>
      <c r="Q77" s="392">
        <v>1.1156999999999999</v>
      </c>
      <c r="R77" s="24">
        <f t="shared" si="38"/>
        <v>-4.1061161391470393E-3</v>
      </c>
      <c r="S77" s="24">
        <f t="shared" si="39"/>
        <v>8.9710235937910633E-4</v>
      </c>
      <c r="T77" s="391">
        <v>1003334455.79</v>
      </c>
      <c r="U77" s="392">
        <v>1.117</v>
      </c>
      <c r="V77" s="24">
        <f t="shared" si="40"/>
        <v>-1.9815763498544841E-2</v>
      </c>
      <c r="W77" s="24">
        <f t="shared" si="41"/>
        <v>1.1651877744914216E-3</v>
      </c>
      <c r="X77" s="391">
        <v>1003073941.77</v>
      </c>
      <c r="Y77" s="392">
        <v>1.1181000000000001</v>
      </c>
      <c r="Z77" s="24">
        <f t="shared" si="42"/>
        <v>-2.5964823444128493E-4</v>
      </c>
      <c r="AA77" s="24">
        <f t="shared" si="43"/>
        <v>9.8478066248889966E-4</v>
      </c>
      <c r="AB77" s="391">
        <v>1003134841.78</v>
      </c>
      <c r="AC77" s="392">
        <v>1.1192</v>
      </c>
      <c r="AD77" s="24">
        <f t="shared" si="44"/>
        <v>6.0713380603355899E-5</v>
      </c>
      <c r="AE77" s="24">
        <f t="shared" si="45"/>
        <v>9.838118236292629E-4</v>
      </c>
      <c r="AF77" s="391">
        <v>1004149663.9400001</v>
      </c>
      <c r="AG77" s="392">
        <v>1.1204000000000001</v>
      </c>
      <c r="AH77" s="24">
        <f t="shared" si="46"/>
        <v>1.0116507948217085E-3</v>
      </c>
      <c r="AI77" s="24">
        <f t="shared" si="47"/>
        <v>1.0721944245890725E-3</v>
      </c>
      <c r="AJ77" s="25">
        <f t="shared" si="48"/>
        <v>5.3236232891051005E-3</v>
      </c>
      <c r="AK77" s="25">
        <f t="shared" si="49"/>
        <v>4.4311631086240994E-3</v>
      </c>
      <c r="AL77" s="26">
        <f t="shared" si="50"/>
        <v>-2.1639513920981866E-2</v>
      </c>
      <c r="AM77" s="26">
        <f t="shared" si="51"/>
        <v>1.1647855530474161E-2</v>
      </c>
      <c r="AN77" s="27">
        <f t="shared" si="52"/>
        <v>2.4944169510034746E-2</v>
      </c>
      <c r="AO77" s="84">
        <f t="shared" si="53"/>
        <v>7.9887988571438213E-3</v>
      </c>
      <c r="AP77" s="31"/>
      <c r="AQ77" s="29"/>
      <c r="AR77" s="29"/>
      <c r="AS77" s="30"/>
      <c r="AT77" s="30"/>
    </row>
    <row r="78" spans="1:46" s="112" customFormat="1" ht="15.75" customHeight="1">
      <c r="A78" s="216" t="s">
        <v>178</v>
      </c>
      <c r="B78" s="391">
        <v>24210812747.16</v>
      </c>
      <c r="C78" s="392">
        <v>114.75</v>
      </c>
      <c r="D78" s="391">
        <v>23667193388.049999</v>
      </c>
      <c r="E78" s="392">
        <v>114.97</v>
      </c>
      <c r="F78" s="24">
        <f>((D78-B78)/B78)</f>
        <v>-2.2453577448521167E-2</v>
      </c>
      <c r="G78" s="24">
        <f>((E78-C78)/C78)</f>
        <v>1.9172113289760249E-3</v>
      </c>
      <c r="H78" s="391">
        <v>22875844665</v>
      </c>
      <c r="I78" s="392">
        <v>115.18</v>
      </c>
      <c r="J78" s="24">
        <f t="shared" si="34"/>
        <v>-3.3436525830289859E-2</v>
      </c>
      <c r="K78" s="24">
        <f t="shared" si="35"/>
        <v>1.8265634513352001E-3</v>
      </c>
      <c r="L78" s="391">
        <v>22373892491.91</v>
      </c>
      <c r="M78" s="392">
        <v>115.35</v>
      </c>
      <c r="N78" s="24">
        <f t="shared" si="36"/>
        <v>-2.1942454166861258E-2</v>
      </c>
      <c r="O78" s="24">
        <f t="shared" si="37"/>
        <v>1.4759506858828572E-3</v>
      </c>
      <c r="P78" s="391">
        <v>21349180755.75</v>
      </c>
      <c r="Q78" s="392">
        <v>115.56</v>
      </c>
      <c r="R78" s="24">
        <f t="shared" si="38"/>
        <v>-4.5799439526694664E-2</v>
      </c>
      <c r="S78" s="24">
        <f t="shared" si="39"/>
        <v>1.8205461638492238E-3</v>
      </c>
      <c r="T78" s="391">
        <v>21151189880.599998</v>
      </c>
      <c r="U78" s="392">
        <v>115.75</v>
      </c>
      <c r="V78" s="24">
        <f t="shared" si="40"/>
        <v>-9.2739331506515258E-3</v>
      </c>
      <c r="W78" s="24">
        <f t="shared" si="41"/>
        <v>1.6441675320179796E-3</v>
      </c>
      <c r="X78" s="391">
        <v>26446086162.439999</v>
      </c>
      <c r="Y78" s="392">
        <v>115.89</v>
      </c>
      <c r="Z78" s="24">
        <f t="shared" si="42"/>
        <v>0.25033562233283679</v>
      </c>
      <c r="AA78" s="24">
        <f t="shared" si="43"/>
        <v>1.2095032397408257E-3</v>
      </c>
      <c r="AB78" s="391">
        <v>20037422223.549999</v>
      </c>
      <c r="AC78" s="392">
        <v>116.05</v>
      </c>
      <c r="AD78" s="24">
        <f t="shared" si="44"/>
        <v>-0.24232939042571416</v>
      </c>
      <c r="AE78" s="24">
        <f t="shared" si="45"/>
        <v>1.3806195530243902E-3</v>
      </c>
      <c r="AF78" s="391">
        <v>19937518624.34</v>
      </c>
      <c r="AG78" s="392">
        <v>116.28</v>
      </c>
      <c r="AH78" s="24">
        <f t="shared" si="46"/>
        <v>-4.9858508791905528E-3</v>
      </c>
      <c r="AI78" s="24">
        <f t="shared" si="47"/>
        <v>1.9819043515726322E-3</v>
      </c>
      <c r="AJ78" s="25">
        <f t="shared" si="48"/>
        <v>-1.62356936368858E-2</v>
      </c>
      <c r="AK78" s="25">
        <f t="shared" si="49"/>
        <v>1.6570582882998917E-3</v>
      </c>
      <c r="AL78" s="26">
        <f t="shared" si="50"/>
        <v>-0.15758838416358995</v>
      </c>
      <c r="AM78" s="26">
        <f t="shared" si="51"/>
        <v>1.1394276767852504E-2</v>
      </c>
      <c r="AN78" s="27">
        <f t="shared" si="52"/>
        <v>0.13287736784108936</v>
      </c>
      <c r="AO78" s="84">
        <f t="shared" si="53"/>
        <v>2.7732262960733468E-4</v>
      </c>
      <c r="AP78" s="31"/>
      <c r="AQ78" s="29"/>
      <c r="AR78" s="29"/>
      <c r="AS78" s="30"/>
      <c r="AT78" s="30"/>
    </row>
    <row r="79" spans="1:46" s="112" customFormat="1" ht="15.75" customHeight="1">
      <c r="A79" s="216" t="s">
        <v>183</v>
      </c>
      <c r="B79" s="391">
        <v>246720067.06999999</v>
      </c>
      <c r="C79" s="391">
        <v>1123.29</v>
      </c>
      <c r="D79" s="391">
        <v>247256046.61000001</v>
      </c>
      <c r="E79" s="391">
        <v>1125.73</v>
      </c>
      <c r="F79" s="24">
        <f>((D79-B79)/B79)</f>
        <v>2.1724197239616997E-3</v>
      </c>
      <c r="G79" s="24">
        <f>((E79-C79)/C79)</f>
        <v>2.1721906186292538E-3</v>
      </c>
      <c r="H79" s="391">
        <v>248673933.28999999</v>
      </c>
      <c r="I79" s="391">
        <v>1128.1300000000001</v>
      </c>
      <c r="J79" s="24">
        <f t="shared" si="34"/>
        <v>5.7344873843931804E-3</v>
      </c>
      <c r="K79" s="24">
        <f t="shared" si="35"/>
        <v>2.1319499347091141E-3</v>
      </c>
      <c r="L79" s="391">
        <v>249792009.34999999</v>
      </c>
      <c r="M79" s="391">
        <v>1131.1300000000001</v>
      </c>
      <c r="N79" s="24">
        <f t="shared" si="36"/>
        <v>4.4961530354535309E-3</v>
      </c>
      <c r="O79" s="24">
        <f t="shared" si="37"/>
        <v>2.6592679921640236E-3</v>
      </c>
      <c r="P79" s="391">
        <v>243576735.93000001</v>
      </c>
      <c r="Q79" s="391">
        <v>1101.98</v>
      </c>
      <c r="R79" s="24">
        <f t="shared" si="38"/>
        <v>-2.4881794402363603E-2</v>
      </c>
      <c r="S79" s="24">
        <f t="shared" si="39"/>
        <v>-2.5770689487503724E-2</v>
      </c>
      <c r="T79" s="391">
        <v>244186014.75</v>
      </c>
      <c r="U79" s="77">
        <v>1104.29</v>
      </c>
      <c r="V79" s="24">
        <f t="shared" si="40"/>
        <v>2.5013834661742479E-3</v>
      </c>
      <c r="W79" s="24">
        <f t="shared" si="41"/>
        <v>2.0962267917747556E-3</v>
      </c>
      <c r="X79" s="391">
        <v>245300840.37</v>
      </c>
      <c r="Y79" s="77">
        <v>1107.05</v>
      </c>
      <c r="Z79" s="24">
        <f t="shared" si="42"/>
        <v>4.5654769424095564E-3</v>
      </c>
      <c r="AA79" s="24">
        <f t="shared" si="43"/>
        <v>2.4993434695596184E-3</v>
      </c>
      <c r="AB79" s="391">
        <v>244211454.37</v>
      </c>
      <c r="AC79" s="77">
        <v>1103.78</v>
      </c>
      <c r="AD79" s="24">
        <f t="shared" si="44"/>
        <v>-4.4410202523432959E-3</v>
      </c>
      <c r="AE79" s="24">
        <f t="shared" si="45"/>
        <v>-2.9537961248362601E-3</v>
      </c>
      <c r="AF79" s="391">
        <v>244068967.06999999</v>
      </c>
      <c r="AG79" s="77">
        <v>1103.1400000000001</v>
      </c>
      <c r="AH79" s="24">
        <f t="shared" si="46"/>
        <v>-5.8345870945157303E-4</v>
      </c>
      <c r="AI79" s="24">
        <f t="shared" si="47"/>
        <v>-5.7982568990185782E-4</v>
      </c>
      <c r="AJ79" s="25">
        <f t="shared" si="48"/>
        <v>-1.3045441014707822E-3</v>
      </c>
      <c r="AK79" s="25">
        <f t="shared" si="49"/>
        <v>-2.2181665619256346E-3</v>
      </c>
      <c r="AL79" s="26">
        <f t="shared" si="50"/>
        <v>-1.2889794137277625E-2</v>
      </c>
      <c r="AM79" s="26">
        <f t="shared" si="51"/>
        <v>-2.0066978760448703E-2</v>
      </c>
      <c r="AN79" s="27">
        <f t="shared" si="52"/>
        <v>1.0074520472253306E-2</v>
      </c>
      <c r="AO79" s="84">
        <f t="shared" si="53"/>
        <v>9.7159931208500808E-3</v>
      </c>
      <c r="AP79" s="31"/>
      <c r="AQ79" s="29"/>
      <c r="AR79" s="29"/>
      <c r="AS79" s="30"/>
      <c r="AT79" s="30"/>
    </row>
    <row r="80" spans="1:46" s="310" customFormat="1" ht="15.75" customHeight="1">
      <c r="A80" s="216" t="s">
        <v>192</v>
      </c>
      <c r="B80" s="391">
        <v>1281617986.0999999</v>
      </c>
      <c r="C80" s="392">
        <v>1.0392999999999999</v>
      </c>
      <c r="D80" s="391">
        <v>1282595713.29</v>
      </c>
      <c r="E80" s="392">
        <v>1.0409999999999999</v>
      </c>
      <c r="F80" s="24">
        <f>((D80-B80)/B80)</f>
        <v>7.6288504109973433E-4</v>
      </c>
      <c r="G80" s="24">
        <f>((E80-C80)/C80)</f>
        <v>1.6357163475416482E-3</v>
      </c>
      <c r="H80" s="391">
        <v>1292594143.1500001</v>
      </c>
      <c r="I80" s="392">
        <v>1.0426</v>
      </c>
      <c r="J80" s="24">
        <f t="shared" si="34"/>
        <v>7.7954648970041032E-3</v>
      </c>
      <c r="K80" s="24">
        <f t="shared" si="35"/>
        <v>1.5369836695485553E-3</v>
      </c>
      <c r="L80" s="391">
        <v>1283931018.8599999</v>
      </c>
      <c r="M80" s="392">
        <v>1.0442</v>
      </c>
      <c r="N80" s="24">
        <f t="shared" si="36"/>
        <v>-6.7021224998656684E-3</v>
      </c>
      <c r="O80" s="24">
        <f t="shared" si="37"/>
        <v>1.5346249760215288E-3</v>
      </c>
      <c r="P80" s="391">
        <v>1324407119.21</v>
      </c>
      <c r="Q80" s="392">
        <v>1.046</v>
      </c>
      <c r="R80" s="24">
        <f t="shared" si="38"/>
        <v>3.1525136284921915E-2</v>
      </c>
      <c r="S80" s="24">
        <f t="shared" si="39"/>
        <v>1.7238076996744147E-3</v>
      </c>
      <c r="T80" s="391">
        <v>1341122344.1199999</v>
      </c>
      <c r="U80" s="392">
        <v>1.046</v>
      </c>
      <c r="V80" s="24">
        <f t="shared" si="40"/>
        <v>1.2620911400695555E-2</v>
      </c>
      <c r="W80" s="24">
        <f t="shared" si="41"/>
        <v>0</v>
      </c>
      <c r="X80" s="391">
        <v>1350463246.6500001</v>
      </c>
      <c r="Y80" s="392">
        <v>1.0492999999999999</v>
      </c>
      <c r="Z80" s="24">
        <f t="shared" si="42"/>
        <v>6.96498911598509E-3</v>
      </c>
      <c r="AA80" s="24">
        <f t="shared" si="43"/>
        <v>3.154875717017073E-3</v>
      </c>
      <c r="AB80" s="391">
        <v>1346391519.6800001</v>
      </c>
      <c r="AC80" s="392">
        <v>1.0125999999999999</v>
      </c>
      <c r="AD80" s="24">
        <f t="shared" si="44"/>
        <v>-3.0150594472678005E-3</v>
      </c>
      <c r="AE80" s="24">
        <f t="shared" si="45"/>
        <v>-3.4975698084437207E-2</v>
      </c>
      <c r="AF80" s="391">
        <v>1311437218.8099999</v>
      </c>
      <c r="AG80" s="392">
        <v>1.0125999999999999</v>
      </c>
      <c r="AH80" s="24">
        <f t="shared" si="46"/>
        <v>-2.5961468383511353E-2</v>
      </c>
      <c r="AI80" s="24">
        <f t="shared" si="47"/>
        <v>0</v>
      </c>
      <c r="AJ80" s="25">
        <f t="shared" si="48"/>
        <v>2.9988420511326973E-3</v>
      </c>
      <c r="AK80" s="25">
        <f t="shared" si="49"/>
        <v>-3.1737112093292484E-3</v>
      </c>
      <c r="AL80" s="26">
        <f t="shared" si="50"/>
        <v>2.2486825132151993E-2</v>
      </c>
      <c r="AM80" s="26">
        <f t="shared" si="51"/>
        <v>-2.7281460134486055E-2</v>
      </c>
      <c r="AN80" s="27">
        <f t="shared" si="52"/>
        <v>1.655746013657523E-2</v>
      </c>
      <c r="AO80" s="84">
        <f t="shared" si="53"/>
        <v>1.2889849983247126E-2</v>
      </c>
      <c r="AP80" s="31"/>
      <c r="AQ80" s="29"/>
      <c r="AR80" s="29"/>
      <c r="AS80" s="30"/>
      <c r="AT80" s="30"/>
    </row>
    <row r="81" spans="1:46" s="310" customFormat="1" ht="15.75" customHeight="1">
      <c r="A81" s="216" t="s">
        <v>240</v>
      </c>
      <c r="B81" s="391">
        <v>1987822943.95</v>
      </c>
      <c r="C81" s="392">
        <v>108.19</v>
      </c>
      <c r="D81" s="391">
        <v>2049611821.29</v>
      </c>
      <c r="E81" s="392">
        <v>108.39</v>
      </c>
      <c r="F81" s="24">
        <f>((D81-B81)/B81)</f>
        <v>3.1083692603537078E-2</v>
      </c>
      <c r="G81" s="24">
        <f>((E81-C81)/C81)</f>
        <v>1.8485996857380796E-3</v>
      </c>
      <c r="H81" s="391">
        <v>1999948878.1800001</v>
      </c>
      <c r="I81" s="392">
        <v>108.55</v>
      </c>
      <c r="J81" s="24">
        <f t="shared" si="34"/>
        <v>-2.4230414068719931E-2</v>
      </c>
      <c r="K81" s="24">
        <f t="shared" si="35"/>
        <v>1.4761509364332188E-3</v>
      </c>
      <c r="L81" s="391">
        <v>2003707828.8</v>
      </c>
      <c r="M81" s="392">
        <v>108.78</v>
      </c>
      <c r="N81" s="24">
        <f t="shared" si="36"/>
        <v>1.8795233523271945E-3</v>
      </c>
      <c r="O81" s="24">
        <f t="shared" si="37"/>
        <v>2.1188392445877845E-3</v>
      </c>
      <c r="P81" s="391">
        <v>2008744570.27</v>
      </c>
      <c r="Q81" s="392">
        <v>108.97</v>
      </c>
      <c r="R81" s="24">
        <f t="shared" si="38"/>
        <v>2.513710530849441E-3</v>
      </c>
      <c r="S81" s="24">
        <f t="shared" si="39"/>
        <v>1.7466446037874401E-3</v>
      </c>
      <c r="T81" s="391">
        <v>2026614723.6400001</v>
      </c>
      <c r="U81" s="392">
        <v>109.18</v>
      </c>
      <c r="V81" s="24">
        <f t="shared" si="40"/>
        <v>8.8961800492126063E-3</v>
      </c>
      <c r="W81" s="24">
        <f t="shared" si="41"/>
        <v>1.9271359089658435E-3</v>
      </c>
      <c r="X81" s="391">
        <v>1728347180.1600001</v>
      </c>
      <c r="Y81" s="392">
        <v>108.04</v>
      </c>
      <c r="Z81" s="24">
        <f t="shared" si="42"/>
        <v>-0.14717525733962994</v>
      </c>
      <c r="AA81" s="24">
        <f t="shared" si="43"/>
        <v>-1.0441472797215611E-2</v>
      </c>
      <c r="AB81" s="391">
        <v>1891581941.0999999</v>
      </c>
      <c r="AC81" s="392">
        <v>108.22</v>
      </c>
      <c r="AD81" s="24">
        <f t="shared" si="44"/>
        <v>9.4445585246876448E-2</v>
      </c>
      <c r="AE81" s="24">
        <f t="shared" si="45"/>
        <v>1.6660496112550223E-3</v>
      </c>
      <c r="AF81" s="391">
        <v>1889307273.45</v>
      </c>
      <c r="AG81" s="392">
        <v>108.45</v>
      </c>
      <c r="AH81" s="24">
        <f t="shared" si="46"/>
        <v>-1.2025213397190099E-3</v>
      </c>
      <c r="AI81" s="24">
        <f t="shared" si="47"/>
        <v>2.1253003141748659E-3</v>
      </c>
      <c r="AJ81" s="25">
        <f t="shared" si="48"/>
        <v>-4.223687620658262E-3</v>
      </c>
      <c r="AK81" s="25">
        <f t="shared" si="49"/>
        <v>3.0840593846583053E-4</v>
      </c>
      <c r="AL81" s="26">
        <f t="shared" si="50"/>
        <v>-7.8212150308103828E-2</v>
      </c>
      <c r="AM81" s="26">
        <f t="shared" si="51"/>
        <v>5.5355660116248988E-4</v>
      </c>
      <c r="AN81" s="27">
        <f t="shared" si="52"/>
        <v>6.7698445842251931E-2</v>
      </c>
      <c r="AO81" s="84">
        <f t="shared" si="53"/>
        <v>4.3491625702583711E-3</v>
      </c>
      <c r="AP81" s="31"/>
      <c r="AQ81" s="29"/>
      <c r="AR81" s="29"/>
      <c r="AS81" s="30"/>
      <c r="AT81" s="30"/>
    </row>
    <row r="82" spans="1:46" s="313" customFormat="1" ht="15.75" customHeight="1">
      <c r="A82" s="216" t="s">
        <v>242</v>
      </c>
      <c r="B82" s="391">
        <v>368831698.93000001</v>
      </c>
      <c r="C82" s="392">
        <v>105.13</v>
      </c>
      <c r="D82" s="391">
        <v>363630273.51999998</v>
      </c>
      <c r="E82" s="392">
        <v>105.72</v>
      </c>
      <c r="F82" s="24">
        <f>((D82-B82)/B82)</f>
        <v>-1.4102435948671528E-2</v>
      </c>
      <c r="G82" s="24">
        <f>((E82-C82)/C82)</f>
        <v>5.612099305621644E-3</v>
      </c>
      <c r="H82" s="391">
        <v>360867459.51999998</v>
      </c>
      <c r="I82" s="392">
        <v>105.83</v>
      </c>
      <c r="J82" s="24">
        <f t="shared" si="34"/>
        <v>-7.5978657476879269E-3</v>
      </c>
      <c r="K82" s="24">
        <f t="shared" si="35"/>
        <v>1.0404842981460408E-3</v>
      </c>
      <c r="L82" s="391">
        <v>366295470.23000002</v>
      </c>
      <c r="M82" s="392">
        <v>105.79</v>
      </c>
      <c r="N82" s="24">
        <f t="shared" si="36"/>
        <v>1.5041563229945943E-2</v>
      </c>
      <c r="O82" s="24">
        <f t="shared" si="37"/>
        <v>-3.7796466030418638E-4</v>
      </c>
      <c r="P82" s="391">
        <v>367417908.73000002</v>
      </c>
      <c r="Q82" s="392">
        <v>106.06</v>
      </c>
      <c r="R82" s="24">
        <f t="shared" si="38"/>
        <v>3.0642980632417088E-3</v>
      </c>
      <c r="S82" s="24">
        <f t="shared" si="39"/>
        <v>2.5522261083277815E-3</v>
      </c>
      <c r="T82" s="391">
        <v>367032930.50999999</v>
      </c>
      <c r="U82" s="392">
        <v>106.25</v>
      </c>
      <c r="V82" s="24">
        <f t="shared" si="40"/>
        <v>-1.0477938359910836E-3</v>
      </c>
      <c r="W82" s="24">
        <f t="shared" si="41"/>
        <v>1.7914388082217398E-3</v>
      </c>
      <c r="X82" s="391">
        <v>367920524.94</v>
      </c>
      <c r="Y82" s="392">
        <v>115.08</v>
      </c>
      <c r="Z82" s="24">
        <f t="shared" si="42"/>
        <v>2.4182964421385188E-3</v>
      </c>
      <c r="AA82" s="24">
        <f t="shared" si="43"/>
        <v>8.3105882352941154E-2</v>
      </c>
      <c r="AB82" s="391">
        <v>368789026.88999999</v>
      </c>
      <c r="AC82" s="392">
        <v>106.65</v>
      </c>
      <c r="AD82" s="24">
        <f t="shared" si="44"/>
        <v>2.3605694467347866E-3</v>
      </c>
      <c r="AE82" s="24">
        <f t="shared" si="45"/>
        <v>-7.3253388946819542E-2</v>
      </c>
      <c r="AF82" s="391">
        <v>370249049.13999999</v>
      </c>
      <c r="AG82" s="392">
        <v>106.82</v>
      </c>
      <c r="AH82" s="24">
        <f t="shared" si="46"/>
        <v>3.9589633734831431E-3</v>
      </c>
      <c r="AI82" s="24">
        <f t="shared" si="47"/>
        <v>1.5939990623533753E-3</v>
      </c>
      <c r="AJ82" s="25">
        <f t="shared" si="48"/>
        <v>5.1194937789919527E-4</v>
      </c>
      <c r="AK82" s="25">
        <f t="shared" si="49"/>
        <v>2.7580970410610015E-3</v>
      </c>
      <c r="AL82" s="26">
        <f t="shared" si="50"/>
        <v>1.8201937797777904E-2</v>
      </c>
      <c r="AM82" s="26">
        <f t="shared" si="51"/>
        <v>1.0404842981460409E-2</v>
      </c>
      <c r="AN82" s="27">
        <f t="shared" si="52"/>
        <v>8.6051461514367739E-3</v>
      </c>
      <c r="AO82" s="84">
        <f t="shared" si="53"/>
        <v>4.1844567742931264E-2</v>
      </c>
      <c r="AP82" s="31"/>
      <c r="AQ82" s="29"/>
      <c r="AR82" s="29"/>
      <c r="AS82" s="30"/>
      <c r="AT82" s="30"/>
    </row>
    <row r="83" spans="1:46" s="329" customFormat="1" ht="15.75" customHeight="1">
      <c r="A83" s="216" t="s">
        <v>246</v>
      </c>
      <c r="B83" s="391">
        <v>888628441.63</v>
      </c>
      <c r="C83" s="392">
        <v>1.0306999999999999</v>
      </c>
      <c r="D83" s="391">
        <v>886592223.48000002</v>
      </c>
      <c r="E83" s="392">
        <v>1.0351999999999999</v>
      </c>
      <c r="F83" s="24">
        <f>((D83-B83)/B83)</f>
        <v>-2.2914168111308332E-3</v>
      </c>
      <c r="G83" s="24">
        <f>((E83-C83)/C83)</f>
        <v>4.3659648782380413E-3</v>
      </c>
      <c r="H83" s="391">
        <v>877500150.46000004</v>
      </c>
      <c r="I83" s="392">
        <v>1.0367999999999999</v>
      </c>
      <c r="J83" s="24">
        <f t="shared" si="34"/>
        <v>-1.0255078692560947E-2</v>
      </c>
      <c r="K83" s="24">
        <f t="shared" si="35"/>
        <v>1.5455950540958713E-3</v>
      </c>
      <c r="L83" s="391">
        <v>873158180.47000003</v>
      </c>
      <c r="M83" s="392">
        <v>1.0381</v>
      </c>
      <c r="N83" s="24">
        <f t="shared" si="36"/>
        <v>-4.9481131002927772E-3</v>
      </c>
      <c r="O83" s="24">
        <f t="shared" si="37"/>
        <v>1.2538580246914341E-3</v>
      </c>
      <c r="P83" s="391">
        <v>873265802.91999996</v>
      </c>
      <c r="Q83" s="392">
        <v>1.0395000000000001</v>
      </c>
      <c r="R83" s="24">
        <f t="shared" si="38"/>
        <v>1.2325653290220324E-4</v>
      </c>
      <c r="S83" s="24">
        <f t="shared" si="39"/>
        <v>1.3486176668915015E-3</v>
      </c>
      <c r="T83" s="391">
        <v>868481092.48000002</v>
      </c>
      <c r="U83" s="392">
        <v>1.0407</v>
      </c>
      <c r="V83" s="24">
        <f t="shared" si="40"/>
        <v>-5.4790997471800308E-3</v>
      </c>
      <c r="W83" s="24">
        <f t="shared" si="41"/>
        <v>1.1544011544010271E-3</v>
      </c>
      <c r="X83" s="391">
        <v>867392324.47000003</v>
      </c>
      <c r="Y83" s="392">
        <v>1.0419</v>
      </c>
      <c r="Z83" s="24">
        <f t="shared" si="42"/>
        <v>-1.2536461869203713E-3</v>
      </c>
      <c r="AA83" s="24">
        <f t="shared" si="43"/>
        <v>1.1530700490055635E-3</v>
      </c>
      <c r="AB83" s="391">
        <v>868095152.28999996</v>
      </c>
      <c r="AC83" s="392">
        <v>1.0430999999999999</v>
      </c>
      <c r="AD83" s="24">
        <f t="shared" si="44"/>
        <v>8.1027673426713783E-4</v>
      </c>
      <c r="AE83" s="24">
        <f t="shared" si="45"/>
        <v>1.1517420097896802E-3</v>
      </c>
      <c r="AF83" s="391">
        <v>860056293.79999995</v>
      </c>
      <c r="AG83" s="392">
        <v>1.0443</v>
      </c>
      <c r="AH83" s="24">
        <f t="shared" si="46"/>
        <v>-9.2603425658970978E-3</v>
      </c>
      <c r="AI83" s="24">
        <f t="shared" si="47"/>
        <v>1.1504170261720736E-3</v>
      </c>
      <c r="AJ83" s="25">
        <f t="shared" si="48"/>
        <v>-4.0692704796015892E-3</v>
      </c>
      <c r="AK83" s="25">
        <f t="shared" si="49"/>
        <v>1.6404582329106493E-3</v>
      </c>
      <c r="AL83" s="26">
        <f t="shared" si="50"/>
        <v>-2.9930253139197168E-2</v>
      </c>
      <c r="AM83" s="26">
        <f t="shared" si="51"/>
        <v>8.7905718701701205E-3</v>
      </c>
      <c r="AN83" s="27">
        <f t="shared" si="52"/>
        <v>4.1481011689562869E-3</v>
      </c>
      <c r="AO83" s="84">
        <f t="shared" si="53"/>
        <v>1.1100063571125019E-3</v>
      </c>
      <c r="AP83" s="31"/>
      <c r="AQ83" s="29"/>
      <c r="AR83" s="29"/>
      <c r="AS83" s="30"/>
      <c r="AT83" s="30"/>
    </row>
    <row r="84" spans="1:46" s="329" customFormat="1" ht="15.75" customHeight="1">
      <c r="A84" s="216" t="s">
        <v>259</v>
      </c>
      <c r="B84" s="391">
        <v>414865997.49000001</v>
      </c>
      <c r="C84" s="77">
        <v>1000</v>
      </c>
      <c r="D84" s="391">
        <v>416673586.12</v>
      </c>
      <c r="E84" s="77">
        <v>1000</v>
      </c>
      <c r="F84" s="24">
        <f>((D84-B84)/B84)</f>
        <v>4.3570421315223973E-3</v>
      </c>
      <c r="G84" s="24">
        <f>((E84-C84)/C84)</f>
        <v>0</v>
      </c>
      <c r="H84" s="391">
        <v>428192921.66000003</v>
      </c>
      <c r="I84" s="77">
        <v>1000</v>
      </c>
      <c r="J84" s="24">
        <f t="shared" si="34"/>
        <v>2.7645946188397236E-2</v>
      </c>
      <c r="K84" s="24">
        <f t="shared" si="35"/>
        <v>0</v>
      </c>
      <c r="L84" s="391">
        <v>390608749.48000002</v>
      </c>
      <c r="M84" s="77">
        <v>1000</v>
      </c>
      <c r="N84" s="24">
        <f t="shared" si="36"/>
        <v>-8.7773922171098237E-2</v>
      </c>
      <c r="O84" s="24">
        <f t="shared" si="37"/>
        <v>0</v>
      </c>
      <c r="P84" s="391">
        <v>395480500.27999997</v>
      </c>
      <c r="Q84" s="77">
        <v>1000</v>
      </c>
      <c r="R84" s="24">
        <f t="shared" si="38"/>
        <v>1.247220090816065E-2</v>
      </c>
      <c r="S84" s="24">
        <f t="shared" si="39"/>
        <v>0</v>
      </c>
      <c r="T84" s="391">
        <v>395198998.81</v>
      </c>
      <c r="U84" s="77">
        <v>1000</v>
      </c>
      <c r="V84" s="24">
        <f t="shared" si="40"/>
        <v>-7.1179608046582855E-4</v>
      </c>
      <c r="W84" s="24">
        <f t="shared" si="41"/>
        <v>0</v>
      </c>
      <c r="X84" s="391">
        <v>395937942.35000002</v>
      </c>
      <c r="Y84" s="77">
        <v>1000</v>
      </c>
      <c r="Z84" s="24">
        <f t="shared" si="42"/>
        <v>1.8698011437910643E-3</v>
      </c>
      <c r="AA84" s="24">
        <f t="shared" si="43"/>
        <v>0</v>
      </c>
      <c r="AB84" s="391">
        <v>400914957.50999999</v>
      </c>
      <c r="AC84" s="77">
        <v>1000</v>
      </c>
      <c r="AD84" s="24">
        <f t="shared" si="44"/>
        <v>1.2570189991037534E-2</v>
      </c>
      <c r="AE84" s="24">
        <f t="shared" si="45"/>
        <v>0</v>
      </c>
      <c r="AF84" s="391">
        <v>411763668.46999997</v>
      </c>
      <c r="AG84" s="77">
        <v>1000</v>
      </c>
      <c r="AH84" s="24">
        <f t="shared" si="46"/>
        <v>2.7059880797112391E-2</v>
      </c>
      <c r="AI84" s="24">
        <f t="shared" si="47"/>
        <v>0</v>
      </c>
      <c r="AJ84" s="25">
        <f t="shared" si="48"/>
        <v>-3.1383213644284834E-4</v>
      </c>
      <c r="AK84" s="25">
        <f t="shared" si="49"/>
        <v>0</v>
      </c>
      <c r="AL84" s="26">
        <f t="shared" si="50"/>
        <v>-1.1783606673320547E-2</v>
      </c>
      <c r="AM84" s="26">
        <f t="shared" si="51"/>
        <v>0</v>
      </c>
      <c r="AN84" s="27">
        <f t="shared" si="52"/>
        <v>3.6910240692489278E-2</v>
      </c>
      <c r="AO84" s="84">
        <f t="shared" si="53"/>
        <v>0</v>
      </c>
      <c r="AP84" s="31"/>
      <c r="AQ84" s="29"/>
      <c r="AR84" s="29"/>
      <c r="AS84" s="30"/>
      <c r="AT84" s="30"/>
    </row>
    <row r="85" spans="1:46" s="118" customFormat="1" ht="15.75" customHeight="1">
      <c r="A85" s="216" t="s">
        <v>268</v>
      </c>
      <c r="B85" s="391">
        <v>52580649.780000001</v>
      </c>
      <c r="C85" s="77">
        <v>101.70099999999999</v>
      </c>
      <c r="D85" s="391">
        <v>52686146</v>
      </c>
      <c r="E85" s="77">
        <v>101.905</v>
      </c>
      <c r="F85" s="24" t="e">
        <f>((#REF!-B85)/B85)</f>
        <v>#REF!</v>
      </c>
      <c r="G85" s="24">
        <f>((E85-C85)/C85)</f>
        <v>2.0058799815145154E-3</v>
      </c>
      <c r="H85" s="391">
        <v>54791189.200000003</v>
      </c>
      <c r="I85" s="77">
        <v>102.1018</v>
      </c>
      <c r="J85" s="24" t="e">
        <f>((#REF!-D85)/D85)</f>
        <v>#REF!</v>
      </c>
      <c r="K85" s="24">
        <f t="shared" si="35"/>
        <v>1.9312104410970619E-3</v>
      </c>
      <c r="L85" s="391">
        <v>54911054.799999997</v>
      </c>
      <c r="M85" s="77">
        <v>102.1018</v>
      </c>
      <c r="N85" s="24" t="e">
        <f>((#REF!-H85)/H85)</f>
        <v>#REF!</v>
      </c>
      <c r="O85" s="24">
        <f t="shared" si="37"/>
        <v>0</v>
      </c>
      <c r="P85" s="391">
        <v>54982272.899999999</v>
      </c>
      <c r="Q85" s="77">
        <v>102.4019</v>
      </c>
      <c r="R85" s="24" t="e">
        <f>((#REF!-L85)/L85)</f>
        <v>#REF!</v>
      </c>
      <c r="S85" s="24">
        <f t="shared" si="39"/>
        <v>2.9392234025257193E-3</v>
      </c>
      <c r="T85" s="391">
        <v>55080400.369999997</v>
      </c>
      <c r="U85" s="77">
        <v>102.5847</v>
      </c>
      <c r="V85" s="24" t="e">
        <f>((#REF!-P85)/P85)</f>
        <v>#REF!</v>
      </c>
      <c r="W85" s="24">
        <f t="shared" si="41"/>
        <v>1.7851231275982213E-3</v>
      </c>
      <c r="X85" s="391">
        <v>55180067.270000003</v>
      </c>
      <c r="Y85" s="77">
        <v>102.7688</v>
      </c>
      <c r="Z85" s="24" t="e">
        <f>((#REF!-T85)/T85)</f>
        <v>#REF!</v>
      </c>
      <c r="AA85" s="24">
        <f t="shared" si="43"/>
        <v>1.7946145965236611E-3</v>
      </c>
      <c r="AB85" s="391">
        <v>55288822.280000001</v>
      </c>
      <c r="AC85" s="77">
        <v>102.95269999999999</v>
      </c>
      <c r="AD85" s="24" t="e">
        <f>((#REF!-X85)/X85)</f>
        <v>#REF!</v>
      </c>
      <c r="AE85" s="24">
        <f t="shared" si="45"/>
        <v>1.7894536084881226E-3</v>
      </c>
      <c r="AF85" s="391">
        <v>55396984.780000001</v>
      </c>
      <c r="AG85" s="77">
        <v>103.13549999999999</v>
      </c>
      <c r="AH85" s="24" t="e">
        <f>((#REF!-AB85)/AB85)</f>
        <v>#REF!</v>
      </c>
      <c r="AI85" s="24">
        <f t="shared" si="47"/>
        <v>1.7755726658941467E-3</v>
      </c>
      <c r="AJ85" s="25" t="e">
        <f t="shared" si="48"/>
        <v>#REF!</v>
      </c>
      <c r="AK85" s="25">
        <f t="shared" si="49"/>
        <v>1.7526347279551813E-3</v>
      </c>
      <c r="AL85" s="26">
        <f t="shared" si="50"/>
        <v>5.1452592110267495E-2</v>
      </c>
      <c r="AM85" s="26">
        <f t="shared" si="51"/>
        <v>1.2074971787449018E-2</v>
      </c>
      <c r="AN85" s="27" t="e">
        <f t="shared" si="52"/>
        <v>#REF!</v>
      </c>
      <c r="AO85" s="84">
        <f t="shared" si="53"/>
        <v>8.0891843138715998E-4</v>
      </c>
      <c r="AP85" s="31"/>
      <c r="AQ85" s="29"/>
      <c r="AR85" s="29"/>
      <c r="AS85" s="30"/>
      <c r="AT85" s="30"/>
    </row>
    <row r="86" spans="1:46">
      <c r="A86" s="218" t="s">
        <v>46</v>
      </c>
      <c r="B86" s="81">
        <f>SUM(B56:B85)</f>
        <v>337795097303.112</v>
      </c>
      <c r="C86" s="93"/>
      <c r="D86" s="81">
        <f>SUM(D56:D85)</f>
        <v>346978671755.57391</v>
      </c>
      <c r="E86" s="93"/>
      <c r="F86" s="24">
        <f>((D85-B86)/B86)</f>
        <v>-0.9998440292756744</v>
      </c>
      <c r="G86" s="24"/>
      <c r="H86" s="81">
        <f>SUM(H56:H85)</f>
        <v>346020331729.3703</v>
      </c>
      <c r="I86" s="93"/>
      <c r="J86" s="24">
        <f>((H85-D86)/D86)</f>
        <v>-0.99984209061345819</v>
      </c>
      <c r="K86" s="24"/>
      <c r="L86" s="81">
        <f>SUM(L56:L85)</f>
        <v>345947135557.62299</v>
      </c>
      <c r="M86" s="93"/>
      <c r="N86" s="24">
        <f>((L85-H86)/H86)</f>
        <v>-0.9998413068546419</v>
      </c>
      <c r="O86" s="24"/>
      <c r="P86" s="81">
        <f>SUM(P56:P85)</f>
        <v>343126814140.64636</v>
      </c>
      <c r="Q86" s="93"/>
      <c r="R86" s="24">
        <f>((P85-L86)/L86)</f>
        <v>-0.9998410674139232</v>
      </c>
      <c r="S86" s="24"/>
      <c r="T86" s="81">
        <f>SUM(T56:T85)</f>
        <v>342048621360.02881</v>
      </c>
      <c r="U86" s="93"/>
      <c r="V86" s="24">
        <f>((T85-P86)/P86)</f>
        <v>-0.99983947509171511</v>
      </c>
      <c r="W86" s="24"/>
      <c r="X86" s="81">
        <f>SUM(X56:X85)</f>
        <v>346326319129.15698</v>
      </c>
      <c r="Y86" s="93"/>
      <c r="Z86" s="24">
        <f>((X85-T86)/T86)</f>
        <v>-0.99983867770888646</v>
      </c>
      <c r="AA86" s="24"/>
      <c r="AB86" s="81">
        <f>SUM(AB56:AB85)</f>
        <v>338349672651.75592</v>
      </c>
      <c r="AC86" s="93"/>
      <c r="AD86" s="24">
        <f>((AB85-X86)/X86)</f>
        <v>-0.99984035627895951</v>
      </c>
      <c r="AE86" s="24"/>
      <c r="AF86" s="81">
        <f>SUM(AF56:AF85)</f>
        <v>337557374886.08539</v>
      </c>
      <c r="AG86" s="93"/>
      <c r="AH86" s="24">
        <f>((AF85-AB86)/AB86)</f>
        <v>-0.99983627297657518</v>
      </c>
      <c r="AI86" s="24"/>
      <c r="AJ86" s="25">
        <f t="shared" si="48"/>
        <v>-0.99984040952672926</v>
      </c>
      <c r="AK86" s="25"/>
      <c r="AL86" s="26">
        <f t="shared" si="50"/>
        <v>-2.7152380351854237E-2</v>
      </c>
      <c r="AM86" s="26"/>
      <c r="AN86" s="27">
        <f t="shared" si="52"/>
        <v>2.3346119988816531E-6</v>
      </c>
      <c r="AO86" s="84"/>
      <c r="AP86" s="31"/>
      <c r="AQ86" s="41"/>
      <c r="AR86" s="14"/>
      <c r="AS86" s="30" t="e">
        <f>(#REF!/AQ86)-1</f>
        <v>#REF!</v>
      </c>
      <c r="AT86" s="30" t="e">
        <f>(#REF!/AR86)-1</f>
        <v>#REF!</v>
      </c>
    </row>
    <row r="87" spans="1:46" s="118" customFormat="1" ht="7.5" customHeight="1">
      <c r="A87" s="218"/>
      <c r="B87" s="93"/>
      <c r="C87" s="93"/>
      <c r="D87" s="93"/>
      <c r="E87" s="93"/>
      <c r="F87" s="24"/>
      <c r="G87" s="24"/>
      <c r="H87" s="93"/>
      <c r="I87" s="93"/>
      <c r="J87" s="24"/>
      <c r="K87" s="24"/>
      <c r="L87" s="93"/>
      <c r="M87" s="93"/>
      <c r="N87" s="24"/>
      <c r="O87" s="24"/>
      <c r="P87" s="93"/>
      <c r="Q87" s="93"/>
      <c r="R87" s="24"/>
      <c r="S87" s="24"/>
      <c r="T87" s="93"/>
      <c r="U87" s="93"/>
      <c r="V87" s="24"/>
      <c r="W87" s="24"/>
      <c r="X87" s="93"/>
      <c r="Y87" s="93"/>
      <c r="Z87" s="24"/>
      <c r="AA87" s="24"/>
      <c r="AB87" s="93"/>
      <c r="AC87" s="93"/>
      <c r="AD87" s="24"/>
      <c r="AE87" s="24"/>
      <c r="AF87" s="93"/>
      <c r="AG87" s="93"/>
      <c r="AH87" s="24"/>
      <c r="AI87" s="24"/>
      <c r="AJ87" s="25"/>
      <c r="AK87" s="25"/>
      <c r="AL87" s="26"/>
      <c r="AM87" s="26"/>
      <c r="AN87" s="27"/>
      <c r="AO87" s="84"/>
      <c r="AP87" s="31"/>
      <c r="AQ87" s="41"/>
      <c r="AR87" s="14"/>
      <c r="AS87" s="30"/>
      <c r="AT87" s="30"/>
    </row>
    <row r="88" spans="1:46" s="118" customFormat="1">
      <c r="A88" s="215" t="s">
        <v>211</v>
      </c>
      <c r="B88" s="93"/>
      <c r="C88" s="93"/>
      <c r="D88" s="93"/>
      <c r="E88" s="93"/>
      <c r="F88" s="24"/>
      <c r="G88" s="24"/>
      <c r="H88" s="93"/>
      <c r="I88" s="93"/>
      <c r="J88" s="24"/>
      <c r="K88" s="24"/>
      <c r="L88" s="93"/>
      <c r="M88" s="93"/>
      <c r="N88" s="24"/>
      <c r="O88" s="24"/>
      <c r="P88" s="93"/>
      <c r="Q88" s="93"/>
      <c r="R88" s="24"/>
      <c r="S88" s="24"/>
      <c r="T88" s="93"/>
      <c r="U88" s="93"/>
      <c r="V88" s="24"/>
      <c r="W88" s="24"/>
      <c r="X88" s="93"/>
      <c r="Y88" s="93"/>
      <c r="Z88" s="24"/>
      <c r="AA88" s="24"/>
      <c r="AB88" s="93"/>
      <c r="AC88" s="93"/>
      <c r="AD88" s="24"/>
      <c r="AE88" s="24"/>
      <c r="AF88" s="93"/>
      <c r="AG88" s="93"/>
      <c r="AH88" s="24"/>
      <c r="AI88" s="24"/>
      <c r="AJ88" s="25"/>
      <c r="AK88" s="25"/>
      <c r="AL88" s="26"/>
      <c r="AM88" s="26"/>
      <c r="AN88" s="27"/>
      <c r="AO88" s="84"/>
      <c r="AP88" s="31"/>
      <c r="AQ88" s="41"/>
      <c r="AR88" s="14"/>
      <c r="AS88" s="30"/>
      <c r="AT88" s="30"/>
    </row>
    <row r="89" spans="1:46" s="118" customFormat="1">
      <c r="A89" s="214" t="s">
        <v>212</v>
      </c>
      <c r="B89" s="93"/>
      <c r="C89" s="93"/>
      <c r="D89" s="93"/>
      <c r="E89" s="93"/>
      <c r="F89" s="24"/>
      <c r="G89" s="24"/>
      <c r="H89" s="93"/>
      <c r="I89" s="93"/>
      <c r="J89" s="24"/>
      <c r="K89" s="24"/>
      <c r="L89" s="93"/>
      <c r="M89" s="93"/>
      <c r="N89" s="24"/>
      <c r="O89" s="24"/>
      <c r="P89" s="93"/>
      <c r="Q89" s="93"/>
      <c r="R89" s="24"/>
      <c r="S89" s="24"/>
      <c r="T89" s="93"/>
      <c r="U89" s="93"/>
      <c r="V89" s="24"/>
      <c r="W89" s="24"/>
      <c r="X89" s="93"/>
      <c r="Y89" s="93"/>
      <c r="Z89" s="24"/>
      <c r="AA89" s="24"/>
      <c r="AB89" s="93"/>
      <c r="AC89" s="93"/>
      <c r="AD89" s="24"/>
      <c r="AE89" s="24"/>
      <c r="AF89" s="93"/>
      <c r="AG89" s="93"/>
      <c r="AH89" s="24"/>
      <c r="AI89" s="24"/>
      <c r="AJ89" s="25"/>
      <c r="AK89" s="25"/>
      <c r="AL89" s="26"/>
      <c r="AM89" s="26"/>
      <c r="AN89" s="27"/>
      <c r="AO89" s="84"/>
      <c r="AP89" s="31"/>
      <c r="AQ89" s="41"/>
      <c r="AR89" s="14"/>
      <c r="AS89" s="30"/>
      <c r="AT89" s="30"/>
    </row>
    <row r="90" spans="1:46">
      <c r="A90" s="216" t="s">
        <v>260</v>
      </c>
      <c r="B90" s="391">
        <v>13021036875.49</v>
      </c>
      <c r="C90" s="391">
        <v>54793.7</v>
      </c>
      <c r="D90" s="391">
        <v>13163655023.09</v>
      </c>
      <c r="E90" s="391">
        <v>55472.3</v>
      </c>
      <c r="F90" s="24">
        <f>((D90-B90)/B90)</f>
        <v>1.0952902519495666E-2</v>
      </c>
      <c r="G90" s="24">
        <f>((E90-C90)/C90)</f>
        <v>1.2384635459916119E-2</v>
      </c>
      <c r="H90" s="391">
        <v>13168504040.110001</v>
      </c>
      <c r="I90" s="391">
        <v>55571.217900000003</v>
      </c>
      <c r="J90" s="24">
        <f>((H90-D90)/D90)</f>
        <v>3.6836403046835639E-4</v>
      </c>
      <c r="K90" s="24">
        <f t="shared" ref="K90:K95" si="54">((I90-E90)/E90)</f>
        <v>1.7831944952706191E-3</v>
      </c>
      <c r="L90" s="391">
        <v>13175064474.889999</v>
      </c>
      <c r="M90" s="391">
        <v>55700.52</v>
      </c>
      <c r="N90" s="24">
        <f>((L90-H90)/H90)</f>
        <v>4.981913480845147E-4</v>
      </c>
      <c r="O90" s="24">
        <f t="shared" ref="O90:O95" si="55">((M90-I90)/I90)</f>
        <v>2.3267818285478588E-3</v>
      </c>
      <c r="P90" s="391">
        <v>13167363094.92</v>
      </c>
      <c r="Q90" s="391">
        <v>55667.96</v>
      </c>
      <c r="R90" s="24">
        <f>((P90-L90)/L90)</f>
        <v>-5.8454210866877847E-4</v>
      </c>
      <c r="S90" s="24">
        <f t="shared" ref="S90:S98" si="56">((Q90-M90)/M90)</f>
        <v>-5.8455468638349652E-4</v>
      </c>
      <c r="T90" s="391">
        <v>13170785930.469999</v>
      </c>
      <c r="U90" s="391">
        <v>55682.43</v>
      </c>
      <c r="V90" s="24">
        <f>((T90-P90)/P90)</f>
        <v>2.5994844414367027E-4</v>
      </c>
      <c r="W90" s="24">
        <f t="shared" ref="W90:W98" si="57">((U90-Q90)/Q90)</f>
        <v>2.5993408057347825E-4</v>
      </c>
      <c r="X90" s="391">
        <v>13163655023.09</v>
      </c>
      <c r="Y90" s="391">
        <v>55652.29</v>
      </c>
      <c r="Z90" s="24">
        <f>((X90-T90)/T90)</f>
        <v>-5.4141851652923301E-4</v>
      </c>
      <c r="AA90" s="24">
        <f t="shared" ref="AA90:AA98" si="58">((Y90-U90)/U90)</f>
        <v>-5.4128384842398974E-4</v>
      </c>
      <c r="AB90" s="391">
        <v>13163655023.09</v>
      </c>
      <c r="AC90" s="391">
        <v>55652.29</v>
      </c>
      <c r="AD90" s="24">
        <f>((AB90-X90)/X90)</f>
        <v>0</v>
      </c>
      <c r="AE90" s="24">
        <f t="shared" ref="AE90:AE98" si="59">((AC90-Y90)/Y90)</f>
        <v>0</v>
      </c>
      <c r="AF90" s="391">
        <v>13156524115.709999</v>
      </c>
      <c r="AG90" s="391">
        <v>55622.14</v>
      </c>
      <c r="AH90" s="24">
        <f>((AF90-AB90)/AB90)</f>
        <v>-5.4171180933357353E-4</v>
      </c>
      <c r="AI90" s="24">
        <f t="shared" ref="AI90:AI98" si="60">((AG90-AC90)/AC90)</f>
        <v>-5.417566824294464E-4</v>
      </c>
      <c r="AJ90" s="25">
        <f t="shared" si="48"/>
        <v>1.3014667384575779E-3</v>
      </c>
      <c r="AK90" s="25">
        <f t="shared" si="49"/>
        <v>1.8858688308838927E-3</v>
      </c>
      <c r="AL90" s="26">
        <f t="shared" si="50"/>
        <v>-5.4171180933357353E-4</v>
      </c>
      <c r="AM90" s="26">
        <f t="shared" si="51"/>
        <v>2.701167970320259E-3</v>
      </c>
      <c r="AN90" s="27">
        <f t="shared" si="52"/>
        <v>3.9241975207707711E-3</v>
      </c>
      <c r="AO90" s="84">
        <f t="shared" si="53"/>
        <v>4.3836814306402131E-3</v>
      </c>
      <c r="AP90" s="31"/>
      <c r="AQ90" s="50">
        <v>31507613595.857655</v>
      </c>
      <c r="AR90" s="50">
        <v>11.808257597614354</v>
      </c>
      <c r="AS90" s="30" t="e">
        <f>(#REF!/AQ90)-1</f>
        <v>#REF!</v>
      </c>
      <c r="AT90" s="30" t="e">
        <f>(#REF!/AR90)-1</f>
        <v>#REF!</v>
      </c>
    </row>
    <row r="91" spans="1:46">
      <c r="A91" s="216" t="s">
        <v>177</v>
      </c>
      <c r="B91" s="391">
        <v>77171782276.050003</v>
      </c>
      <c r="C91" s="391">
        <v>57162.11</v>
      </c>
      <c r="D91" s="391">
        <v>78095108316.550003</v>
      </c>
      <c r="E91" s="391">
        <v>57847.73</v>
      </c>
      <c r="F91" s="24">
        <f>((D103-B91)/B91)</f>
        <v>-0.92495274177311071</v>
      </c>
      <c r="G91" s="24">
        <f>((E91-C91)/C91)</f>
        <v>1.1994308817501709E-2</v>
      </c>
      <c r="H91" s="391">
        <v>74531918693.929993</v>
      </c>
      <c r="I91" s="391">
        <v>57928.14</v>
      </c>
      <c r="J91" s="24">
        <f>((H103-D91)/D91)</f>
        <v>-0.92584245670272425</v>
      </c>
      <c r="K91" s="24">
        <f t="shared" si="54"/>
        <v>1.3900286147787684E-3</v>
      </c>
      <c r="L91" s="391">
        <v>74146134557.460007</v>
      </c>
      <c r="M91" s="391">
        <v>58019.81</v>
      </c>
      <c r="N91" s="24">
        <f>((L103-H91)/H91)</f>
        <v>-0.92235919515484999</v>
      </c>
      <c r="O91" s="24">
        <f t="shared" si="55"/>
        <v>1.5824778769005575E-3</v>
      </c>
      <c r="P91" s="391">
        <v>73893423959.940002</v>
      </c>
      <c r="Q91" s="391">
        <v>58027.72</v>
      </c>
      <c r="R91" s="24">
        <f>((P103-L91)/L91)</f>
        <v>-0.92098537223191568</v>
      </c>
      <c r="S91" s="24">
        <f t="shared" si="56"/>
        <v>1.3633274566055099E-4</v>
      </c>
      <c r="T91" s="391">
        <v>73991820810.800003</v>
      </c>
      <c r="U91" s="391">
        <v>58133.03</v>
      </c>
      <c r="V91" s="24">
        <f>((T103-P91)/P91)</f>
        <v>-0.91976979901115397</v>
      </c>
      <c r="W91" s="24">
        <f t="shared" si="57"/>
        <v>1.8148222952753903E-3</v>
      </c>
      <c r="X91" s="391">
        <v>74073614442.820007</v>
      </c>
      <c r="Y91" s="391">
        <v>58150.34</v>
      </c>
      <c r="Z91" s="24">
        <f>((X103-T91)/T91)</f>
        <v>-0.9174655234796083</v>
      </c>
      <c r="AA91" s="24">
        <f t="shared" si="58"/>
        <v>2.9776531517448294E-4</v>
      </c>
      <c r="AB91" s="391">
        <v>74233890489.979996</v>
      </c>
      <c r="AC91" s="391">
        <v>58208.49</v>
      </c>
      <c r="AD91" s="24">
        <f>((AB103-X91)/X91)</f>
        <v>-0.91585510697980843</v>
      </c>
      <c r="AE91" s="24">
        <f t="shared" si="59"/>
        <v>9.999941530866622E-4</v>
      </c>
      <c r="AF91" s="391">
        <v>73852641480.039993</v>
      </c>
      <c r="AG91" s="391">
        <v>58235.07</v>
      </c>
      <c r="AH91" s="24">
        <f>((AF103-AB91)/AB91)</f>
        <v>-0.91464369260809164</v>
      </c>
      <c r="AI91" s="24">
        <f t="shared" si="60"/>
        <v>4.5663441879357716E-4</v>
      </c>
      <c r="AJ91" s="25">
        <f t="shared" si="48"/>
        <v>-0.92023423599265786</v>
      </c>
      <c r="AK91" s="25">
        <f t="shared" si="49"/>
        <v>2.3340455296464624E-3</v>
      </c>
      <c r="AL91" s="26">
        <f t="shared" si="50"/>
        <v>-5.4324360743743812E-2</v>
      </c>
      <c r="AM91" s="26">
        <f t="shared" si="51"/>
        <v>6.6958547898075945E-3</v>
      </c>
      <c r="AN91" s="27">
        <f t="shared" si="52"/>
        <v>4.0902062532608219E-3</v>
      </c>
      <c r="AO91" s="84">
        <f t="shared" si="53"/>
        <v>3.9519804362081745E-3</v>
      </c>
      <c r="AP91" s="31"/>
      <c r="AQ91" s="41">
        <f>SUM(AQ90:AQ90)</f>
        <v>31507613595.857655</v>
      </c>
      <c r="AR91" s="14"/>
      <c r="AS91" s="30" t="e">
        <f>(#REF!/AQ91)-1</f>
        <v>#REF!</v>
      </c>
      <c r="AT91" s="30" t="e">
        <f>(#REF!/AR91)-1</f>
        <v>#REF!</v>
      </c>
    </row>
    <row r="92" spans="1:46">
      <c r="A92" s="216" t="s">
        <v>129</v>
      </c>
      <c r="B92" s="391">
        <v>6116811736.6400003</v>
      </c>
      <c r="C92" s="391">
        <v>446.63</v>
      </c>
      <c r="D92" s="391">
        <v>6139535902.8500004</v>
      </c>
      <c r="E92" s="391">
        <v>448.55</v>
      </c>
      <c r="F92" s="24">
        <f>((D104-B92)/B92)</f>
        <v>-0.94147637646656757</v>
      </c>
      <c r="G92" s="24">
        <f>((E92-C92)/C92)</f>
        <v>4.2988603542082173E-3</v>
      </c>
      <c r="H92" s="391">
        <v>6173356433.3199997</v>
      </c>
      <c r="I92" s="391">
        <v>450.58</v>
      </c>
      <c r="J92" s="24">
        <f>((H104-D92)/D92)</f>
        <v>-0.93833571434540242</v>
      </c>
      <c r="K92" s="24">
        <f t="shared" si="54"/>
        <v>4.5256939025749027E-3</v>
      </c>
      <c r="L92" s="391">
        <v>6259776164.21</v>
      </c>
      <c r="M92" s="391">
        <v>453.11</v>
      </c>
      <c r="N92" s="24">
        <f>((L104-H92)/H92)</f>
        <v>-0.93644193368258388</v>
      </c>
      <c r="O92" s="24">
        <f t="shared" si="55"/>
        <v>5.614985130276598E-3</v>
      </c>
      <c r="P92" s="391">
        <v>6292787089.46</v>
      </c>
      <c r="Q92" s="391">
        <v>455.06</v>
      </c>
      <c r="R92" s="24">
        <f>((P104-L92)/L92)</f>
        <v>-0.93746419871238262</v>
      </c>
      <c r="S92" s="24">
        <f t="shared" si="56"/>
        <v>4.303590739555491E-3</v>
      </c>
      <c r="T92" s="391">
        <v>6374295367.1899996</v>
      </c>
      <c r="U92" s="391">
        <v>460.41</v>
      </c>
      <c r="V92" s="24">
        <f>((T104-P92)/P92)</f>
        <v>-0.93811184568880446</v>
      </c>
      <c r="W92" s="24">
        <f t="shared" si="57"/>
        <v>1.1756691425306602E-2</v>
      </c>
      <c r="X92" s="391">
        <v>4983719407.1000004</v>
      </c>
      <c r="Y92" s="391">
        <v>459.7</v>
      </c>
      <c r="Z92" s="24">
        <f>((X104-T92)/T92)</f>
        <v>-0.94114001784868706</v>
      </c>
      <c r="AA92" s="24">
        <f t="shared" si="58"/>
        <v>-1.5421037770683441E-3</v>
      </c>
      <c r="AB92" s="391">
        <v>6318388736.75</v>
      </c>
      <c r="AC92" s="391">
        <v>460.52</v>
      </c>
      <c r="AD92" s="24">
        <f>((AB104-X92)/X92)</f>
        <v>-0.92544837542204261</v>
      </c>
      <c r="AE92" s="24">
        <f t="shared" si="59"/>
        <v>1.7837720252338333E-3</v>
      </c>
      <c r="AF92" s="391">
        <v>6343533464.6800003</v>
      </c>
      <c r="AG92" s="391">
        <v>460.5</v>
      </c>
      <c r="AH92" s="24">
        <f>((AF104-AB92)/AB92)</f>
        <v>-0.9409473908261109</v>
      </c>
      <c r="AI92" s="24">
        <f t="shared" si="60"/>
        <v>-4.3429167028536896E-5</v>
      </c>
      <c r="AJ92" s="25">
        <f t="shared" si="48"/>
        <v>-0.93742073162407258</v>
      </c>
      <c r="AK92" s="25">
        <f t="shared" si="49"/>
        <v>3.8372575791323451E-3</v>
      </c>
      <c r="AL92" s="26">
        <f t="shared" si="50"/>
        <v>3.322687008562053E-2</v>
      </c>
      <c r="AM92" s="26">
        <f t="shared" si="51"/>
        <v>2.6641400066882148E-2</v>
      </c>
      <c r="AN92" s="27">
        <f t="shared" si="52"/>
        <v>5.1869444637956336E-3</v>
      </c>
      <c r="AO92" s="84">
        <f t="shared" si="53"/>
        <v>4.053152162072921E-3</v>
      </c>
      <c r="AP92" s="31"/>
      <c r="AQ92" s="41"/>
      <c r="AR92" s="14"/>
      <c r="AS92" s="30" t="e">
        <f>(#REF!/AQ92)-1</f>
        <v>#REF!</v>
      </c>
      <c r="AT92" s="30" t="e">
        <f>(#REF!/AR92)-1</f>
        <v>#REF!</v>
      </c>
    </row>
    <row r="93" spans="1:46">
      <c r="A93" s="216" t="s">
        <v>137</v>
      </c>
      <c r="B93" s="391">
        <v>761779373.22479999</v>
      </c>
      <c r="C93" s="391">
        <v>54444.433571360001</v>
      </c>
      <c r="D93" s="391">
        <v>774605565.02700007</v>
      </c>
      <c r="E93" s="391">
        <v>56305.976253100001</v>
      </c>
      <c r="F93" s="24">
        <f>((D105-B93)/B93)</f>
        <v>1.4135449078389857</v>
      </c>
      <c r="G93" s="24">
        <f>((E93-C93)/C93)</f>
        <v>3.4191607105253236E-2</v>
      </c>
      <c r="H93" s="391">
        <v>780034456.45439994</v>
      </c>
      <c r="I93" s="391">
        <v>56713.759283159998</v>
      </c>
      <c r="J93" s="24">
        <f>((H105-D93)/D93)</f>
        <v>1.3855949814039521</v>
      </c>
      <c r="K93" s="24">
        <f t="shared" si="54"/>
        <v>7.2422690661996152E-3</v>
      </c>
      <c r="L93" s="391">
        <v>786458698.37250006</v>
      </c>
      <c r="M93" s="391">
        <v>57194.106337199999</v>
      </c>
      <c r="N93" s="24">
        <f>((L105-H93)/H93)</f>
        <v>1.3822155293646958</v>
      </c>
      <c r="O93" s="24">
        <f t="shared" si="55"/>
        <v>8.4696740281618148E-3</v>
      </c>
      <c r="P93" s="391">
        <v>773860945.55639994</v>
      </c>
      <c r="Q93" s="391">
        <f>126.45*455.56</f>
        <v>57605.561999999998</v>
      </c>
      <c r="R93" s="24">
        <f>((P105-L93)/L93)</f>
        <v>1.2128476577428502</v>
      </c>
      <c r="S93" s="24">
        <f t="shared" si="56"/>
        <v>7.1940220618917422E-3</v>
      </c>
      <c r="T93" s="391">
        <f>1737078.23*460.91</f>
        <v>800636726.98930001</v>
      </c>
      <c r="U93" s="391">
        <f>126.88*460.91</f>
        <v>58480.260800000004</v>
      </c>
      <c r="V93" s="24">
        <f>((T105-P93)/P93)</f>
        <v>1.252600435278151</v>
      </c>
      <c r="W93" s="24">
        <f t="shared" si="57"/>
        <v>1.5184276823824852E-2</v>
      </c>
      <c r="X93" s="391">
        <f>1703823.57*460.2</f>
        <v>784099606.91400003</v>
      </c>
      <c r="Y93" s="391">
        <f>126.78*460.2</f>
        <v>58344.156000000003</v>
      </c>
      <c r="Z93" s="24">
        <f>((X105-T93)/T93)</f>
        <v>1.2236162359672635</v>
      </c>
      <c r="AA93" s="24">
        <f t="shared" si="58"/>
        <v>-2.3273630818007734E-3</v>
      </c>
      <c r="AB93" s="391">
        <f>1673281.9*460.99</f>
        <v>771366223.08099997</v>
      </c>
      <c r="AC93" s="391">
        <f>124.594756*460.99</f>
        <v>57436.936568440004</v>
      </c>
      <c r="AD93" s="24">
        <f>((AB105-X93)/X93)</f>
        <v>1.3817392807419211</v>
      </c>
      <c r="AE93" s="24">
        <f t="shared" si="59"/>
        <v>-1.5549448201118875E-2</v>
      </c>
      <c r="AF93" s="391">
        <f>1660839.34*461</f>
        <v>765646935.74000001</v>
      </c>
      <c r="AG93" s="391">
        <f>124.43*461</f>
        <v>57362.23</v>
      </c>
      <c r="AH93" s="24">
        <f>((AF105-AB93)/AB93)</f>
        <v>1.4238237024831253</v>
      </c>
      <c r="AI93" s="24">
        <f t="shared" si="60"/>
        <v>-1.3006711865801281E-3</v>
      </c>
      <c r="AJ93" s="25">
        <f t="shared" si="48"/>
        <v>1.3344978413526181</v>
      </c>
      <c r="AK93" s="25">
        <f t="shared" si="49"/>
        <v>6.6380458269789354E-3</v>
      </c>
      <c r="AL93" s="26">
        <f t="shared" si="50"/>
        <v>-1.1565407855916698E-2</v>
      </c>
      <c r="AM93" s="26">
        <f t="shared" si="51"/>
        <v>1.875917650645207E-2</v>
      </c>
      <c r="AN93" s="27">
        <f t="shared" si="52"/>
        <v>8.8759611117310705E-2</v>
      </c>
      <c r="AO93" s="84">
        <f t="shared" si="53"/>
        <v>1.450099768243015E-2</v>
      </c>
      <c r="AP93" s="31"/>
      <c r="AQ93" s="29">
        <v>885354617.76999998</v>
      </c>
      <c r="AR93" s="29">
        <v>1763.14</v>
      </c>
      <c r="AS93" s="30" t="e">
        <f>(#REF!/AQ93)-1</f>
        <v>#REF!</v>
      </c>
      <c r="AT93" s="30" t="e">
        <f>(#REF!/AR93)-1</f>
        <v>#REF!</v>
      </c>
    </row>
    <row r="94" spans="1:46">
      <c r="A94" s="216" t="s">
        <v>155</v>
      </c>
      <c r="B94" s="391">
        <v>773912498.41999996</v>
      </c>
      <c r="C94" s="391">
        <f>107.1676*446.13</f>
        <v>47810.681387999997</v>
      </c>
      <c r="D94" s="391">
        <v>784374854.34000003</v>
      </c>
      <c r="E94" s="391">
        <f>107.2694*449.05</f>
        <v>48169.324070000002</v>
      </c>
      <c r="F94" s="24">
        <f>((D106-B94)/B94)</f>
        <v>-0.86882834393132136</v>
      </c>
      <c r="G94" s="24">
        <f>((E94-C94)/C94)</f>
        <v>7.5013087366293191E-3</v>
      </c>
      <c r="H94" s="391">
        <v>787848977.04999995</v>
      </c>
      <c r="I94" s="391">
        <f>107.3858*451.08</f>
        <v>48439.586664000002</v>
      </c>
      <c r="J94" s="24">
        <f>((H106-D94)/D94)</f>
        <v>-0.86864733355495849</v>
      </c>
      <c r="K94" s="24">
        <f t="shared" si="54"/>
        <v>5.6106785639601729E-3</v>
      </c>
      <c r="L94" s="391">
        <v>791433965.40999997</v>
      </c>
      <c r="M94" s="391">
        <f>107.5032*453.11</f>
        <v>48710.774952000007</v>
      </c>
      <c r="N94" s="24">
        <f>((L106-H94)/H94)</f>
        <v>-0.86239038173794624</v>
      </c>
      <c r="O94" s="24">
        <f t="shared" si="55"/>
        <v>5.5984847657990083E-3</v>
      </c>
      <c r="P94" s="391">
        <v>806609426.70000005</v>
      </c>
      <c r="Q94" s="391">
        <f>107.6226*455.06</f>
        <v>48974.740356000002</v>
      </c>
      <c r="R94" s="24">
        <f>((P106-L94)/L94)</f>
        <v>-0.862369117373461</v>
      </c>
      <c r="S94" s="24">
        <f t="shared" si="56"/>
        <v>5.4190351982720186E-3</v>
      </c>
      <c r="T94" s="391">
        <v>804372051.39999998</v>
      </c>
      <c r="U94" s="391">
        <f>105.8168*455.06</f>
        <v>48152.993007999998</v>
      </c>
      <c r="V94" s="24">
        <f>((T106-P94)/P94)</f>
        <v>-0.86775017010224587</v>
      </c>
      <c r="W94" s="24">
        <f t="shared" si="57"/>
        <v>-1.6779003666516232E-2</v>
      </c>
      <c r="X94" s="391">
        <v>790231292.03999996</v>
      </c>
      <c r="Y94" s="391">
        <f>106.2165*460.2</f>
        <v>48880.833299999998</v>
      </c>
      <c r="Z94" s="24">
        <f>((X106-T94)/T94)</f>
        <v>-0.87292983257921286</v>
      </c>
      <c r="AA94" s="24">
        <f t="shared" si="58"/>
        <v>1.5115162039441235E-2</v>
      </c>
      <c r="AB94" s="391">
        <v>791632314.23000002</v>
      </c>
      <c r="AC94" s="391">
        <f>106.339*460.99</f>
        <v>49021.215609999999</v>
      </c>
      <c r="AD94" s="24">
        <f>((AB106-X94)/X94)</f>
        <v>-0.8727350028516595</v>
      </c>
      <c r="AE94" s="24">
        <f t="shared" si="59"/>
        <v>2.8719295585331373E-3</v>
      </c>
      <c r="AF94" s="391">
        <v>800573217.45000005</v>
      </c>
      <c r="AG94" s="391">
        <f>106.4609*460.5</f>
        <v>49025.244449999998</v>
      </c>
      <c r="AH94" s="24">
        <f>((AF106-AB94)/AB94)</f>
        <v>-0.87231218787686848</v>
      </c>
      <c r="AI94" s="24">
        <f t="shared" si="60"/>
        <v>8.2185640438854794E-5</v>
      </c>
      <c r="AJ94" s="25">
        <f t="shared" si="48"/>
        <v>-0.86849529625095923</v>
      </c>
      <c r="AK94" s="25">
        <f t="shared" si="49"/>
        <v>3.1774726045696892E-3</v>
      </c>
      <c r="AL94" s="26">
        <f t="shared" si="50"/>
        <v>2.0651303417458321E-2</v>
      </c>
      <c r="AM94" s="26">
        <f t="shared" si="51"/>
        <v>1.7768992954025394E-2</v>
      </c>
      <c r="AN94" s="27">
        <f t="shared" si="52"/>
        <v>4.2711354147439411E-3</v>
      </c>
      <c r="AO94" s="84">
        <f t="shared" si="53"/>
        <v>9.1491255244046006E-3</v>
      </c>
      <c r="AP94" s="31"/>
      <c r="AQ94" s="34">
        <v>113791197</v>
      </c>
      <c r="AR94" s="33">
        <v>81.52</v>
      </c>
      <c r="AS94" s="30" t="e">
        <f>(#REF!/AQ94)-1</f>
        <v>#REF!</v>
      </c>
      <c r="AT94" s="30" t="e">
        <f>(#REF!/AR94)-1</f>
        <v>#REF!</v>
      </c>
    </row>
    <row r="95" spans="1:46">
      <c r="A95" s="216" t="s">
        <v>156</v>
      </c>
      <c r="B95" s="391">
        <f>10656709.8*447.28</f>
        <v>4766533159.3439999</v>
      </c>
      <c r="C95" s="391">
        <f>1.1036*447.28</f>
        <v>493.61820799999992</v>
      </c>
      <c r="D95" s="391">
        <f>10986397.48*448.55</f>
        <v>4927948589.6540003</v>
      </c>
      <c r="E95" s="391">
        <f>1.1251*448.55</f>
        <v>504.66360500000002</v>
      </c>
      <c r="F95" s="24">
        <f>((D109-B95)/B95)</f>
        <v>-1</v>
      </c>
      <c r="G95" s="24">
        <f>((E95-C95)/C95)</f>
        <v>2.2376397023020866E-2</v>
      </c>
      <c r="H95" s="391">
        <f>11004138.39*450.58</f>
        <v>4958244675.7662001</v>
      </c>
      <c r="I95" s="391">
        <f>1.1264*450.58</f>
        <v>507.53331200000002</v>
      </c>
      <c r="J95" s="24">
        <f>((H109-D95)/D95)</f>
        <v>-1</v>
      </c>
      <c r="K95" s="24">
        <f t="shared" si="54"/>
        <v>5.6863759771224346E-3</v>
      </c>
      <c r="L95" s="391">
        <f>11016061.6*453.11</f>
        <v>4991487671.5760002</v>
      </c>
      <c r="M95" s="391">
        <f>1.1277*453.11</f>
        <v>510.97214700000001</v>
      </c>
      <c r="N95" s="24">
        <f>((L109-H95)/H95)</f>
        <v>-1</v>
      </c>
      <c r="O95" s="24">
        <f t="shared" si="55"/>
        <v>6.7755848112684728E-3</v>
      </c>
      <c r="P95" s="391">
        <f>11138395.61*455.58</f>
        <v>5074430272.0037994</v>
      </c>
      <c r="Q95" s="391">
        <f>1.1289*455.58</f>
        <v>514.30426199999999</v>
      </c>
      <c r="R95" s="24">
        <f>((P109-L95)/L95)</f>
        <v>-1</v>
      </c>
      <c r="S95" s="24">
        <f t="shared" si="56"/>
        <v>6.5211284402943931E-3</v>
      </c>
      <c r="T95" s="391">
        <f>11149549.15*460.41</f>
        <v>5133363924.1515007</v>
      </c>
      <c r="U95" s="391">
        <f>1.1301*460.41</f>
        <v>520.30934100000013</v>
      </c>
      <c r="V95" s="24">
        <f>((T109-P95)/P95)</f>
        <v>-1</v>
      </c>
      <c r="W95" s="24">
        <f t="shared" si="57"/>
        <v>1.1676121400681951E-2</v>
      </c>
      <c r="X95" s="391">
        <f>11166736.42 *459.7</f>
        <v>5133348732.2740002</v>
      </c>
      <c r="Y95" s="391">
        <f>1.1312 *459.7</f>
        <v>520.01264000000003</v>
      </c>
      <c r="Z95" s="24">
        <f>((X109-T95)/T95)</f>
        <v>-1</v>
      </c>
      <c r="AA95" s="24">
        <f t="shared" si="58"/>
        <v>-5.7023961828142188E-4</v>
      </c>
      <c r="AB95" s="391">
        <f>11182378.13 *461</f>
        <v>5155076317.9300003</v>
      </c>
      <c r="AC95" s="391">
        <f>1.1322*461</f>
        <v>521.94420000000002</v>
      </c>
      <c r="AD95" s="24">
        <f>((AB109-X95)/X95)</f>
        <v>-1</v>
      </c>
      <c r="AE95" s="24">
        <f t="shared" si="59"/>
        <v>3.7144481718751881E-3</v>
      </c>
      <c r="AF95" s="391">
        <f>11204270.26 *460.5</f>
        <v>5159566454.7299995</v>
      </c>
      <c r="AG95" s="391">
        <f>1.1335*460.5</f>
        <v>521.97674999999992</v>
      </c>
      <c r="AH95" s="24" t="e">
        <f>((#REF!-AB95)/AB95)</f>
        <v>#REF!</v>
      </c>
      <c r="AI95" s="24">
        <f t="shared" si="60"/>
        <v>6.2362988227287596E-5</v>
      </c>
      <c r="AJ95" s="25" t="e">
        <f t="shared" si="48"/>
        <v>#REF!</v>
      </c>
      <c r="AK95" s="25">
        <f t="shared" si="49"/>
        <v>7.0302723992761466E-3</v>
      </c>
      <c r="AL95" s="26">
        <f t="shared" si="50"/>
        <v>4.7000868791989885E-2</v>
      </c>
      <c r="AM95" s="26">
        <f t="shared" si="51"/>
        <v>3.4306307862244013E-2</v>
      </c>
      <c r="AN95" s="27" t="e">
        <f t="shared" si="52"/>
        <v>#REF!</v>
      </c>
      <c r="AO95" s="84">
        <f t="shared" si="53"/>
        <v>7.3341845358366377E-3</v>
      </c>
      <c r="AP95" s="31"/>
      <c r="AQ95" s="29">
        <v>1066913090.3099999</v>
      </c>
      <c r="AR95" s="33">
        <v>1.1691</v>
      </c>
      <c r="AS95" s="30" t="e">
        <f>(#REF!/AQ95)-1</f>
        <v>#REF!</v>
      </c>
      <c r="AT95" s="30" t="e">
        <f>(#REF!/AR95)-1</f>
        <v>#REF!</v>
      </c>
    </row>
    <row r="96" spans="1:46" s="329" customFormat="1">
      <c r="A96" s="227" t="s">
        <v>187</v>
      </c>
      <c r="B96" s="391">
        <v>940953768.01479995</v>
      </c>
      <c r="C96" s="391">
        <v>46885.336391999997</v>
      </c>
      <c r="D96" s="391">
        <v>967399492.15500009</v>
      </c>
      <c r="E96" s="391">
        <v>47084.248645</v>
      </c>
      <c r="F96" s="24">
        <f>((D96-B96)/B96)</f>
        <v>2.8105232200721877E-2</v>
      </c>
      <c r="G96" s="24">
        <f>((E96-C96)/C96)</f>
        <v>4.2425258792414778E-3</v>
      </c>
      <c r="H96" s="391">
        <v>973632535.15750003</v>
      </c>
      <c r="I96" s="391">
        <v>47337.801684999999</v>
      </c>
      <c r="J96" s="24">
        <f t="shared" ref="J96:K98" si="61">((H96-D96)/D96)</f>
        <v>6.4430910425796028E-3</v>
      </c>
      <c r="K96" s="24">
        <f t="shared" si="61"/>
        <v>5.3850926221995542E-3</v>
      </c>
      <c r="L96" s="391">
        <v>978855851.20679998</v>
      </c>
      <c r="M96" s="391">
        <v>47591.763257999999</v>
      </c>
      <c r="N96" s="24">
        <f t="shared" ref="N96:O98" si="62">((L96-H96)/H96)</f>
        <v>5.3647714724888518E-3</v>
      </c>
      <c r="O96" s="24">
        <f t="shared" si="62"/>
        <v>5.3648788908690218E-3</v>
      </c>
      <c r="P96" s="391">
        <v>983981337.05760002</v>
      </c>
      <c r="Q96" s="391">
        <v>47840.952292000002</v>
      </c>
      <c r="R96" s="24">
        <f t="shared" ref="R96:R98" si="63">((P96-L96)/L96)</f>
        <v>5.2362008609142911E-3</v>
      </c>
      <c r="S96" s="24">
        <f t="shared" si="56"/>
        <v>5.2359697758858504E-3</v>
      </c>
      <c r="T96" s="391">
        <v>1003244687.8461001</v>
      </c>
      <c r="U96" s="391">
        <v>48449.845198000003</v>
      </c>
      <c r="V96" s="24">
        <f t="shared" ref="V96:V98" si="64">((T96-P96)/P96)</f>
        <v>1.9576947308882178E-2</v>
      </c>
      <c r="W96" s="24">
        <f t="shared" si="57"/>
        <v>1.2727441173904485E-2</v>
      </c>
      <c r="X96" s="391">
        <v>1004853414.318</v>
      </c>
      <c r="Y96" s="391">
        <v>48457.449299999993</v>
      </c>
      <c r="Z96" s="24">
        <f t="shared" ref="Z96:Z98" si="65">((X96-T96)/T96)</f>
        <v>1.6035235385633551E-3</v>
      </c>
      <c r="AA96" s="24">
        <f t="shared" si="58"/>
        <v>1.5694791116286434E-4</v>
      </c>
      <c r="AB96" s="391">
        <v>1007824006.0574</v>
      </c>
      <c r="AC96" s="391">
        <v>48600.682298</v>
      </c>
      <c r="AD96" s="24">
        <f t="shared" ref="AD96:AD98" si="66">((AB96-X96)/X96)</f>
        <v>2.9562438631073247E-3</v>
      </c>
      <c r="AE96" s="24">
        <f t="shared" si="59"/>
        <v>2.9558509593282864E-3</v>
      </c>
      <c r="AF96" s="391">
        <v>1006925825.6799999</v>
      </c>
      <c r="AG96" s="391">
        <v>48646.333500000001</v>
      </c>
      <c r="AH96" s="24">
        <f t="shared" ref="AH96:AH98" si="67">((AF96-AB96)/AB96)</f>
        <v>-8.9120756402074166E-4</v>
      </c>
      <c r="AI96" s="24">
        <f t="shared" si="60"/>
        <v>9.3931195698212545E-4</v>
      </c>
      <c r="AJ96" s="25">
        <f t="shared" si="48"/>
        <v>8.5493503404045924E-3</v>
      </c>
      <c r="AK96" s="25">
        <f t="shared" si="49"/>
        <v>4.626002396196708E-3</v>
      </c>
      <c r="AL96" s="26">
        <f t="shared" si="50"/>
        <v>4.0858336029255232E-2</v>
      </c>
      <c r="AM96" s="26">
        <f t="shared" si="51"/>
        <v>3.3176378512007602E-2</v>
      </c>
      <c r="AN96" s="27">
        <f t="shared" si="52"/>
        <v>9.9874687489396839E-3</v>
      </c>
      <c r="AO96" s="84">
        <f t="shared" si="53"/>
        <v>3.8475989055281805E-3</v>
      </c>
      <c r="AP96" s="31"/>
      <c r="AQ96" s="29"/>
      <c r="AR96" s="33"/>
      <c r="AS96" s="30"/>
      <c r="AT96" s="30"/>
    </row>
    <row r="97" spans="1:46" s="329" customFormat="1">
      <c r="A97" s="227" t="s">
        <v>257</v>
      </c>
      <c r="B97" s="391">
        <f>77636.25*447.28</f>
        <v>34725141.899999999</v>
      </c>
      <c r="C97" s="391">
        <f>98.24*447.28</f>
        <v>43940.787199999992</v>
      </c>
      <c r="D97" s="391">
        <f>77691.32*449.05</f>
        <v>34887287.246000007</v>
      </c>
      <c r="E97" s="391">
        <f>98.31*449.05</f>
        <v>44146.105500000005</v>
      </c>
      <c r="F97" s="24">
        <f>((D97-B97)/B97)</f>
        <v>4.6693933308306597E-3</v>
      </c>
      <c r="G97" s="24">
        <f>((E97-C97)/C97)</f>
        <v>4.6726131479049512E-3</v>
      </c>
      <c r="H97" s="391">
        <f>77541.85*451.08</f>
        <v>34977577.697999999</v>
      </c>
      <c r="I97" s="391">
        <f>98.12*451.08</f>
        <v>44259.969600000004</v>
      </c>
      <c r="J97" s="24">
        <f t="shared" si="61"/>
        <v>2.5880617017691554E-3</v>
      </c>
      <c r="K97" s="24">
        <f t="shared" si="61"/>
        <v>2.5792558303925329E-3</v>
      </c>
      <c r="L97" s="391">
        <f>77595.49*453.61</f>
        <v>35198090.218900003</v>
      </c>
      <c r="M97" s="391">
        <f>98.19*453.61</f>
        <v>44539.965900000003</v>
      </c>
      <c r="N97" s="24">
        <f t="shared" si="62"/>
        <v>6.304396570967017E-3</v>
      </c>
      <c r="O97" s="24">
        <f t="shared" si="62"/>
        <v>6.3261747021172571E-3</v>
      </c>
      <c r="P97" s="391">
        <f>79593.26*455.56</f>
        <v>36259505.525600001</v>
      </c>
      <c r="Q97" s="391">
        <f>100.72*455.56</f>
        <v>45884.003199999999</v>
      </c>
      <c r="R97" s="24">
        <f t="shared" si="63"/>
        <v>3.0155480030279031E-2</v>
      </c>
      <c r="S97" s="24">
        <f t="shared" si="56"/>
        <v>3.0175984036844451E-2</v>
      </c>
      <c r="T97" s="391">
        <f>79646.33*460.91</f>
        <v>36709789.960300006</v>
      </c>
      <c r="U97" s="391">
        <f>100.79*460.91</f>
        <v>46455.118900000009</v>
      </c>
      <c r="V97" s="24">
        <f t="shared" si="64"/>
        <v>1.2418383212150925E-2</v>
      </c>
      <c r="W97" s="24">
        <f t="shared" si="57"/>
        <v>1.2446945780005729E-2</v>
      </c>
      <c r="X97" s="391">
        <f>79699.39*460.2</f>
        <v>36677659.277999997</v>
      </c>
      <c r="Y97" s="391">
        <f>100.85*460.2</f>
        <v>46411.17</v>
      </c>
      <c r="Z97" s="24">
        <f t="shared" si="65"/>
        <v>-8.7526194878142117E-4</v>
      </c>
      <c r="AA97" s="24">
        <f t="shared" si="58"/>
        <v>-9.4605074834950686E-4</v>
      </c>
      <c r="AB97" s="391">
        <f>79752.44*460.99</f>
        <v>36765077.3156</v>
      </c>
      <c r="AC97" s="391">
        <f>100.92*460.99</f>
        <v>46523.110800000002</v>
      </c>
      <c r="AD97" s="24">
        <f t="shared" si="66"/>
        <v>2.3834137543351434E-3</v>
      </c>
      <c r="AE97" s="24">
        <f t="shared" si="59"/>
        <v>2.4119366092258381E-3</v>
      </c>
      <c r="AF97" s="391">
        <f>79805.48*461</f>
        <v>36790326.280000001</v>
      </c>
      <c r="AG97" s="391">
        <f>100.99*461</f>
        <v>46556.39</v>
      </c>
      <c r="AH97" s="24">
        <f t="shared" si="67"/>
        <v>6.8676489330507507E-4</v>
      </c>
      <c r="AI97" s="24">
        <f t="shared" si="60"/>
        <v>7.1532619869428885E-4</v>
      </c>
      <c r="AJ97" s="25">
        <f t="shared" si="48"/>
        <v>7.2913289431069481E-3</v>
      </c>
      <c r="AK97" s="25">
        <f t="shared" si="49"/>
        <v>7.2977731946044424E-3</v>
      </c>
      <c r="AL97" s="26">
        <f t="shared" si="50"/>
        <v>5.4548208938721275E-2</v>
      </c>
      <c r="AM97" s="26">
        <f t="shared" si="51"/>
        <v>5.459789652339761E-2</v>
      </c>
      <c r="AN97" s="27">
        <f t="shared" si="52"/>
        <v>1.0095448052066991E-2</v>
      </c>
      <c r="AO97" s="84">
        <f t="shared" si="53"/>
        <v>1.010789666879605E-2</v>
      </c>
      <c r="AP97" s="31"/>
      <c r="AQ97" s="29"/>
      <c r="AR97" s="33"/>
      <c r="AS97" s="30"/>
      <c r="AT97" s="30"/>
    </row>
    <row r="98" spans="1:46">
      <c r="A98" s="227" t="s">
        <v>274</v>
      </c>
      <c r="B98" s="391">
        <v>0</v>
      </c>
      <c r="C98" s="391">
        <v>0</v>
      </c>
      <c r="D98" s="391">
        <v>0</v>
      </c>
      <c r="E98" s="391">
        <v>0</v>
      </c>
      <c r="F98" s="24" t="e">
        <f>((D98-B98)/B98)</f>
        <v>#DIV/0!</v>
      </c>
      <c r="G98" s="24" t="e">
        <f>((E98-C98)/C98)</f>
        <v>#DIV/0!</v>
      </c>
      <c r="H98" s="391">
        <v>0</v>
      </c>
      <c r="I98" s="391">
        <v>0</v>
      </c>
      <c r="J98" s="24" t="e">
        <f t="shared" si="61"/>
        <v>#DIV/0!</v>
      </c>
      <c r="K98" s="24" t="e">
        <f t="shared" si="61"/>
        <v>#DIV/0!</v>
      </c>
      <c r="L98" s="391">
        <f>408286.69*453.61</f>
        <v>185202925.45090002</v>
      </c>
      <c r="M98" s="391">
        <f>100.5*453.61</f>
        <v>45587.805</v>
      </c>
      <c r="N98" s="24" t="e">
        <f t="shared" si="62"/>
        <v>#DIV/0!</v>
      </c>
      <c r="O98" s="24" t="e">
        <f t="shared" si="62"/>
        <v>#DIV/0!</v>
      </c>
      <c r="P98" s="391">
        <f>475614.33*455.56</f>
        <v>216670864.17480001</v>
      </c>
      <c r="Q98" s="391">
        <f>100.69*455.56</f>
        <v>45870.3364</v>
      </c>
      <c r="R98" s="24">
        <f t="shared" si="63"/>
        <v>0.16991059211018023</v>
      </c>
      <c r="S98" s="24">
        <f t="shared" si="56"/>
        <v>6.1975214643477539E-3</v>
      </c>
      <c r="T98" s="391">
        <f>496760.4*460.91</f>
        <v>228961835.96400002</v>
      </c>
      <c r="U98" s="391">
        <f>100.89*460.91</f>
        <v>46501.209900000002</v>
      </c>
      <c r="V98" s="24">
        <f t="shared" si="64"/>
        <v>5.6726463135736704E-2</v>
      </c>
      <c r="W98" s="24">
        <f t="shared" si="57"/>
        <v>1.3753409055007531E-2</v>
      </c>
      <c r="X98" s="391">
        <f>783353.69*460.2</f>
        <v>360499368.13799995</v>
      </c>
      <c r="Y98" s="391">
        <f>101.05*460.2</f>
        <v>46503.21</v>
      </c>
      <c r="Z98" s="24">
        <f t="shared" si="65"/>
        <v>0.57449544645808026</v>
      </c>
      <c r="AA98" s="24">
        <f t="shared" si="58"/>
        <v>4.3011784086879719E-5</v>
      </c>
      <c r="AB98" s="391">
        <f>987259.97*460.99</f>
        <v>455116973.57029998</v>
      </c>
      <c r="AC98" s="391">
        <f>101.24*460.99</f>
        <v>46670.6276</v>
      </c>
      <c r="AD98" s="24">
        <f t="shared" si="66"/>
        <v>0.26246261101927981</v>
      </c>
      <c r="AE98" s="24">
        <f t="shared" si="59"/>
        <v>3.6001299695225487E-3</v>
      </c>
      <c r="AF98" s="391">
        <f>973055.3*461</f>
        <v>448578493.30000001</v>
      </c>
      <c r="AG98" s="391">
        <f>101.45*461</f>
        <v>46768.450000000004</v>
      </c>
      <c r="AH98" s="24">
        <f t="shared" si="67"/>
        <v>-1.4366592876127921E-2</v>
      </c>
      <c r="AI98" s="24">
        <f t="shared" si="60"/>
        <v>2.0960163818325118E-3</v>
      </c>
      <c r="AJ98" s="25" t="e">
        <f t="shared" si="48"/>
        <v>#DIV/0!</v>
      </c>
      <c r="AK98" s="25" t="e">
        <f t="shared" si="49"/>
        <v>#DIV/0!</v>
      </c>
      <c r="AL98" s="26" t="e">
        <f t="shared" si="50"/>
        <v>#DIV/0!</v>
      </c>
      <c r="AM98" s="26" t="e">
        <f t="shared" si="51"/>
        <v>#DIV/0!</v>
      </c>
      <c r="AN98" s="27" t="e">
        <f t="shared" si="52"/>
        <v>#DIV/0!</v>
      </c>
      <c r="AO98" s="84" t="e">
        <f t="shared" si="53"/>
        <v>#DIV/0!</v>
      </c>
      <c r="AP98" s="31"/>
      <c r="AQ98" s="29">
        <v>4173976375.3699999</v>
      </c>
      <c r="AR98" s="33">
        <v>299.53579999999999</v>
      </c>
      <c r="AS98" s="30" t="e">
        <f>(#REF!/AQ98)-1</f>
        <v>#REF!</v>
      </c>
      <c r="AT98" s="30" t="e">
        <f>(#REF!/AR98)-1</f>
        <v>#REF!</v>
      </c>
    </row>
    <row r="99" spans="1:46" ht="6.75" customHeight="1">
      <c r="A99" s="218"/>
      <c r="B99" s="93"/>
      <c r="C99" s="93"/>
      <c r="D99" s="93"/>
      <c r="E99" s="93"/>
      <c r="F99" s="24"/>
      <c r="G99" s="24"/>
      <c r="H99" s="93"/>
      <c r="I99" s="93"/>
      <c r="J99" s="24"/>
      <c r="K99" s="24"/>
      <c r="L99" s="93"/>
      <c r="M99" s="93"/>
      <c r="N99" s="24"/>
      <c r="O99" s="24"/>
      <c r="P99" s="93"/>
      <c r="Q99" s="93"/>
      <c r="R99" s="24"/>
      <c r="S99" s="24"/>
      <c r="T99" s="93"/>
      <c r="U99" s="93"/>
      <c r="V99" s="24"/>
      <c r="W99" s="24"/>
      <c r="X99" s="93"/>
      <c r="Y99" s="93"/>
      <c r="Z99" s="24"/>
      <c r="AA99" s="24"/>
      <c r="AB99" s="93"/>
      <c r="AC99" s="93"/>
      <c r="AD99" s="24"/>
      <c r="AE99" s="24"/>
      <c r="AF99" s="93"/>
      <c r="AG99" s="93"/>
      <c r="AH99" s="24"/>
      <c r="AI99" s="24"/>
      <c r="AJ99" s="25"/>
      <c r="AK99" s="25"/>
      <c r="AL99" s="26"/>
      <c r="AM99" s="26"/>
      <c r="AN99" s="27"/>
      <c r="AO99" s="84"/>
      <c r="AP99" s="31"/>
      <c r="AQ99" s="51">
        <v>4131236617.7600002</v>
      </c>
      <c r="AR99" s="49">
        <v>103.24</v>
      </c>
      <c r="AS99" s="30" t="e">
        <f>(#REF!/AQ99)-1</f>
        <v>#REF!</v>
      </c>
      <c r="AT99" s="30" t="e">
        <f>(#REF!/AR99)-1</f>
        <v>#REF!</v>
      </c>
    </row>
    <row r="100" spans="1:46">
      <c r="A100" s="214" t="s">
        <v>213</v>
      </c>
      <c r="B100" s="93"/>
      <c r="C100" s="93"/>
      <c r="D100" s="93"/>
      <c r="E100" s="93"/>
      <c r="F100" s="24"/>
      <c r="G100" s="24"/>
      <c r="H100" s="93"/>
      <c r="I100" s="93"/>
      <c r="J100" s="24"/>
      <c r="K100" s="24"/>
      <c r="L100" s="93"/>
      <c r="M100" s="93"/>
      <c r="N100" s="24"/>
      <c r="O100" s="24"/>
      <c r="P100" s="93"/>
      <c r="Q100" s="93"/>
      <c r="R100" s="24"/>
      <c r="S100" s="24"/>
      <c r="T100" s="93"/>
      <c r="U100" s="93"/>
      <c r="V100" s="24"/>
      <c r="W100" s="24"/>
      <c r="X100" s="93"/>
      <c r="Y100" s="93"/>
      <c r="Z100" s="24"/>
      <c r="AA100" s="24"/>
      <c r="AB100" s="93"/>
      <c r="AC100" s="93"/>
      <c r="AD100" s="24"/>
      <c r="AE100" s="24"/>
      <c r="AF100" s="93"/>
      <c r="AG100" s="93"/>
      <c r="AH100" s="24"/>
      <c r="AI100" s="24"/>
      <c r="AJ100" s="25"/>
      <c r="AK100" s="25"/>
      <c r="AL100" s="26"/>
      <c r="AM100" s="26"/>
      <c r="AN100" s="27"/>
      <c r="AO100" s="84"/>
      <c r="AP100" s="31"/>
      <c r="AQ100" s="46">
        <v>2931134847.0043802</v>
      </c>
      <c r="AR100" s="50">
        <v>2254.1853324818899</v>
      </c>
      <c r="AS100" s="30" t="e">
        <f>(#REF!/AQ100)-1</f>
        <v>#REF!</v>
      </c>
      <c r="AT100" s="30" t="e">
        <f>(#REF!/AR100)-1</f>
        <v>#REF!</v>
      </c>
    </row>
    <row r="101" spans="1:46">
      <c r="A101" s="216" t="s">
        <v>99</v>
      </c>
      <c r="B101" s="391">
        <v>195512142813.51999</v>
      </c>
      <c r="C101" s="390">
        <v>622.12</v>
      </c>
      <c r="D101" s="391">
        <v>196592261343.14001</v>
      </c>
      <c r="E101" s="390">
        <v>629.76</v>
      </c>
      <c r="F101" s="24">
        <f>((D101-B101)/B101)</f>
        <v>5.5245598256791935E-3</v>
      </c>
      <c r="G101" s="24">
        <f>((E101-C101)/C101)</f>
        <v>1.2280588953899546E-2</v>
      </c>
      <c r="H101" s="391">
        <v>199113228081.64001</v>
      </c>
      <c r="I101" s="390">
        <v>630.78</v>
      </c>
      <c r="J101" s="24">
        <f>((H101-D101)/D101)</f>
        <v>1.282332641822459E-2</v>
      </c>
      <c r="K101" s="24">
        <f t="shared" ref="K101:K109" si="68">((I101-E101)/E101)</f>
        <v>1.6196646341463125E-3</v>
      </c>
      <c r="L101" s="391">
        <v>197759459079.23999</v>
      </c>
      <c r="M101" s="390">
        <v>631.92999999999995</v>
      </c>
      <c r="N101" s="24">
        <f>((L101-H101)/H101)</f>
        <v>-6.7989907824956494E-3</v>
      </c>
      <c r="O101" s="24">
        <f t="shared" ref="O101:O109" si="69">((M101-I101)/I101)</f>
        <v>1.8231396049335383E-3</v>
      </c>
      <c r="P101" s="391">
        <v>197653505412.60999</v>
      </c>
      <c r="Q101" s="390">
        <v>632.16</v>
      </c>
      <c r="R101" s="24">
        <f>((P101-L101)/L101)</f>
        <v>-5.3577041079764707E-4</v>
      </c>
      <c r="S101" s="24">
        <f t="shared" ref="S101:S109" si="70">((Q101-M101)/M101)</f>
        <v>3.6396436314151603E-4</v>
      </c>
      <c r="T101" s="391">
        <v>197778223405.81</v>
      </c>
      <c r="U101" s="390">
        <v>633.34</v>
      </c>
      <c r="V101" s="24">
        <f>((T101-P101)/P101)</f>
        <v>6.3099307517798975E-4</v>
      </c>
      <c r="W101" s="24">
        <f t="shared" ref="W101:W109" si="71">((U101-Q101)/Q101)</f>
        <v>1.8666160465705894E-3</v>
      </c>
      <c r="X101" s="391">
        <v>195942992273.41</v>
      </c>
      <c r="Y101" s="390">
        <v>633.73</v>
      </c>
      <c r="Z101" s="24">
        <f>((X101-T101)/T101)</f>
        <v>-9.2792376268563525E-3</v>
      </c>
      <c r="AA101" s="24">
        <f t="shared" ref="AA101:AA109" si="72">((Y101-U101)/U101)</f>
        <v>6.1578299175795988E-4</v>
      </c>
      <c r="AB101" s="391">
        <v>197230770544.98999</v>
      </c>
      <c r="AC101" s="390">
        <v>634.65</v>
      </c>
      <c r="AD101" s="24">
        <f>((AB101-X101)/X101)</f>
        <v>6.5722088687054396E-3</v>
      </c>
      <c r="AE101" s="24">
        <f t="shared" ref="AE101:AE109" si="73">((AC101-Y101)/Y101)</f>
        <v>1.4517223423223754E-3</v>
      </c>
      <c r="AF101" s="391">
        <v>193651807461.64001</v>
      </c>
      <c r="AG101" s="390">
        <v>635.14</v>
      </c>
      <c r="AH101" s="24">
        <f>((AF101-AB101)/AB101)</f>
        <v>-1.8146068554417496E-2</v>
      </c>
      <c r="AI101" s="24">
        <f t="shared" ref="AI101:AI107" si="74">((AG101-AC101)/AC101)</f>
        <v>7.7207909871584198E-4</v>
      </c>
      <c r="AJ101" s="25">
        <f t="shared" si="48"/>
        <v>-1.1511223983474914E-3</v>
      </c>
      <c r="AK101" s="25">
        <f t="shared" si="49"/>
        <v>2.5991947544359599E-3</v>
      </c>
      <c r="AL101" s="26">
        <f t="shared" si="50"/>
        <v>-1.495711917351423E-2</v>
      </c>
      <c r="AM101" s="26">
        <f t="shared" si="51"/>
        <v>8.5429369918699118E-3</v>
      </c>
      <c r="AN101" s="27">
        <f t="shared" si="52"/>
        <v>9.927215561804063E-3</v>
      </c>
      <c r="AO101" s="84">
        <f t="shared" si="53"/>
        <v>3.9535341827405118E-3</v>
      </c>
      <c r="AP101" s="31"/>
      <c r="AQ101" s="52">
        <v>1131224777.76</v>
      </c>
      <c r="AR101" s="53">
        <v>0.6573</v>
      </c>
      <c r="AS101" s="30" t="e">
        <f>(#REF!/AQ101)-1</f>
        <v>#REF!</v>
      </c>
      <c r="AT101" s="30" t="e">
        <f>(#REF!/AR101)-1</f>
        <v>#REF!</v>
      </c>
    </row>
    <row r="102" spans="1:46">
      <c r="A102" s="216" t="s">
        <v>133</v>
      </c>
      <c r="B102" s="390">
        <v>15110572204.91</v>
      </c>
      <c r="C102" s="390">
        <v>446.8</v>
      </c>
      <c r="D102" s="390">
        <v>15435763864.139999</v>
      </c>
      <c r="E102" s="390">
        <v>448.55</v>
      </c>
      <c r="F102" s="24">
        <f>((D102-B102)/B102)</f>
        <v>2.1520803767069285E-2</v>
      </c>
      <c r="G102" s="24">
        <f>((E102-C102)/C102)</f>
        <v>3.91674127126231E-3</v>
      </c>
      <c r="H102" s="390">
        <v>4826874137.7799997</v>
      </c>
      <c r="I102" s="390">
        <v>450.05</v>
      </c>
      <c r="J102" s="24">
        <f t="shared" ref="J102:J109" si="75">((H102-D102)/D102)</f>
        <v>-0.68729282332481911</v>
      </c>
      <c r="K102" s="24">
        <f t="shared" si="68"/>
        <v>3.344108795006131E-3</v>
      </c>
      <c r="L102" s="390">
        <v>4917496137.7799997</v>
      </c>
      <c r="M102" s="390">
        <v>453.11</v>
      </c>
      <c r="N102" s="24">
        <f t="shared" ref="N102:N109" si="76">((L102-H102)/H102)</f>
        <v>1.8774469234799508E-2</v>
      </c>
      <c r="O102" s="24">
        <f t="shared" si="69"/>
        <v>6.79924452838574E-3</v>
      </c>
      <c r="P102" s="390">
        <v>3749266281.7800002</v>
      </c>
      <c r="Q102" s="390">
        <v>455.06</v>
      </c>
      <c r="R102" s="24">
        <f t="shared" ref="R102:R109" si="77">((P102-L102)/L102)</f>
        <v>-0.23756599360084013</v>
      </c>
      <c r="S102" s="24">
        <f t="shared" si="70"/>
        <v>4.303590739555491E-3</v>
      </c>
      <c r="T102" s="390">
        <v>4001400661.2600002</v>
      </c>
      <c r="U102" s="390">
        <v>460.28</v>
      </c>
      <c r="V102" s="24">
        <f t="shared" ref="V102:V109" si="78">((T102-P102)/P102)</f>
        <v>6.7248992344255895E-2</v>
      </c>
      <c r="W102" s="24">
        <f t="shared" si="71"/>
        <v>1.1471014811233618E-2</v>
      </c>
      <c r="X102" s="390">
        <v>4071477187.6900001</v>
      </c>
      <c r="Y102" s="390">
        <v>459.7</v>
      </c>
      <c r="Z102" s="24">
        <f t="shared" ref="Z102:Z109" si="79">((X102-T102)/T102)</f>
        <v>1.751299916263158E-2</v>
      </c>
      <c r="AA102" s="24">
        <f t="shared" si="72"/>
        <v>-1.2601025462761451E-3</v>
      </c>
      <c r="AB102" s="390">
        <v>4183159164.9699998</v>
      </c>
      <c r="AC102" s="390">
        <v>459.99</v>
      </c>
      <c r="AD102" s="24">
        <f t="shared" ref="AD102:AD109" si="80">((AB102-X102)/X102)</f>
        <v>2.7430333545197586E-2</v>
      </c>
      <c r="AE102" s="24">
        <f t="shared" si="73"/>
        <v>6.308462040461616E-4</v>
      </c>
      <c r="AF102" s="390">
        <v>4164052459</v>
      </c>
      <c r="AG102" s="390">
        <v>460.47</v>
      </c>
      <c r="AH102" s="24">
        <f t="shared" ref="AH102:AH107" si="81">((AF102-AB102)/AB102)</f>
        <v>-4.5675302364778219E-3</v>
      </c>
      <c r="AI102" s="24">
        <f t="shared" si="74"/>
        <v>1.0435009456727716E-3</v>
      </c>
      <c r="AJ102" s="25">
        <f t="shared" si="48"/>
        <v>-9.7117343638522896E-2</v>
      </c>
      <c r="AK102" s="25">
        <f t="shared" si="49"/>
        <v>3.7811180936107597E-3</v>
      </c>
      <c r="AL102" s="26">
        <f t="shared" si="50"/>
        <v>-0.73023346977509629</v>
      </c>
      <c r="AM102" s="26">
        <f t="shared" si="51"/>
        <v>2.6574517890982089E-2</v>
      </c>
      <c r="AN102" s="27">
        <f t="shared" si="52"/>
        <v>0.25628467491048507</v>
      </c>
      <c r="AO102" s="84">
        <f t="shared" si="53"/>
        <v>3.9921103139285838E-3</v>
      </c>
      <c r="AP102" s="31"/>
      <c r="AQ102" s="29">
        <v>318569106.36000001</v>
      </c>
      <c r="AR102" s="36">
        <v>123.8</v>
      </c>
      <c r="AS102" s="30" t="e">
        <f>(#REF!/AQ102)-1</f>
        <v>#REF!</v>
      </c>
      <c r="AT102" s="30" t="e">
        <f>(#REF!/AR102)-1</f>
        <v>#REF!</v>
      </c>
    </row>
    <row r="103" spans="1:46">
      <c r="A103" s="216" t="s">
        <v>152</v>
      </c>
      <c r="B103" s="390">
        <v>5776809306.71</v>
      </c>
      <c r="C103" s="390">
        <v>50200.74</v>
      </c>
      <c r="D103" s="390">
        <v>5791530672.3000002</v>
      </c>
      <c r="E103" s="390">
        <v>50254.01</v>
      </c>
      <c r="F103" s="24">
        <f>((D103-B103)/B103)</f>
        <v>2.5483558151903484E-3</v>
      </c>
      <c r="G103" s="24">
        <f>((E103-C103)/C103)</f>
        <v>1.061139736187237E-3</v>
      </c>
      <c r="H103" s="390">
        <v>5791341376.29</v>
      </c>
      <c r="I103" s="390">
        <v>50271.77</v>
      </c>
      <c r="J103" s="24">
        <f t="shared" si="75"/>
        <v>-3.2684970642666639E-5</v>
      </c>
      <c r="K103" s="24">
        <f t="shared" si="68"/>
        <v>3.5340463377936924E-4</v>
      </c>
      <c r="L103" s="390">
        <v>5786718154.0500002</v>
      </c>
      <c r="M103" s="390">
        <v>50276.21</v>
      </c>
      <c r="N103" s="24">
        <f t="shared" si="76"/>
        <v>-7.9829903637306573E-4</v>
      </c>
      <c r="O103" s="24">
        <f t="shared" si="69"/>
        <v>8.8319945766825565E-5</v>
      </c>
      <c r="P103" s="390">
        <v>5858629222.5</v>
      </c>
      <c r="Q103" s="390">
        <v>50796.4</v>
      </c>
      <c r="R103" s="24">
        <f t="shared" si="77"/>
        <v>1.2426917388342267E-2</v>
      </c>
      <c r="S103" s="24">
        <f t="shared" si="70"/>
        <v>1.0346643074328839E-2</v>
      </c>
      <c r="T103" s="390">
        <v>5928484256.0600004</v>
      </c>
      <c r="U103" s="390">
        <v>51441.43</v>
      </c>
      <c r="V103" s="24">
        <f t="shared" si="78"/>
        <v>1.1923443335810182E-2</v>
      </c>
      <c r="W103" s="24">
        <f t="shared" si="71"/>
        <v>1.2698340827302699E-2</v>
      </c>
      <c r="X103" s="390">
        <v>6106876197.4099998</v>
      </c>
      <c r="Y103" s="390">
        <v>52996.639999999999</v>
      </c>
      <c r="Z103" s="24">
        <f t="shared" si="79"/>
        <v>3.0090649421502653E-2</v>
      </c>
      <c r="AA103" s="24">
        <f t="shared" si="72"/>
        <v>3.023263544578755E-2</v>
      </c>
      <c r="AB103" s="390">
        <v>6232916362.9099998</v>
      </c>
      <c r="AC103" s="390">
        <v>53784.13</v>
      </c>
      <c r="AD103" s="24">
        <f t="shared" si="80"/>
        <v>2.0639056929540371E-2</v>
      </c>
      <c r="AE103" s="24">
        <f t="shared" si="73"/>
        <v>1.4859243906783486E-2</v>
      </c>
      <c r="AF103" s="390">
        <v>6336330775.5600004</v>
      </c>
      <c r="AG103" s="390">
        <v>54378.2</v>
      </c>
      <c r="AH103" s="24">
        <f t="shared" si="81"/>
        <v>1.6591657360491011E-2</v>
      </c>
      <c r="AI103" s="24">
        <f t="shared" si="74"/>
        <v>1.1045451511440266E-2</v>
      </c>
      <c r="AJ103" s="25">
        <f t="shared" si="48"/>
        <v>1.1673637030482638E-2</v>
      </c>
      <c r="AK103" s="25">
        <f t="shared" si="49"/>
        <v>1.0085647385172035E-2</v>
      </c>
      <c r="AL103" s="26">
        <f t="shared" si="50"/>
        <v>9.4068413703771836E-2</v>
      </c>
      <c r="AM103" s="26">
        <f t="shared" si="51"/>
        <v>8.2066883816833622E-2</v>
      </c>
      <c r="AN103" s="27">
        <f t="shared" si="52"/>
        <v>1.0824837703431548E-2</v>
      </c>
      <c r="AO103" s="84">
        <f t="shared" si="53"/>
        <v>1.0089660227948653E-2</v>
      </c>
      <c r="AP103" s="31"/>
      <c r="AQ103" s="29">
        <v>1812522091.8199999</v>
      </c>
      <c r="AR103" s="33">
        <v>1.6227</v>
      </c>
      <c r="AS103" s="30" t="e">
        <f>(#REF!/AQ103)-1</f>
        <v>#REF!</v>
      </c>
      <c r="AT103" s="30" t="e">
        <f>(#REF!/AR103)-1</f>
        <v>#REF!</v>
      </c>
    </row>
    <row r="104" spans="1:46">
      <c r="A104" s="216" t="s">
        <v>158</v>
      </c>
      <c r="B104" s="390">
        <v>348798581.95999998</v>
      </c>
      <c r="C104" s="391">
        <v>41040.559999999998</v>
      </c>
      <c r="D104" s="390">
        <v>357977987.30000001</v>
      </c>
      <c r="E104" s="391">
        <v>41105.42</v>
      </c>
      <c r="F104" s="24">
        <f>((D104-B104)/B104)</f>
        <v>2.6317209457728592E-2</v>
      </c>
      <c r="G104" s="24">
        <f>((E104-C104)/C104)</f>
        <v>1.5803877919794609E-3</v>
      </c>
      <c r="H104" s="390">
        <v>378590095.69999999</v>
      </c>
      <c r="I104" s="391">
        <v>43472.72</v>
      </c>
      <c r="J104" s="24">
        <f t="shared" si="75"/>
        <v>5.7579262220741514E-2</v>
      </c>
      <c r="K104" s="24">
        <f t="shared" si="68"/>
        <v>5.7590945427634675E-2</v>
      </c>
      <c r="L104" s="390">
        <v>392366597.58999997</v>
      </c>
      <c r="M104" s="391">
        <v>45054.44</v>
      </c>
      <c r="N104" s="24">
        <f t="shared" si="76"/>
        <v>3.6388965391521165E-2</v>
      </c>
      <c r="O104" s="24">
        <f t="shared" si="69"/>
        <v>3.6384196802040476E-2</v>
      </c>
      <c r="P104" s="390">
        <v>391460118.31</v>
      </c>
      <c r="Q104" s="391">
        <v>44946.9</v>
      </c>
      <c r="R104" s="24">
        <f t="shared" si="77"/>
        <v>-2.3102865676328261E-3</v>
      </c>
      <c r="S104" s="24">
        <f t="shared" si="70"/>
        <v>-2.3868901710908151E-3</v>
      </c>
      <c r="T104" s="390">
        <v>389448978.44</v>
      </c>
      <c r="U104" s="391">
        <v>44718.38</v>
      </c>
      <c r="V104" s="24">
        <f t="shared" si="78"/>
        <v>-5.1375345173920606E-3</v>
      </c>
      <c r="W104" s="24">
        <f t="shared" si="71"/>
        <v>-5.0842216037146962E-3</v>
      </c>
      <c r="X104" s="390">
        <v>375190911.54000002</v>
      </c>
      <c r="Y104" s="391">
        <v>44789.85</v>
      </c>
      <c r="Z104" s="24">
        <f t="shared" si="79"/>
        <v>-3.6610872513038649E-2</v>
      </c>
      <c r="AA104" s="24">
        <f t="shared" si="72"/>
        <v>1.5982242648325178E-3</v>
      </c>
      <c r="AB104" s="390">
        <v>371544378.24000001</v>
      </c>
      <c r="AC104" s="391">
        <v>44352.58</v>
      </c>
      <c r="AD104" s="24">
        <f t="shared" si="80"/>
        <v>-9.7191408102945114E-3</v>
      </c>
      <c r="AE104" s="24">
        <f t="shared" si="73"/>
        <v>-9.7627029338119425E-3</v>
      </c>
      <c r="AF104" s="390">
        <v>373117340.68000001</v>
      </c>
      <c r="AG104" s="391">
        <v>44541.3</v>
      </c>
      <c r="AH104" s="24">
        <f t="shared" si="81"/>
        <v>4.2335788996488025E-3</v>
      </c>
      <c r="AI104" s="24">
        <f t="shared" si="74"/>
        <v>4.2549948616292703E-3</v>
      </c>
      <c r="AJ104" s="25">
        <f t="shared" si="48"/>
        <v>8.8426476951602561E-3</v>
      </c>
      <c r="AK104" s="25">
        <f t="shared" si="49"/>
        <v>1.052186680493737E-2</v>
      </c>
      <c r="AL104" s="26">
        <f t="shared" si="50"/>
        <v>4.2291296998976102E-2</v>
      </c>
      <c r="AM104" s="26">
        <f t="shared" si="51"/>
        <v>8.3587030615427479E-2</v>
      </c>
      <c r="AN104" s="27">
        <f t="shared" si="52"/>
        <v>2.9739480654520624E-2</v>
      </c>
      <c r="AO104" s="84">
        <f t="shared" si="53"/>
        <v>2.3618585822901311E-2</v>
      </c>
      <c r="AP104" s="31"/>
      <c r="AQ104" s="29"/>
      <c r="AR104" s="33"/>
      <c r="AS104" s="30"/>
      <c r="AT104" s="30"/>
    </row>
    <row r="105" spans="1:46" ht="16.5" customHeight="1">
      <c r="A105" s="216" t="s">
        <v>163</v>
      </c>
      <c r="B105" s="390">
        <v>1802094119.86675</v>
      </c>
      <c r="C105" s="390">
        <v>513.6585995284621</v>
      </c>
      <c r="D105" s="390">
        <v>1838588727.1434901</v>
      </c>
      <c r="E105" s="390">
        <v>521.46463866702175</v>
      </c>
      <c r="F105" s="24">
        <f>((D105-B105)/B105)</f>
        <v>2.0251221550758154E-2</v>
      </c>
      <c r="G105" s="24">
        <f>((E105-C105)/C105)</f>
        <v>1.5196940430327797E-2</v>
      </c>
      <c r="H105" s="390">
        <v>1847895148.4959841</v>
      </c>
      <c r="I105" s="390">
        <v>524.10414666367967</v>
      </c>
      <c r="J105" s="24">
        <f t="shared" si="75"/>
        <v>5.0617200111701191E-3</v>
      </c>
      <c r="K105" s="24">
        <f t="shared" si="68"/>
        <v>5.0617200111690965E-3</v>
      </c>
      <c r="L105" s="390">
        <v>1858210195.6052213</v>
      </c>
      <c r="M105" s="390">
        <v>522.74817991408202</v>
      </c>
      <c r="N105" s="24">
        <f t="shared" si="76"/>
        <v>5.5820521622304648E-3</v>
      </c>
      <c r="O105" s="24">
        <f t="shared" si="69"/>
        <v>-2.5872085886543966E-3</v>
      </c>
      <c r="P105" s="390">
        <v>1740313288.6050775</v>
      </c>
      <c r="Q105" s="390">
        <v>523.34240921729349</v>
      </c>
      <c r="R105" s="24">
        <f t="shared" si="77"/>
        <v>-6.344648591369105E-2</v>
      </c>
      <c r="S105" s="24">
        <f t="shared" si="70"/>
        <v>1.1367410275998362E-3</v>
      </c>
      <c r="T105" s="390">
        <v>1743199502.8051081</v>
      </c>
      <c r="U105" s="390">
        <v>524.2104612801852</v>
      </c>
      <c r="V105" s="24">
        <f t="shared" si="78"/>
        <v>1.6584451885349723E-3</v>
      </c>
      <c r="W105" s="24">
        <f t="shared" si="71"/>
        <v>1.6586694439496275E-3</v>
      </c>
      <c r="X105" s="390">
        <v>1780308825.2450969</v>
      </c>
      <c r="Y105" s="390">
        <v>524.71771100104058</v>
      </c>
      <c r="Z105" s="24">
        <f t="shared" si="79"/>
        <v>2.1288052446248158E-2</v>
      </c>
      <c r="AA105" s="24">
        <f t="shared" si="72"/>
        <v>9.6764516987436517E-4</v>
      </c>
      <c r="AB105" s="390">
        <v>1867520833.8013735</v>
      </c>
      <c r="AC105" s="390">
        <v>525.0532684556332</v>
      </c>
      <c r="AD105" s="24">
        <f t="shared" si="80"/>
        <v>4.8987011309271015E-2</v>
      </c>
      <c r="AE105" s="24">
        <f t="shared" si="73"/>
        <v>6.3950091174252738E-4</v>
      </c>
      <c r="AF105" s="390">
        <v>1869655734.7986135</v>
      </c>
      <c r="AG105" s="390">
        <v>525.65349562640313</v>
      </c>
      <c r="AH105" s="24">
        <f t="shared" si="81"/>
        <v>1.1431738584112261E-3</v>
      </c>
      <c r="AI105" s="24">
        <f t="shared" si="74"/>
        <v>1.1431738584075598E-3</v>
      </c>
      <c r="AJ105" s="25">
        <f t="shared" si="48"/>
        <v>5.0656488266166335E-3</v>
      </c>
      <c r="AK105" s="25">
        <f t="shared" si="49"/>
        <v>2.9021477830520515E-3</v>
      </c>
      <c r="AL105" s="26">
        <f t="shared" si="50"/>
        <v>1.6897203380220056E-2</v>
      </c>
      <c r="AM105" s="26">
        <f t="shared" si="51"/>
        <v>8.0328686717646321E-3</v>
      </c>
      <c r="AN105" s="27">
        <f t="shared" si="52"/>
        <v>3.1946446754157184E-2</v>
      </c>
      <c r="AO105" s="84">
        <f t="shared" si="53"/>
        <v>5.3795574925264858E-3</v>
      </c>
      <c r="AP105" s="31"/>
      <c r="AQ105" s="29"/>
      <c r="AR105" s="33"/>
      <c r="AS105" s="30"/>
      <c r="AT105" s="30"/>
    </row>
    <row r="106" spans="1:46">
      <c r="A106" s="216" t="s">
        <v>173</v>
      </c>
      <c r="B106" s="390">
        <v>100265826.59999999</v>
      </c>
      <c r="C106" s="390">
        <v>392.45</v>
      </c>
      <c r="D106" s="390">
        <v>101515384.06999999</v>
      </c>
      <c r="E106" s="390">
        <v>397.33</v>
      </c>
      <c r="F106" s="24">
        <f>((D106-B106)/B106)</f>
        <v>1.2462446202981774E-2</v>
      </c>
      <c r="G106" s="24">
        <f>((E106-C106)/C106)</f>
        <v>1.2434705057969156E-2</v>
      </c>
      <c r="H106" s="390">
        <v>103029728.61</v>
      </c>
      <c r="I106" s="390">
        <v>403.27</v>
      </c>
      <c r="J106" s="24">
        <f t="shared" si="75"/>
        <v>1.4917389653530636E-2</v>
      </c>
      <c r="K106" s="24">
        <f t="shared" si="68"/>
        <v>1.4949789847230256E-2</v>
      </c>
      <c r="L106" s="390">
        <v>108415596.98</v>
      </c>
      <c r="M106" s="390">
        <v>424.36</v>
      </c>
      <c r="N106" s="24">
        <f t="shared" si="76"/>
        <v>5.2274896213569719E-2</v>
      </c>
      <c r="O106" s="24">
        <f t="shared" si="69"/>
        <v>5.2297468197485639E-2</v>
      </c>
      <c r="P106" s="390">
        <v>108925755.2</v>
      </c>
      <c r="Q106" s="390">
        <v>426.34</v>
      </c>
      <c r="R106" s="24">
        <f t="shared" si="77"/>
        <v>4.7055795864326642E-3</v>
      </c>
      <c r="S106" s="24">
        <f t="shared" si="70"/>
        <v>4.6658497502119929E-3</v>
      </c>
      <c r="T106" s="390">
        <v>106673959.47499999</v>
      </c>
      <c r="U106" s="390">
        <v>419.89</v>
      </c>
      <c r="V106" s="24">
        <f t="shared" si="78"/>
        <v>-2.067275752061996E-2</v>
      </c>
      <c r="W106" s="24">
        <f t="shared" si="71"/>
        <v>-1.5128770464887153E-2</v>
      </c>
      <c r="X106" s="390">
        <v>102211691.23999999</v>
      </c>
      <c r="Y106" s="390">
        <v>401.44</v>
      </c>
      <c r="Z106" s="24">
        <f t="shared" si="79"/>
        <v>-4.1830904720901188E-2</v>
      </c>
      <c r="AA106" s="24">
        <f t="shared" si="72"/>
        <v>-4.3940079544642616E-2</v>
      </c>
      <c r="AB106" s="390">
        <v>100568783.12800001</v>
      </c>
      <c r="AC106" s="390">
        <v>392.02</v>
      </c>
      <c r="AD106" s="24">
        <f t="shared" si="80"/>
        <v>-1.6073583090825967E-2</v>
      </c>
      <c r="AE106" s="24">
        <f t="shared" si="73"/>
        <v>-2.3465524113192547E-2</v>
      </c>
      <c r="AF106" s="390">
        <v>101081798.20999999</v>
      </c>
      <c r="AG106" s="390">
        <v>396.68</v>
      </c>
      <c r="AH106" s="24">
        <f t="shared" si="81"/>
        <v>5.1011364167252759E-3</v>
      </c>
      <c r="AI106" s="24">
        <f t="shared" si="74"/>
        <v>1.1887148614866653E-2</v>
      </c>
      <c r="AJ106" s="25">
        <f t="shared" si="48"/>
        <v>1.3605253426116188E-3</v>
      </c>
      <c r="AK106" s="25">
        <f t="shared" si="49"/>
        <v>1.7125734181301715E-3</v>
      </c>
      <c r="AL106" s="26">
        <f t="shared" si="50"/>
        <v>-4.2711345080566317E-3</v>
      </c>
      <c r="AM106" s="26">
        <f t="shared" si="51"/>
        <v>-1.6359197644274968E-3</v>
      </c>
      <c r="AN106" s="27">
        <f t="shared" si="52"/>
        <v>2.8232223885262989E-2</v>
      </c>
      <c r="AO106" s="84">
        <f t="shared" si="53"/>
        <v>2.9186581037674606E-2</v>
      </c>
      <c r="AP106" s="31"/>
      <c r="AQ106" s="29"/>
      <c r="AR106" s="33"/>
      <c r="AS106" s="30"/>
      <c r="AT106" s="30"/>
    </row>
    <row r="107" spans="1:46" s="313" customFormat="1">
      <c r="A107" s="216" t="s">
        <v>208</v>
      </c>
      <c r="B107" s="391">
        <v>3642476081.23</v>
      </c>
      <c r="C107" s="390">
        <f>1.0483*446.13</f>
        <v>467.67807900000003</v>
      </c>
      <c r="D107" s="391">
        <v>3775124103.5300002</v>
      </c>
      <c r="E107" s="390">
        <f>1.0483*449.05</f>
        <v>470.73911500000003</v>
      </c>
      <c r="F107" s="24">
        <f>((D107-B107)/B107)</f>
        <v>3.6416991997160156E-2</v>
      </c>
      <c r="G107" s="24">
        <f>((E107-C107)/C107)</f>
        <v>6.5451774146549242E-3</v>
      </c>
      <c r="H107" s="391">
        <v>3860457411.0700002</v>
      </c>
      <c r="I107" s="390">
        <f>1.0527*451.08</f>
        <v>474.85191599999996</v>
      </c>
      <c r="J107" s="24">
        <f t="shared" si="75"/>
        <v>2.2604106567041718E-2</v>
      </c>
      <c r="K107" s="24">
        <f t="shared" si="68"/>
        <v>8.7369009052921665E-3</v>
      </c>
      <c r="L107" s="391">
        <v>3914239982.46</v>
      </c>
      <c r="M107" s="390">
        <f>1.0527*453.61</f>
        <v>477.51524699999999</v>
      </c>
      <c r="N107" s="24">
        <f t="shared" si="76"/>
        <v>1.3931657744954371E-2</v>
      </c>
      <c r="O107" s="24">
        <f t="shared" si="69"/>
        <v>5.6087611953534334E-3</v>
      </c>
      <c r="P107" s="391">
        <v>4048499999.9499998</v>
      </c>
      <c r="Q107" s="390">
        <f>1.0556*455.56</f>
        <v>480.88913600000006</v>
      </c>
      <c r="R107" s="24">
        <f t="shared" si="77"/>
        <v>3.4300405210622976E-2</v>
      </c>
      <c r="S107" s="24">
        <f t="shared" si="70"/>
        <v>7.0655105176151093E-3</v>
      </c>
      <c r="T107" s="391">
        <v>4121040307.46</v>
      </c>
      <c r="U107" s="390">
        <f>1.0571*460.91</f>
        <v>487.22796099999999</v>
      </c>
      <c r="V107" s="24">
        <f t="shared" si="78"/>
        <v>1.791782327056839E-2</v>
      </c>
      <c r="W107" s="24">
        <f t="shared" si="71"/>
        <v>1.3181468503792376E-2</v>
      </c>
      <c r="X107" s="391">
        <v>4187987405.4299998</v>
      </c>
      <c r="Y107" s="390">
        <f>1.0582*460.2</f>
        <v>486.98363999999998</v>
      </c>
      <c r="Z107" s="24">
        <f t="shared" si="79"/>
        <v>1.6245193682966567E-2</v>
      </c>
      <c r="AA107" s="24">
        <f t="shared" si="72"/>
        <v>-5.0145110616919939E-4</v>
      </c>
      <c r="AB107" s="391">
        <v>4201185579.1900001</v>
      </c>
      <c r="AC107" s="390">
        <f>1.0597*460.99</f>
        <v>488.51110300000005</v>
      </c>
      <c r="AD107" s="24">
        <f t="shared" si="80"/>
        <v>3.1514358765472724E-3</v>
      </c>
      <c r="AE107" s="24">
        <f t="shared" si="73"/>
        <v>3.1365797011169995E-3</v>
      </c>
      <c r="AF107" s="391">
        <v>4232150206.4499998</v>
      </c>
      <c r="AG107" s="390">
        <f>1.0612*461</f>
        <v>489.21319999999997</v>
      </c>
      <c r="AH107" s="24">
        <f t="shared" si="81"/>
        <v>7.3704497638425711E-3</v>
      </c>
      <c r="AI107" s="24">
        <f t="shared" si="74"/>
        <v>1.4372181014684609E-3</v>
      </c>
      <c r="AJ107" s="25">
        <f t="shared" si="48"/>
        <v>1.8992258014213004E-2</v>
      </c>
      <c r="AK107" s="25">
        <f t="shared" si="49"/>
        <v>5.6512706541405342E-3</v>
      </c>
      <c r="AL107" s="26">
        <f t="shared" si="50"/>
        <v>0.12106253738589648</v>
      </c>
      <c r="AM107" s="26">
        <f t="shared" si="51"/>
        <v>3.9244847966372932E-2</v>
      </c>
      <c r="AN107" s="27">
        <f t="shared" si="52"/>
        <v>1.177961129289026E-2</v>
      </c>
      <c r="AO107" s="84">
        <f t="shared" si="53"/>
        <v>4.325404011013354E-3</v>
      </c>
      <c r="AP107" s="31"/>
      <c r="AQ107" s="29"/>
      <c r="AR107" s="33"/>
      <c r="AS107" s="30"/>
      <c r="AT107" s="30"/>
    </row>
    <row r="108" spans="1:46" s="437" customFormat="1">
      <c r="A108" s="216" t="s">
        <v>247</v>
      </c>
      <c r="B108" s="391">
        <v>2778801484.5460501</v>
      </c>
      <c r="C108" s="390">
        <v>55736.887310099992</v>
      </c>
      <c r="D108" s="391">
        <v>2745392528.224205</v>
      </c>
      <c r="E108" s="390">
        <v>56021.286636000012</v>
      </c>
      <c r="F108" s="24">
        <f>((D108-B108)/B108)</f>
        <v>-1.2022793462449442E-2</v>
      </c>
      <c r="G108" s="24">
        <f>((E108-C108)/C108)</f>
        <v>5.1025333423756576E-3</v>
      </c>
      <c r="H108" s="391">
        <v>2863284687.9567733</v>
      </c>
      <c r="I108" s="390">
        <v>56306.2256442</v>
      </c>
      <c r="J108" s="24">
        <f t="shared" ref="J108" si="82">((H108-D108)/D108)</f>
        <v>4.294182289802622E-2</v>
      </c>
      <c r="K108" s="24">
        <f t="shared" ref="K108" si="83">((I108-E108)/E108)</f>
        <v>5.0862631922645391E-3</v>
      </c>
      <c r="L108" s="391">
        <v>2848237400.6264081</v>
      </c>
      <c r="M108" s="390">
        <v>56672.105557500006</v>
      </c>
      <c r="N108" s="24">
        <f t="shared" ref="N108" si="84">((L108-H108)/H108)</f>
        <v>-5.2552536580296721E-3</v>
      </c>
      <c r="O108" s="24">
        <f t="shared" ref="O108" si="85">((M108-I108)/I108)</f>
        <v>6.4980365690289381E-3</v>
      </c>
      <c r="P108" s="391">
        <v>2837871665.1638112</v>
      </c>
      <c r="Q108" s="390">
        <v>56956.874171400006</v>
      </c>
      <c r="R108" s="24">
        <f t="shared" ref="R108" si="86">((P108-L108)/L108)</f>
        <v>-3.6393509404508114E-3</v>
      </c>
      <c r="S108" s="24">
        <f t="shared" ref="S108" si="87">((Q108-M108)/M108)</f>
        <v>5.0248461937076093E-3</v>
      </c>
      <c r="T108" s="391">
        <v>2841562724.5466137</v>
      </c>
      <c r="U108" s="390">
        <v>57676.641169500006</v>
      </c>
      <c r="V108" s="24">
        <f t="shared" ref="V108" si="88">((T108-P108)/P108)</f>
        <v>1.3006435167988565E-3</v>
      </c>
      <c r="W108" s="24">
        <f t="shared" ref="W108" si="89">((U108-Q108)/Q108)</f>
        <v>1.2637052306171317E-2</v>
      </c>
      <c r="X108" s="391">
        <f>6177462.23 *406.2</f>
        <v>2509285157.8260002</v>
      </c>
      <c r="Y108" s="390">
        <f>125.23*460.2</f>
        <v>57630.845999999998</v>
      </c>
      <c r="Z108" s="24">
        <f t="shared" ref="Z108" si="90">((X108-T108)/T108)</f>
        <v>-0.11693479923925668</v>
      </c>
      <c r="AA108" s="24">
        <f t="shared" ref="AA108" si="91">((Y108-U108)/U108)</f>
        <v>-7.9399855073782088E-4</v>
      </c>
      <c r="AB108" s="391">
        <f>6110908.44 *406.99</f>
        <v>2487078625.9956002</v>
      </c>
      <c r="AC108" s="390">
        <f>125.33*460.99</f>
        <v>57775.876700000001</v>
      </c>
      <c r="AD108" s="24">
        <f t="shared" ref="AD108" si="92">((AB108-X108)/X108)</f>
        <v>-8.849744223426298E-3</v>
      </c>
      <c r="AE108" s="24">
        <f t="shared" ref="AE108" si="93">((AC108-Y108)/Y108)</f>
        <v>2.5165464341787205E-3</v>
      </c>
      <c r="AF108" s="391">
        <f>6100500.77800758*461</f>
        <v>2812330858.6614943</v>
      </c>
      <c r="AG108" s="390">
        <f>125.44*461</f>
        <v>57827.839999999997</v>
      </c>
      <c r="AH108" s="24">
        <f t="shared" ref="AH108" si="94">((AF108-AB108)/AB108)</f>
        <v>0.13077681954493603</v>
      </c>
      <c r="AI108" s="24">
        <f t="shared" ref="AI108" si="95">((AG108-AC108)/AC108)</f>
        <v>8.9939440070834614E-4</v>
      </c>
      <c r="AJ108" s="25">
        <f t="shared" si="48"/>
        <v>3.5396680545185261E-3</v>
      </c>
      <c r="AK108" s="25">
        <f t="shared" si="49"/>
        <v>4.6213342359621634E-3</v>
      </c>
      <c r="AL108" s="26">
        <f t="shared" si="50"/>
        <v>2.4382061854224823E-2</v>
      </c>
      <c r="AM108" s="26">
        <f t="shared" si="51"/>
        <v>3.2247623581695285E-2</v>
      </c>
      <c r="AN108" s="27">
        <f t="shared" si="52"/>
        <v>6.8437155460869578E-2</v>
      </c>
      <c r="AO108" s="84">
        <f t="shared" si="53"/>
        <v>4.0706805022708145E-3</v>
      </c>
      <c r="AP108" s="31"/>
      <c r="AQ108" s="29"/>
      <c r="AR108" s="33"/>
      <c r="AS108" s="30"/>
      <c r="AT108" s="30"/>
    </row>
    <row r="109" spans="1:46" s="94" customFormat="1">
      <c r="A109" s="216" t="s">
        <v>287</v>
      </c>
      <c r="B109" s="391">
        <v>0</v>
      </c>
      <c r="C109" s="390">
        <v>0</v>
      </c>
      <c r="D109" s="391">
        <v>0</v>
      </c>
      <c r="E109" s="390">
        <v>0</v>
      </c>
      <c r="F109" s="24" t="e">
        <f>((D109-B109)/B109)</f>
        <v>#DIV/0!</v>
      </c>
      <c r="G109" s="24" t="e">
        <f>((E109-C109)/C109)</f>
        <v>#DIV/0!</v>
      </c>
      <c r="H109" s="391">
        <v>0</v>
      </c>
      <c r="I109" s="390">
        <v>0</v>
      </c>
      <c r="J109" s="24" t="e">
        <f t="shared" si="75"/>
        <v>#DIV/0!</v>
      </c>
      <c r="K109" s="24" t="e">
        <f t="shared" si="68"/>
        <v>#DIV/0!</v>
      </c>
      <c r="L109" s="391">
        <v>0</v>
      </c>
      <c r="M109" s="390">
        <v>0</v>
      </c>
      <c r="N109" s="24" t="e">
        <f t="shared" si="76"/>
        <v>#DIV/0!</v>
      </c>
      <c r="O109" s="24" t="e">
        <f t="shared" si="69"/>
        <v>#DIV/0!</v>
      </c>
      <c r="P109" s="391">
        <v>0</v>
      </c>
      <c r="Q109" s="390">
        <v>0</v>
      </c>
      <c r="R109" s="24" t="e">
        <f t="shared" si="77"/>
        <v>#DIV/0!</v>
      </c>
      <c r="S109" s="24" t="e">
        <f t="shared" si="70"/>
        <v>#DIV/0!</v>
      </c>
      <c r="T109" s="391">
        <v>0</v>
      </c>
      <c r="U109" s="390">
        <v>0</v>
      </c>
      <c r="V109" s="24" t="e">
        <f t="shared" si="78"/>
        <v>#DIV/0!</v>
      </c>
      <c r="W109" s="24" t="e">
        <f t="shared" si="71"/>
        <v>#DIV/0!</v>
      </c>
      <c r="X109" s="391">
        <v>0</v>
      </c>
      <c r="Y109" s="390">
        <v>0</v>
      </c>
      <c r="Z109" s="24" t="e">
        <f t="shared" si="79"/>
        <v>#DIV/0!</v>
      </c>
      <c r="AA109" s="24" t="e">
        <f t="shared" si="72"/>
        <v>#DIV/0!</v>
      </c>
      <c r="AB109" s="391">
        <v>0</v>
      </c>
      <c r="AC109" s="390">
        <v>0</v>
      </c>
      <c r="AD109" s="24" t="e">
        <f t="shared" si="80"/>
        <v>#DIV/0!</v>
      </c>
      <c r="AE109" s="24" t="e">
        <f t="shared" si="73"/>
        <v>#DIV/0!</v>
      </c>
      <c r="AF109" s="391">
        <v>236146614.53</v>
      </c>
      <c r="AG109" s="391">
        <v>464.57</v>
      </c>
      <c r="AH109" s="24" t="e">
        <f>((#REF!-AB109)/AB109)</f>
        <v>#REF!</v>
      </c>
      <c r="AI109" s="24" t="e">
        <f>((#REF!-AC109)/AC109)</f>
        <v>#REF!</v>
      </c>
      <c r="AJ109" s="25" t="e">
        <f t="shared" si="48"/>
        <v>#DIV/0!</v>
      </c>
      <c r="AK109" s="25" t="e">
        <f t="shared" si="49"/>
        <v>#DIV/0!</v>
      </c>
      <c r="AL109" s="26" t="e">
        <f t="shared" si="50"/>
        <v>#DIV/0!</v>
      </c>
      <c r="AM109" s="26" t="e">
        <f t="shared" si="51"/>
        <v>#DIV/0!</v>
      </c>
      <c r="AN109" s="27" t="e">
        <f t="shared" si="52"/>
        <v>#DIV/0!</v>
      </c>
      <c r="AO109" s="84" t="e">
        <f t="shared" si="53"/>
        <v>#DIV/0!</v>
      </c>
      <c r="AP109" s="31"/>
      <c r="AQ109" s="29"/>
      <c r="AR109" s="33"/>
      <c r="AS109" s="30"/>
      <c r="AT109" s="30"/>
    </row>
    <row r="110" spans="1:46" s="112" customFormat="1">
      <c r="A110" s="218" t="s">
        <v>46</v>
      </c>
      <c r="B110" s="81">
        <f>SUM(B90:B109)</f>
        <v>328659495248.42633</v>
      </c>
      <c r="C110" s="93"/>
      <c r="D110" s="81">
        <f>SUM(D90:D109)</f>
        <v>331525669640.7597</v>
      </c>
      <c r="E110" s="93"/>
      <c r="F110" s="24"/>
      <c r="G110" s="24"/>
      <c r="H110" s="81">
        <f>SUM(H90:H109)</f>
        <v>320193218057.02887</v>
      </c>
      <c r="I110" s="93"/>
      <c r="J110" s="24"/>
      <c r="K110" s="24"/>
      <c r="L110" s="81">
        <f>SUM(L90:L109)</f>
        <v>318934755543.12677</v>
      </c>
      <c r="M110" s="93"/>
      <c r="N110" s="24"/>
      <c r="O110" s="24"/>
      <c r="P110" s="81">
        <f>SUM(P90:P109)</f>
        <v>317633858239.45715</v>
      </c>
      <c r="Q110" s="93"/>
      <c r="R110" s="24"/>
      <c r="S110" s="24"/>
      <c r="T110" s="81">
        <f>SUM(T90:T109)</f>
        <v>318454224920.62793</v>
      </c>
      <c r="U110" s="93"/>
      <c r="V110" s="24"/>
      <c r="W110" s="24"/>
      <c r="X110" s="81">
        <f>SUM(X90:X109)</f>
        <v>315407028595.76306</v>
      </c>
      <c r="Y110" s="93"/>
      <c r="Z110" s="24"/>
      <c r="AA110" s="24"/>
      <c r="AB110" s="81">
        <f>SUM(AB90:AB109)</f>
        <v>318608459435.22919</v>
      </c>
      <c r="AC110" s="93"/>
      <c r="AD110" s="24"/>
      <c r="AE110" s="24"/>
      <c r="AF110" s="81">
        <f>SUM(AF90:AF109)</f>
        <v>315347453563.14014</v>
      </c>
      <c r="AH110" s="24"/>
      <c r="AI110" s="24"/>
      <c r="AJ110" s="25" t="e">
        <f t="shared" si="48"/>
        <v>#DIV/0!</v>
      </c>
      <c r="AK110" s="25"/>
      <c r="AL110" s="26">
        <f t="shared" si="50"/>
        <v>-4.8799286327210312E-2</v>
      </c>
      <c r="AM110" s="26"/>
      <c r="AN110" s="27" t="e">
        <f t="shared" si="52"/>
        <v>#DIV/0!</v>
      </c>
      <c r="AO110" s="84"/>
      <c r="AP110" s="31"/>
      <c r="AQ110" s="29"/>
      <c r="AR110" s="33"/>
      <c r="AS110" s="30"/>
      <c r="AT110" s="30"/>
    </row>
    <row r="111" spans="1:46" s="112" customFormat="1" ht="8.25" customHeight="1">
      <c r="A111" s="218"/>
      <c r="B111" s="93"/>
      <c r="C111" s="93"/>
      <c r="D111" s="93"/>
      <c r="E111" s="93"/>
      <c r="F111" s="24"/>
      <c r="G111" s="24"/>
      <c r="H111" s="93"/>
      <c r="I111" s="93"/>
      <c r="J111" s="24"/>
      <c r="K111" s="24"/>
      <c r="L111" s="93"/>
      <c r="M111" s="93"/>
      <c r="N111" s="24"/>
      <c r="O111" s="24"/>
      <c r="P111" s="93"/>
      <c r="Q111" s="93"/>
      <c r="R111" s="24"/>
      <c r="S111" s="24"/>
      <c r="T111" s="93"/>
      <c r="U111" s="93"/>
      <c r="V111" s="24"/>
      <c r="W111" s="24"/>
      <c r="X111" s="93"/>
      <c r="Y111" s="93"/>
      <c r="Z111" s="24"/>
      <c r="AA111" s="24"/>
      <c r="AB111" s="93"/>
      <c r="AC111" s="93"/>
      <c r="AD111" s="24"/>
      <c r="AE111" s="24"/>
      <c r="AF111" s="81"/>
      <c r="AG111" s="93"/>
      <c r="AH111" s="24"/>
      <c r="AI111" s="24"/>
      <c r="AJ111" s="25"/>
      <c r="AK111" s="25"/>
      <c r="AL111" s="26"/>
      <c r="AM111" s="26"/>
      <c r="AN111" s="27"/>
      <c r="AO111" s="84"/>
      <c r="AP111" s="31"/>
      <c r="AQ111" s="29"/>
      <c r="AR111" s="33"/>
      <c r="AS111" s="30"/>
      <c r="AT111" s="30"/>
    </row>
    <row r="112" spans="1:46">
      <c r="A112" s="220" t="s">
        <v>231</v>
      </c>
      <c r="B112" s="93"/>
      <c r="C112" s="93"/>
      <c r="D112" s="93"/>
      <c r="E112" s="93"/>
      <c r="F112" s="24"/>
      <c r="G112" s="24"/>
      <c r="H112" s="93"/>
      <c r="I112" s="93"/>
      <c r="J112" s="24"/>
      <c r="K112" s="24"/>
      <c r="L112" s="93"/>
      <c r="M112" s="93"/>
      <c r="N112" s="24"/>
      <c r="O112" s="24"/>
      <c r="P112" s="93"/>
      <c r="Q112" s="93"/>
      <c r="R112" s="24"/>
      <c r="S112" s="24"/>
      <c r="T112" s="93"/>
      <c r="U112" s="93"/>
      <c r="V112" s="24"/>
      <c r="W112" s="24"/>
      <c r="X112" s="93"/>
      <c r="Y112" s="93"/>
      <c r="Z112" s="24"/>
      <c r="AA112" s="24"/>
      <c r="AB112" s="93"/>
      <c r="AC112" s="93"/>
      <c r="AD112" s="24"/>
      <c r="AE112" s="24"/>
      <c r="AF112" s="93"/>
      <c r="AG112" s="93"/>
      <c r="AH112" s="24"/>
      <c r="AI112" s="24"/>
      <c r="AJ112" s="25"/>
      <c r="AK112" s="25"/>
      <c r="AL112" s="26"/>
      <c r="AM112" s="26"/>
      <c r="AN112" s="27"/>
      <c r="AO112" s="84"/>
      <c r="AP112" s="31"/>
      <c r="AQ112" s="55">
        <f>SUM(AQ93:AQ103)</f>
        <v>16564722721.154379</v>
      </c>
      <c r="AR112" s="56"/>
      <c r="AS112" s="30" t="e">
        <f>(#REF!/AQ112)-1</f>
        <v>#REF!</v>
      </c>
      <c r="AT112" s="30" t="e">
        <f>(#REF!/AR112)-1</f>
        <v>#REF!</v>
      </c>
    </row>
    <row r="113" spans="1:46">
      <c r="A113" s="216" t="s">
        <v>150</v>
      </c>
      <c r="B113" s="391">
        <v>2285687216.0500002</v>
      </c>
      <c r="C113" s="392">
        <v>77</v>
      </c>
      <c r="D113" s="391">
        <v>2290871889.3600001</v>
      </c>
      <c r="E113" s="392">
        <v>77</v>
      </c>
      <c r="F113" s="24">
        <f>((D113-B113)/B113)</f>
        <v>2.2683214368061314E-3</v>
      </c>
      <c r="G113" s="24">
        <f>((E113-C113)/C113)</f>
        <v>0</v>
      </c>
      <c r="H113" s="391">
        <v>2278426979.8299999</v>
      </c>
      <c r="I113" s="392">
        <v>77</v>
      </c>
      <c r="J113" s="24">
        <f t="shared" ref="J113:K116" si="96">((H113-D113)/D113)</f>
        <v>-5.4323899943077734E-3</v>
      </c>
      <c r="K113" s="24">
        <f t="shared" si="96"/>
        <v>0</v>
      </c>
      <c r="L113" s="391">
        <v>2280493209.1100001</v>
      </c>
      <c r="M113" s="392">
        <v>77</v>
      </c>
      <c r="N113" s="24">
        <f t="shared" ref="N113:N116" si="97">((L113-H113)/H113)</f>
        <v>9.0686657869297927E-4</v>
      </c>
      <c r="O113" s="24">
        <f t="shared" ref="O113:O116" si="98">((M113-I113)/I113)</f>
        <v>0</v>
      </c>
      <c r="P113" s="391">
        <v>2281899794.3299999</v>
      </c>
      <c r="Q113" s="392">
        <v>77</v>
      </c>
      <c r="R113" s="24">
        <f t="shared" ref="R113:R116" si="99">((P113-L113)/L113)</f>
        <v>6.1678991824261255E-4</v>
      </c>
      <c r="S113" s="24">
        <f t="shared" ref="S113:S116" si="100">((Q113-M113)/M113)</f>
        <v>0</v>
      </c>
      <c r="T113" s="391">
        <v>2283435577.96</v>
      </c>
      <c r="U113" s="392">
        <v>77</v>
      </c>
      <c r="V113" s="24">
        <f t="shared" ref="V113:V116" si="101">((T113-P113)/P113)</f>
        <v>6.7302851501901452E-4</v>
      </c>
      <c r="W113" s="24">
        <f t="shared" ref="W113:W116" si="102">((U113-Q113)/Q113)</f>
        <v>0</v>
      </c>
      <c r="X113" s="391">
        <v>2298704113.3499999</v>
      </c>
      <c r="Y113" s="392">
        <v>77</v>
      </c>
      <c r="Z113" s="24">
        <f t="shared" ref="Z113:Z116" si="103">((X113-T113)/T113)</f>
        <v>6.6866503865375664E-3</v>
      </c>
      <c r="AA113" s="24">
        <f t="shared" ref="AA113:AA116" si="104">((Y113-U113)/U113)</f>
        <v>0</v>
      </c>
      <c r="AB113" s="391">
        <v>2300602399.3400002</v>
      </c>
      <c r="AC113" s="392">
        <v>77</v>
      </c>
      <c r="AD113" s="24">
        <f t="shared" ref="AD113:AD116" si="105">((AB113-X113)/X113)</f>
        <v>8.2580701838732716E-4</v>
      </c>
      <c r="AE113" s="24">
        <f t="shared" ref="AE113:AE116" si="106">((AC113-Y113)/Y113)</f>
        <v>0</v>
      </c>
      <c r="AF113" s="391">
        <v>2305749540.5599999</v>
      </c>
      <c r="AG113" s="392">
        <v>77</v>
      </c>
      <c r="AH113" s="24">
        <f t="shared" ref="AH113:AH116" si="107">((AF113-AB113)/AB113)</f>
        <v>2.2373015091509984E-3</v>
      </c>
      <c r="AI113" s="24">
        <f t="shared" ref="AI113:AI116" si="108">((AG113-AC113)/AC113)</f>
        <v>0</v>
      </c>
      <c r="AJ113" s="25">
        <f t="shared" si="48"/>
        <v>1.0977969210661069E-3</v>
      </c>
      <c r="AK113" s="25">
        <f t="shared" si="49"/>
        <v>0</v>
      </c>
      <c r="AL113" s="26">
        <f t="shared" si="50"/>
        <v>6.4943182851469588E-3</v>
      </c>
      <c r="AM113" s="26">
        <f t="shared" si="51"/>
        <v>0</v>
      </c>
      <c r="AN113" s="27">
        <f t="shared" si="52"/>
        <v>3.3181201949035303E-3</v>
      </c>
      <c r="AO113" s="84">
        <f t="shared" si="53"/>
        <v>0</v>
      </c>
      <c r="AP113" s="31"/>
      <c r="AQ113" s="41"/>
      <c r="AR113" s="14"/>
      <c r="AS113" s="30" t="e">
        <f>(#REF!/AQ113)-1</f>
        <v>#REF!</v>
      </c>
      <c r="AT113" s="30" t="e">
        <f>(#REF!/AR113)-1</f>
        <v>#REF!</v>
      </c>
    </row>
    <row r="114" spans="1:46">
      <c r="A114" s="216" t="s">
        <v>25</v>
      </c>
      <c r="B114" s="391">
        <v>9934574413.0900002</v>
      </c>
      <c r="C114" s="392">
        <v>36.6</v>
      </c>
      <c r="D114" s="391">
        <v>9955126113.5100002</v>
      </c>
      <c r="E114" s="392">
        <v>36.6</v>
      </c>
      <c r="F114" s="24">
        <f>((D114-B114)/B114)</f>
        <v>2.0687046636764564E-3</v>
      </c>
      <c r="G114" s="24">
        <f>((E114-C114)/C114)</f>
        <v>0</v>
      </c>
      <c r="H114" s="391">
        <v>9967214007.4300003</v>
      </c>
      <c r="I114" s="392">
        <v>36.6</v>
      </c>
      <c r="J114" s="24">
        <f t="shared" si="96"/>
        <v>1.2142381504937159E-3</v>
      </c>
      <c r="K114" s="24">
        <f t="shared" si="96"/>
        <v>0</v>
      </c>
      <c r="L114" s="391">
        <v>9972800184.6900005</v>
      </c>
      <c r="M114" s="392">
        <v>36.6</v>
      </c>
      <c r="N114" s="24">
        <f t="shared" si="97"/>
        <v>5.6045523411417137E-4</v>
      </c>
      <c r="O114" s="24">
        <f t="shared" si="98"/>
        <v>0</v>
      </c>
      <c r="P114" s="391">
        <v>9982125557.1399994</v>
      </c>
      <c r="Q114" s="392">
        <v>36.6</v>
      </c>
      <c r="R114" s="24">
        <f t="shared" si="99"/>
        <v>9.3508064708996573E-4</v>
      </c>
      <c r="S114" s="24">
        <f t="shared" si="100"/>
        <v>0</v>
      </c>
      <c r="T114" s="391">
        <v>9984464335.5900002</v>
      </c>
      <c r="U114" s="392">
        <v>36.6</v>
      </c>
      <c r="V114" s="24">
        <f t="shared" si="101"/>
        <v>2.3429663718544245E-4</v>
      </c>
      <c r="W114" s="24">
        <f t="shared" si="102"/>
        <v>0</v>
      </c>
      <c r="X114" s="391">
        <v>10032401869.309999</v>
      </c>
      <c r="Y114" s="392">
        <v>36.6</v>
      </c>
      <c r="Z114" s="24">
        <f t="shared" si="103"/>
        <v>4.8012123744209457E-3</v>
      </c>
      <c r="AA114" s="24">
        <f t="shared" si="104"/>
        <v>0</v>
      </c>
      <c r="AB114" s="391">
        <v>10055995878.450001</v>
      </c>
      <c r="AC114" s="392">
        <v>36.6</v>
      </c>
      <c r="AD114" s="24">
        <f t="shared" si="105"/>
        <v>2.3517807048955494E-3</v>
      </c>
      <c r="AE114" s="24">
        <f t="shared" si="106"/>
        <v>0</v>
      </c>
      <c r="AF114" s="391">
        <v>10059201427.91</v>
      </c>
      <c r="AG114" s="392">
        <v>36.6</v>
      </c>
      <c r="AH114" s="24">
        <f t="shared" si="107"/>
        <v>3.1876996557532179E-4</v>
      </c>
      <c r="AI114" s="24">
        <f t="shared" si="108"/>
        <v>0</v>
      </c>
      <c r="AJ114" s="25">
        <f t="shared" si="48"/>
        <v>1.560567297181446E-3</v>
      </c>
      <c r="AK114" s="25">
        <f t="shared" si="49"/>
        <v>0</v>
      </c>
      <c r="AL114" s="26">
        <f t="shared" si="50"/>
        <v>1.0454444596011704E-2</v>
      </c>
      <c r="AM114" s="26">
        <f t="shared" si="51"/>
        <v>0</v>
      </c>
      <c r="AN114" s="27">
        <f t="shared" si="52"/>
        <v>1.5212052927457025E-3</v>
      </c>
      <c r="AO114" s="84">
        <f t="shared" si="53"/>
        <v>0</v>
      </c>
      <c r="AP114" s="31"/>
      <c r="AQ114" s="29">
        <v>640873657.65999997</v>
      </c>
      <c r="AR114" s="33">
        <v>11.5358</v>
      </c>
      <c r="AS114" s="30" t="e">
        <f>(#REF!/AQ114)-1</f>
        <v>#REF!</v>
      </c>
      <c r="AT114" s="30" t="e">
        <f>(#REF!/AR114)-1</f>
        <v>#REF!</v>
      </c>
    </row>
    <row r="115" spans="1:46">
      <c r="A115" s="216" t="s">
        <v>198</v>
      </c>
      <c r="B115" s="391">
        <v>25927345090.549999</v>
      </c>
      <c r="C115" s="392">
        <v>9.7200000000000006</v>
      </c>
      <c r="D115" s="391">
        <v>25897690428.98</v>
      </c>
      <c r="E115" s="392">
        <v>9.7100000000000009</v>
      </c>
      <c r="F115" s="24">
        <f>((D115-B115)/B115)</f>
        <v>-1.143760052038966E-3</v>
      </c>
      <c r="G115" s="24">
        <f>((E115-C115)/C115)</f>
        <v>-1.0288065843621179E-3</v>
      </c>
      <c r="H115" s="391">
        <v>26447232381.099998</v>
      </c>
      <c r="I115" s="392">
        <v>9.91</v>
      </c>
      <c r="J115" s="24">
        <f t="shared" si="96"/>
        <v>2.1219728208081878E-2</v>
      </c>
      <c r="K115" s="24">
        <f t="shared" si="96"/>
        <v>2.0597322348094672E-2</v>
      </c>
      <c r="L115" s="391">
        <v>26451840612.209999</v>
      </c>
      <c r="M115" s="392">
        <v>9.91</v>
      </c>
      <c r="N115" s="24">
        <f t="shared" si="97"/>
        <v>1.7424247057676225E-4</v>
      </c>
      <c r="O115" s="24">
        <f t="shared" si="98"/>
        <v>0</v>
      </c>
      <c r="P115" s="391">
        <v>26459623859.869999</v>
      </c>
      <c r="Q115" s="392">
        <v>9.92</v>
      </c>
      <c r="R115" s="24">
        <f t="shared" si="99"/>
        <v>2.9424219562275568E-4</v>
      </c>
      <c r="S115" s="24">
        <f t="shared" si="100"/>
        <v>1.0090817356205638E-3</v>
      </c>
      <c r="T115" s="391">
        <v>26432551896.450001</v>
      </c>
      <c r="U115" s="392">
        <v>9.91</v>
      </c>
      <c r="V115" s="24">
        <f t="shared" si="101"/>
        <v>-1.0231424136401604E-3</v>
      </c>
      <c r="W115" s="24">
        <f t="shared" si="102"/>
        <v>-1.0080645161290108E-3</v>
      </c>
      <c r="X115" s="391">
        <v>26446086162.439999</v>
      </c>
      <c r="Y115" s="392">
        <v>9.91</v>
      </c>
      <c r="Z115" s="24">
        <f t="shared" si="103"/>
        <v>5.1203024373199359E-4</v>
      </c>
      <c r="AA115" s="24">
        <f t="shared" si="104"/>
        <v>0</v>
      </c>
      <c r="AB115" s="391">
        <v>26464194970.98</v>
      </c>
      <c r="AC115" s="392">
        <v>9.92</v>
      </c>
      <c r="AD115" s="24">
        <f t="shared" si="105"/>
        <v>6.8474436741871908E-4</v>
      </c>
      <c r="AE115" s="24">
        <f t="shared" si="106"/>
        <v>1.0090817356205638E-3</v>
      </c>
      <c r="AF115" s="391">
        <v>26485525477.450001</v>
      </c>
      <c r="AG115" s="392">
        <v>3.1</v>
      </c>
      <c r="AH115" s="24">
        <f t="shared" si="107"/>
        <v>8.0601380443998929E-4</v>
      </c>
      <c r="AI115" s="24">
        <f t="shared" si="108"/>
        <v>-0.6875</v>
      </c>
      <c r="AJ115" s="25">
        <f t="shared" si="48"/>
        <v>2.6905123530241207E-3</v>
      </c>
      <c r="AK115" s="25">
        <f t="shared" si="49"/>
        <v>-8.3365173160144412E-2</v>
      </c>
      <c r="AL115" s="26">
        <f t="shared" si="50"/>
        <v>2.2698357989954301E-2</v>
      </c>
      <c r="AM115" s="26">
        <f t="shared" si="51"/>
        <v>-0.68074150360453145</v>
      </c>
      <c r="AN115" s="27">
        <f t="shared" si="52"/>
        <v>7.5234743672842842E-3</v>
      </c>
      <c r="AO115" s="84">
        <f t="shared" si="53"/>
        <v>0.24421495041654814</v>
      </c>
      <c r="AP115" s="31"/>
      <c r="AQ115" s="29">
        <v>2128320668.46</v>
      </c>
      <c r="AR115" s="36">
        <v>1.04</v>
      </c>
      <c r="AS115" s="30" t="e">
        <f>(#REF!/AQ115)-1</f>
        <v>#REF!</v>
      </c>
      <c r="AT115" s="30" t="e">
        <f>(#REF!/AR115)-1</f>
        <v>#REF!</v>
      </c>
    </row>
    <row r="116" spans="1:46">
      <c r="A116" s="216" t="s">
        <v>175</v>
      </c>
      <c r="B116" s="391">
        <v>7511812185.1700001</v>
      </c>
      <c r="C116" s="392">
        <v>101.31</v>
      </c>
      <c r="D116" s="391">
        <v>7511812185.1700001</v>
      </c>
      <c r="E116" s="392">
        <v>101.31</v>
      </c>
      <c r="F116" s="24">
        <f>((D116-B116)/B116)</f>
        <v>0</v>
      </c>
      <c r="G116" s="24">
        <f>((E116-C116)/C116)</f>
        <v>0</v>
      </c>
      <c r="H116" s="391">
        <v>7511812185.1700001</v>
      </c>
      <c r="I116" s="392">
        <v>101.31</v>
      </c>
      <c r="J116" s="24">
        <f t="shared" si="96"/>
        <v>0</v>
      </c>
      <c r="K116" s="24">
        <f t="shared" si="96"/>
        <v>0</v>
      </c>
      <c r="L116" s="391">
        <v>7511812185.1700001</v>
      </c>
      <c r="M116" s="392">
        <v>101.31</v>
      </c>
      <c r="N116" s="24">
        <f t="shared" si="97"/>
        <v>0</v>
      </c>
      <c r="O116" s="24">
        <f t="shared" si="98"/>
        <v>0</v>
      </c>
      <c r="P116" s="391">
        <v>7511812185.1700001</v>
      </c>
      <c r="Q116" s="392">
        <v>101.31</v>
      </c>
      <c r="R116" s="24">
        <f t="shared" si="99"/>
        <v>0</v>
      </c>
      <c r="S116" s="24">
        <f t="shared" si="100"/>
        <v>0</v>
      </c>
      <c r="T116" s="391">
        <v>7511812185.1700001</v>
      </c>
      <c r="U116" s="392">
        <v>101.31</v>
      </c>
      <c r="V116" s="24">
        <f t="shared" si="101"/>
        <v>0</v>
      </c>
      <c r="W116" s="24">
        <f t="shared" si="102"/>
        <v>0</v>
      </c>
      <c r="X116" s="391">
        <v>7511812185.1700001</v>
      </c>
      <c r="Y116" s="392">
        <v>101.31</v>
      </c>
      <c r="Z116" s="24">
        <f t="shared" si="103"/>
        <v>0</v>
      </c>
      <c r="AA116" s="24">
        <f t="shared" si="104"/>
        <v>0</v>
      </c>
      <c r="AB116" s="391">
        <v>7511812185.1700001</v>
      </c>
      <c r="AC116" s="392">
        <v>101.31</v>
      </c>
      <c r="AD116" s="24">
        <f t="shared" si="105"/>
        <v>0</v>
      </c>
      <c r="AE116" s="24">
        <f t="shared" si="106"/>
        <v>0</v>
      </c>
      <c r="AF116" s="391">
        <v>7511812185.1700001</v>
      </c>
      <c r="AG116" s="392">
        <v>101.31</v>
      </c>
      <c r="AH116" s="24">
        <f t="shared" si="107"/>
        <v>0</v>
      </c>
      <c r="AI116" s="24">
        <f t="shared" si="108"/>
        <v>0</v>
      </c>
      <c r="AJ116" s="25">
        <f t="shared" si="48"/>
        <v>0</v>
      </c>
      <c r="AK116" s="25">
        <f t="shared" si="49"/>
        <v>0</v>
      </c>
      <c r="AL116" s="26">
        <f t="shared" si="50"/>
        <v>0</v>
      </c>
      <c r="AM116" s="26">
        <f t="shared" si="51"/>
        <v>0</v>
      </c>
      <c r="AN116" s="27">
        <f t="shared" si="52"/>
        <v>0</v>
      </c>
      <c r="AO116" s="84">
        <f t="shared" si="53"/>
        <v>0</v>
      </c>
      <c r="AP116" s="31"/>
      <c r="AQ116" s="29">
        <v>1789192828.73</v>
      </c>
      <c r="AR116" s="33">
        <v>0.79</v>
      </c>
      <c r="AS116" s="30" t="e">
        <f>(#REF!/AQ116)-1</f>
        <v>#REF!</v>
      </c>
      <c r="AT116" s="30" t="e">
        <f>(#REF!/AR116)-1</f>
        <v>#REF!</v>
      </c>
    </row>
    <row r="117" spans="1:46">
      <c r="A117" s="218" t="s">
        <v>46</v>
      </c>
      <c r="B117" s="72">
        <f>SUM(B113:B116)</f>
        <v>45659418904.860001</v>
      </c>
      <c r="C117" s="93"/>
      <c r="D117" s="72">
        <f>SUM(D113:D116)</f>
        <v>45655500617.019997</v>
      </c>
      <c r="E117" s="93"/>
      <c r="F117" s="24">
        <f>((D117-B117)/B117)</f>
        <v>-8.5815543298272328E-5</v>
      </c>
      <c r="G117" s="24"/>
      <c r="H117" s="72">
        <f>SUM(H113:H116)</f>
        <v>46204685553.529999</v>
      </c>
      <c r="I117" s="93"/>
      <c r="J117" s="24">
        <f>((H117-D117)/D117)</f>
        <v>1.2028888722890719E-2</v>
      </c>
      <c r="K117" s="24"/>
      <c r="L117" s="72">
        <f>SUM(L113:L116)</f>
        <v>46216946191.18</v>
      </c>
      <c r="M117" s="93"/>
      <c r="N117" s="24">
        <f>((L117-H117)/H117)</f>
        <v>2.6535485531650423E-4</v>
      </c>
      <c r="O117" s="24"/>
      <c r="P117" s="72">
        <f>SUM(P113:P116)</f>
        <v>46235461396.509995</v>
      </c>
      <c r="Q117" s="93"/>
      <c r="R117" s="24">
        <f>((P117-L117)/L117)</f>
        <v>4.0061507425013783E-4</v>
      </c>
      <c r="S117" s="24"/>
      <c r="T117" s="72">
        <f>SUM(T113:T116)</f>
        <v>46212263995.169998</v>
      </c>
      <c r="U117" s="93"/>
      <c r="V117" s="24">
        <f>((T117-P117)/P117)</f>
        <v>-5.0172315013919928E-4</v>
      </c>
      <c r="W117" s="24"/>
      <c r="X117" s="72">
        <f>SUM(X113:X116)</f>
        <v>46289004330.269997</v>
      </c>
      <c r="Y117" s="93"/>
      <c r="Z117" s="24">
        <f>((X117-T117)/T117)</f>
        <v>1.6606053992078639E-3</v>
      </c>
      <c r="AA117" s="24"/>
      <c r="AB117" s="72">
        <f>SUM(AB113:AB116)</f>
        <v>46332605433.940002</v>
      </c>
      <c r="AC117" s="93"/>
      <c r="AD117" s="24">
        <f>((AB117-X117)/X117)</f>
        <v>9.4193219968426742E-4</v>
      </c>
      <c r="AE117" s="24"/>
      <c r="AF117" s="72">
        <f>SUM(AF113:AF116)</f>
        <v>46362288631.089996</v>
      </c>
      <c r="AG117" s="93"/>
      <c r="AH117" s="24">
        <f>((AF117-AB117)/AB117)</f>
        <v>6.4065460752720969E-4</v>
      </c>
      <c r="AI117" s="24"/>
      <c r="AJ117" s="25">
        <f t="shared" si="48"/>
        <v>1.9188140206799038E-3</v>
      </c>
      <c r="AK117" s="25"/>
      <c r="AL117" s="26">
        <f t="shared" si="50"/>
        <v>1.5480895062324975E-2</v>
      </c>
      <c r="AM117" s="26"/>
      <c r="AN117" s="27">
        <f t="shared" si="52"/>
        <v>4.1366768389729238E-3</v>
      </c>
      <c r="AO117" s="84"/>
      <c r="AP117" s="31"/>
      <c r="AQ117" s="29">
        <v>204378030.47999999</v>
      </c>
      <c r="AR117" s="33">
        <v>22.9087</v>
      </c>
      <c r="AS117" s="30" t="e">
        <f>(#REF!/AQ117)-1</f>
        <v>#REF!</v>
      </c>
      <c r="AT117" s="30" t="e">
        <f>(#REF!/AR117)-1</f>
        <v>#REF!</v>
      </c>
    </row>
    <row r="118" spans="1:46">
      <c r="A118" s="220" t="s">
        <v>241</v>
      </c>
      <c r="B118" s="93"/>
      <c r="C118" s="93"/>
      <c r="D118" s="93"/>
      <c r="E118" s="93"/>
      <c r="F118" s="24"/>
      <c r="G118" s="24"/>
      <c r="H118" s="93"/>
      <c r="I118" s="93"/>
      <c r="J118" s="24"/>
      <c r="K118" s="24"/>
      <c r="L118" s="93"/>
      <c r="M118" s="93"/>
      <c r="N118" s="24"/>
      <c r="O118" s="24"/>
      <c r="P118" s="93"/>
      <c r="Q118" s="93"/>
      <c r="R118" s="24"/>
      <c r="S118" s="24"/>
      <c r="T118" s="93"/>
      <c r="U118" s="93"/>
      <c r="V118" s="24"/>
      <c r="W118" s="24"/>
      <c r="X118" s="93"/>
      <c r="Y118" s="93"/>
      <c r="Z118" s="24"/>
      <c r="AA118" s="24"/>
      <c r="AB118" s="93"/>
      <c r="AC118" s="93"/>
      <c r="AD118" s="24"/>
      <c r="AE118" s="24"/>
      <c r="AF118" s="93"/>
      <c r="AG118" s="93"/>
      <c r="AH118" s="24"/>
      <c r="AI118" s="24"/>
      <c r="AJ118" s="25"/>
      <c r="AK118" s="25"/>
      <c r="AL118" s="26"/>
      <c r="AM118" s="26"/>
      <c r="AN118" s="27"/>
      <c r="AO118" s="84"/>
      <c r="AP118" s="31"/>
      <c r="AQ118" s="29">
        <v>160273731.87</v>
      </c>
      <c r="AR118" s="33">
        <v>133.94</v>
      </c>
      <c r="AS118" s="30" t="e">
        <f>(#REF!/AQ118)-1</f>
        <v>#REF!</v>
      </c>
      <c r="AT118" s="30" t="e">
        <f>(#REF!/AR118)-1</f>
        <v>#REF!</v>
      </c>
    </row>
    <row r="119" spans="1:46" s="94" customFormat="1">
      <c r="A119" s="216" t="s">
        <v>26</v>
      </c>
      <c r="B119" s="391">
        <v>1524578969.77</v>
      </c>
      <c r="C119" s="390">
        <v>3646.76</v>
      </c>
      <c r="D119" s="391">
        <v>1537627934.4400001</v>
      </c>
      <c r="E119" s="390">
        <v>3676.42</v>
      </c>
      <c r="F119" s="24">
        <f>((D119-B119)/B119)</f>
        <v>8.5590611760627006E-3</v>
      </c>
      <c r="G119" s="24">
        <f>((E119-C119)/C119)</f>
        <v>8.133247046693463E-3</v>
      </c>
      <c r="H119" s="391">
        <v>1555411710.3900001</v>
      </c>
      <c r="I119" s="390">
        <v>3711.98</v>
      </c>
      <c r="J119" s="24">
        <f t="shared" ref="J119:J142" si="109">((H119-D119)/D119)</f>
        <v>1.1565721168090544E-2</v>
      </c>
      <c r="K119" s="24">
        <f t="shared" ref="K119:K142" si="110">((I119-E119)/E119)</f>
        <v>9.6724530929545444E-3</v>
      </c>
      <c r="L119" s="391">
        <v>1584184200.1800001</v>
      </c>
      <c r="M119" s="390">
        <v>3769.8</v>
      </c>
      <c r="N119" s="24">
        <f t="shared" ref="N119:N142" si="111">((L119-H119)/H119)</f>
        <v>1.8498311153119465E-2</v>
      </c>
      <c r="O119" s="24">
        <f t="shared" ref="O119:O142" si="112">((M119-I119)/I119)</f>
        <v>1.557659254629609E-2</v>
      </c>
      <c r="P119" s="391">
        <v>1538148992.3499999</v>
      </c>
      <c r="Q119" s="390">
        <v>3744.56</v>
      </c>
      <c r="R119" s="24">
        <f t="shared" ref="R119:R142" si="113">((P119-L119)/L119)</f>
        <v>-2.9059251963735967E-2</v>
      </c>
      <c r="S119" s="24">
        <f t="shared" ref="S119:S142" si="114">((Q119-M119)/M119)</f>
        <v>-6.6953154013476143E-3</v>
      </c>
      <c r="T119" s="391">
        <v>1545707045.6800001</v>
      </c>
      <c r="U119" s="390">
        <v>3768.25</v>
      </c>
      <c r="V119" s="24">
        <f t="shared" ref="V119:V142" si="115">((T119-P119)/P119)</f>
        <v>4.9137329137750761E-3</v>
      </c>
      <c r="W119" s="24">
        <f t="shared" ref="W119:W142" si="116">((U119-Q119)/Q119)</f>
        <v>6.3265109919456641E-3</v>
      </c>
      <c r="X119" s="391">
        <v>1573599523.54</v>
      </c>
      <c r="Y119" s="390">
        <v>3823.71</v>
      </c>
      <c r="Z119" s="24">
        <f t="shared" ref="Z119:Z142" si="117">((X119-T119)/T119)</f>
        <v>1.8045125651691137E-2</v>
      </c>
      <c r="AA119" s="24">
        <f t="shared" ref="AA119:AA142" si="118">((Y119-U119)/U119)</f>
        <v>1.4717707158495333E-2</v>
      </c>
      <c r="AB119" s="391">
        <v>1589219826.73</v>
      </c>
      <c r="AC119" s="390">
        <v>3825.99</v>
      </c>
      <c r="AD119" s="24">
        <f t="shared" ref="AD119:AD142" si="119">((AB119-X119)/X119)</f>
        <v>9.9264793591576084E-3</v>
      </c>
      <c r="AE119" s="24">
        <f t="shared" ref="AE119:AE142" si="120">((AC119-Y119)/Y119)</f>
        <v>5.9627952956676773E-4</v>
      </c>
      <c r="AF119" s="391">
        <v>1590920059.3499999</v>
      </c>
      <c r="AG119" s="390">
        <v>3829.87</v>
      </c>
      <c r="AH119" s="24">
        <f t="shared" ref="AH119:AH142" si="121">((AF119-AB119)/AB119)</f>
        <v>1.069853642273207E-3</v>
      </c>
      <c r="AI119" s="24">
        <f t="shared" ref="AI119:AI142" si="122">((AG119-AC119)/AC119)</f>
        <v>1.0141166077277017E-3</v>
      </c>
      <c r="AJ119" s="25">
        <f t="shared" si="48"/>
        <v>5.4398791375542214E-3</v>
      </c>
      <c r="AK119" s="25">
        <f t="shared" si="49"/>
        <v>6.1676989465414946E-3</v>
      </c>
      <c r="AL119" s="26">
        <f t="shared" si="50"/>
        <v>3.4658660730828031E-2</v>
      </c>
      <c r="AM119" s="26">
        <f t="shared" si="51"/>
        <v>4.1738974328286708E-2</v>
      </c>
      <c r="AN119" s="27">
        <f t="shared" si="52"/>
        <v>1.5148614762368029E-2</v>
      </c>
      <c r="AO119" s="84">
        <f t="shared" si="53"/>
        <v>7.567402694445757E-3</v>
      </c>
      <c r="AP119" s="31"/>
      <c r="AQ119" s="29"/>
      <c r="AR119" s="33"/>
      <c r="AS119" s="30"/>
      <c r="AT119" s="30"/>
    </row>
    <row r="120" spans="1:46" s="101" customFormat="1">
      <c r="A120" s="216" t="s">
        <v>226</v>
      </c>
      <c r="B120" s="391">
        <v>191758710.68000001</v>
      </c>
      <c r="C120" s="390">
        <v>147.44</v>
      </c>
      <c r="D120" s="391">
        <v>194291677.41999999</v>
      </c>
      <c r="E120" s="390">
        <v>147.44</v>
      </c>
      <c r="F120" s="24">
        <f>((D120-B120)/B120)</f>
        <v>1.3209135225293118E-2</v>
      </c>
      <c r="G120" s="24">
        <f>((E120-C120)/C120)</f>
        <v>0</v>
      </c>
      <c r="H120" s="391">
        <v>195616825.25999999</v>
      </c>
      <c r="I120" s="390">
        <v>150.49</v>
      </c>
      <c r="J120" s="24">
        <f t="shared" si="109"/>
        <v>6.8204045463843193E-3</v>
      </c>
      <c r="K120" s="24">
        <f t="shared" si="110"/>
        <v>2.0686380900705448E-2</v>
      </c>
      <c r="L120" s="391">
        <v>199706594.05000001</v>
      </c>
      <c r="M120" s="390">
        <v>150.49</v>
      </c>
      <c r="N120" s="24">
        <f t="shared" si="111"/>
        <v>2.0907039998037957E-2</v>
      </c>
      <c r="O120" s="24">
        <f t="shared" si="112"/>
        <v>0</v>
      </c>
      <c r="P120" s="391">
        <v>196711434.91999999</v>
      </c>
      <c r="Q120" s="390">
        <v>150.49</v>
      </c>
      <c r="R120" s="24">
        <f t="shared" si="113"/>
        <v>-1.4997797865653525E-2</v>
      </c>
      <c r="S120" s="24">
        <f t="shared" si="114"/>
        <v>0</v>
      </c>
      <c r="T120" s="391">
        <v>196962817.83000001</v>
      </c>
      <c r="U120" s="390">
        <v>150.49</v>
      </c>
      <c r="V120" s="24">
        <f t="shared" si="115"/>
        <v>1.2779272852249815E-3</v>
      </c>
      <c r="W120" s="24">
        <f t="shared" si="116"/>
        <v>0</v>
      </c>
      <c r="X120" s="391">
        <v>203347299.5</v>
      </c>
      <c r="Y120" s="390">
        <v>150.49</v>
      </c>
      <c r="Z120" s="24">
        <f t="shared" si="117"/>
        <v>3.241465440198199E-2</v>
      </c>
      <c r="AA120" s="24">
        <f t="shared" si="118"/>
        <v>0</v>
      </c>
      <c r="AB120" s="391">
        <v>203523727.40000001</v>
      </c>
      <c r="AC120" s="390">
        <v>150.49</v>
      </c>
      <c r="AD120" s="24">
        <f t="shared" si="119"/>
        <v>8.6761860341305369E-4</v>
      </c>
      <c r="AE120" s="24">
        <f t="shared" si="120"/>
        <v>0</v>
      </c>
      <c r="AF120" s="391">
        <v>204789699.62</v>
      </c>
      <c r="AG120" s="390">
        <v>158.81</v>
      </c>
      <c r="AH120" s="24">
        <f t="shared" si="121"/>
        <v>6.2202684481691486E-3</v>
      </c>
      <c r="AI120" s="24">
        <f t="shared" si="122"/>
        <v>5.5286065519303561E-2</v>
      </c>
      <c r="AJ120" s="25">
        <f t="shared" si="48"/>
        <v>8.3399063303563788E-3</v>
      </c>
      <c r="AK120" s="25">
        <f t="shared" si="49"/>
        <v>9.4965558025011266E-3</v>
      </c>
      <c r="AL120" s="26">
        <f t="shared" si="50"/>
        <v>5.4032279402820023E-2</v>
      </c>
      <c r="AM120" s="26">
        <f t="shared" si="51"/>
        <v>7.7116115029842683E-2</v>
      </c>
      <c r="AN120" s="27">
        <f t="shared" si="52"/>
        <v>1.423472892429218E-2</v>
      </c>
      <c r="AO120" s="84">
        <f t="shared" si="53"/>
        <v>1.9867413443316294E-2</v>
      </c>
      <c r="AP120" s="31"/>
      <c r="AQ120" s="29"/>
      <c r="AR120" s="33"/>
      <c r="AS120" s="30"/>
      <c r="AT120" s="30"/>
    </row>
    <row r="121" spans="1:46" s="112" customFormat="1">
      <c r="A121" s="216" t="s">
        <v>80</v>
      </c>
      <c r="B121" s="390">
        <v>1049974333.03</v>
      </c>
      <c r="C121" s="390">
        <v>1.3669</v>
      </c>
      <c r="D121" s="390">
        <v>1072282569.5599999</v>
      </c>
      <c r="E121" s="390">
        <v>1.3963000000000001</v>
      </c>
      <c r="F121" s="24">
        <f>((D121-B121)/B121)</f>
        <v>2.1246458916403414E-2</v>
      </c>
      <c r="G121" s="24">
        <f>((E121-C121)/C121)</f>
        <v>2.1508522935108708E-2</v>
      </c>
      <c r="H121" s="390">
        <v>1089944950.45</v>
      </c>
      <c r="I121" s="390">
        <v>1.4189000000000001</v>
      </c>
      <c r="J121" s="24">
        <f t="shared" si="109"/>
        <v>1.6471759768740511E-2</v>
      </c>
      <c r="K121" s="24">
        <f t="shared" si="110"/>
        <v>1.6185633459858163E-2</v>
      </c>
      <c r="L121" s="390">
        <v>1107224290.6199999</v>
      </c>
      <c r="M121" s="390">
        <v>1.4413</v>
      </c>
      <c r="N121" s="24">
        <f t="shared" si="111"/>
        <v>1.5853406323746721E-2</v>
      </c>
      <c r="O121" s="24">
        <f t="shared" si="112"/>
        <v>1.5786877158362092E-2</v>
      </c>
      <c r="P121" s="390">
        <v>1108088382.51</v>
      </c>
      <c r="Q121" s="390">
        <v>1.4403999999999999</v>
      </c>
      <c r="R121" s="24">
        <f t="shared" si="113"/>
        <v>7.8041269264084612E-4</v>
      </c>
      <c r="S121" s="24">
        <f t="shared" si="114"/>
        <v>-6.2443627280935467E-4</v>
      </c>
      <c r="T121" s="390">
        <v>1140276730.72</v>
      </c>
      <c r="U121" s="390">
        <v>1.4814000000000001</v>
      </c>
      <c r="V121" s="24">
        <f t="shared" si="115"/>
        <v>2.9048538652745558E-2</v>
      </c>
      <c r="W121" s="24">
        <f t="shared" si="116"/>
        <v>2.8464315467925681E-2</v>
      </c>
      <c r="X121" s="390">
        <v>1198519067.8099999</v>
      </c>
      <c r="Y121" s="390">
        <v>1.5573999999999999</v>
      </c>
      <c r="Z121" s="24">
        <f t="shared" si="117"/>
        <v>5.1077370537259151E-2</v>
      </c>
      <c r="AA121" s="24">
        <f t="shared" si="118"/>
        <v>5.1302821655190928E-2</v>
      </c>
      <c r="AB121" s="390">
        <v>1202742015.3299999</v>
      </c>
      <c r="AC121" s="390">
        <v>1.5619000000000001</v>
      </c>
      <c r="AD121" s="24">
        <f t="shared" si="119"/>
        <v>3.5234712850387797E-3</v>
      </c>
      <c r="AE121" s="24">
        <f t="shared" si="120"/>
        <v>2.8894311031206952E-3</v>
      </c>
      <c r="AF121" s="390">
        <v>1205754879.04</v>
      </c>
      <c r="AG121" s="390">
        <v>1.5676000000000001</v>
      </c>
      <c r="AH121" s="24">
        <f t="shared" si="121"/>
        <v>2.504995810904128E-3</v>
      </c>
      <c r="AI121" s="24">
        <f t="shared" si="122"/>
        <v>3.6494013701261529E-3</v>
      </c>
      <c r="AJ121" s="25">
        <f t="shared" si="48"/>
        <v>1.7563301748434887E-2</v>
      </c>
      <c r="AK121" s="25">
        <f t="shared" si="49"/>
        <v>1.7395320859610385E-2</v>
      </c>
      <c r="AL121" s="26">
        <f t="shared" si="50"/>
        <v>0.1244749409055199</v>
      </c>
      <c r="AM121" s="26">
        <f t="shared" si="51"/>
        <v>0.12268137219795172</v>
      </c>
      <c r="AN121" s="27">
        <f t="shared" si="52"/>
        <v>1.6811216955691127E-2</v>
      </c>
      <c r="AO121" s="84">
        <f t="shared" si="53"/>
        <v>1.6976003674306621E-2</v>
      </c>
      <c r="AP121" s="31"/>
      <c r="AQ121" s="29"/>
      <c r="AR121" s="33"/>
      <c r="AS121" s="30"/>
      <c r="AT121" s="30"/>
    </row>
    <row r="122" spans="1:46">
      <c r="A122" s="216" t="s">
        <v>8</v>
      </c>
      <c r="B122" s="390">
        <v>4492268069.9899998</v>
      </c>
      <c r="C122" s="390">
        <v>506.26119999999997</v>
      </c>
      <c r="D122" s="390">
        <v>4577038304.8699999</v>
      </c>
      <c r="E122" s="390">
        <v>516.39940000000001</v>
      </c>
      <c r="F122" s="24">
        <f>((D122-B122)/B122)</f>
        <v>1.8870252967826299E-2</v>
      </c>
      <c r="G122" s="24">
        <f>((E122-C122)/C122)</f>
        <v>2.0025631037891192E-2</v>
      </c>
      <c r="H122" s="390">
        <v>4580231858.8800001</v>
      </c>
      <c r="I122" s="390">
        <v>516.75980000000004</v>
      </c>
      <c r="J122" s="24">
        <f t="shared" si="109"/>
        <v>6.977337302600823E-4</v>
      </c>
      <c r="K122" s="24">
        <f t="shared" si="110"/>
        <v>6.9790940888007794E-4</v>
      </c>
      <c r="L122" s="390">
        <v>4878456703.3800001</v>
      </c>
      <c r="M122" s="390">
        <v>550.34079999999994</v>
      </c>
      <c r="N122" s="24">
        <f t="shared" si="111"/>
        <v>6.5111298660964434E-2</v>
      </c>
      <c r="O122" s="24">
        <f t="shared" si="112"/>
        <v>6.4983770022358361E-2</v>
      </c>
      <c r="P122" s="390">
        <v>4881567450.2799997</v>
      </c>
      <c r="Q122" s="390">
        <v>551.45979999999997</v>
      </c>
      <c r="R122" s="24">
        <f t="shared" si="113"/>
        <v>6.3764979155075052E-4</v>
      </c>
      <c r="S122" s="24">
        <f t="shared" si="114"/>
        <v>2.0332855568768087E-3</v>
      </c>
      <c r="T122" s="390">
        <v>4870560924.9799995</v>
      </c>
      <c r="U122" s="390">
        <v>553.12210000000005</v>
      </c>
      <c r="V122" s="24">
        <f t="shared" si="115"/>
        <v>-2.254711301667843E-3</v>
      </c>
      <c r="W122" s="24">
        <f t="shared" si="116"/>
        <v>3.014362968978107E-3</v>
      </c>
      <c r="X122" s="390">
        <v>4967832864.75</v>
      </c>
      <c r="Y122" s="390">
        <v>563.84389999999996</v>
      </c>
      <c r="Z122" s="24">
        <f t="shared" si="117"/>
        <v>1.9971403965221911E-2</v>
      </c>
      <c r="AA122" s="24">
        <f t="shared" si="118"/>
        <v>1.9384146827617112E-2</v>
      </c>
      <c r="AB122" s="390">
        <v>4986068493.75</v>
      </c>
      <c r="AC122" s="390">
        <v>565.74350000000004</v>
      </c>
      <c r="AD122" s="24">
        <f t="shared" si="119"/>
        <v>3.6707412460257327E-3</v>
      </c>
      <c r="AE122" s="24">
        <f t="shared" si="120"/>
        <v>3.3690175596474093E-3</v>
      </c>
      <c r="AF122" s="390">
        <v>4964161563.1000004</v>
      </c>
      <c r="AG122" s="390">
        <v>563.55229999999995</v>
      </c>
      <c r="AH122" s="24">
        <f t="shared" si="121"/>
        <v>-4.3936281014710877E-3</v>
      </c>
      <c r="AI122" s="24">
        <f t="shared" si="122"/>
        <v>-3.8731333192517357E-3</v>
      </c>
      <c r="AJ122" s="25">
        <f t="shared" si="48"/>
        <v>1.2788842619838784E-2</v>
      </c>
      <c r="AK122" s="25">
        <f t="shared" si="49"/>
        <v>1.3704373757874668E-2</v>
      </c>
      <c r="AL122" s="26">
        <f t="shared" si="50"/>
        <v>8.45794228591224E-2</v>
      </c>
      <c r="AM122" s="26">
        <f t="shared" si="51"/>
        <v>9.1310911670307776E-2</v>
      </c>
      <c r="AN122" s="27">
        <f t="shared" si="52"/>
        <v>2.3067429524725663E-2</v>
      </c>
      <c r="AO122" s="84">
        <f t="shared" si="53"/>
        <v>2.2479329187654041E-2</v>
      </c>
      <c r="AP122" s="31"/>
      <c r="AQ122" s="57">
        <f>SUM(AQ114:AQ118)</f>
        <v>4923038917.1999998</v>
      </c>
      <c r="AR122" s="14"/>
      <c r="AS122" s="30" t="e">
        <f>(#REF!/AQ122)-1</f>
        <v>#REF!</v>
      </c>
      <c r="AT122" s="30" t="e">
        <f>(#REF!/AR122)-1</f>
        <v>#REF!</v>
      </c>
    </row>
    <row r="123" spans="1:46">
      <c r="A123" s="216" t="s">
        <v>16</v>
      </c>
      <c r="B123" s="390">
        <v>2510042259.3699999</v>
      </c>
      <c r="C123" s="390">
        <v>13.8705</v>
      </c>
      <c r="D123" s="390">
        <v>2545829160.3699999</v>
      </c>
      <c r="E123" s="390">
        <v>13.983599999999999</v>
      </c>
      <c r="F123" s="24">
        <f>((D123-B123)/B123)</f>
        <v>1.4257489437242471E-2</v>
      </c>
      <c r="G123" s="24">
        <f>((E123-C123)/C123)</f>
        <v>8.1539958905590508E-3</v>
      </c>
      <c r="H123" s="390">
        <v>2556225810.4099998</v>
      </c>
      <c r="I123" s="390">
        <v>14.084099999999999</v>
      </c>
      <c r="J123" s="24">
        <f t="shared" si="109"/>
        <v>4.0837972169699543E-3</v>
      </c>
      <c r="K123" s="24">
        <f t="shared" si="110"/>
        <v>7.1869904745559274E-3</v>
      </c>
      <c r="L123" s="390">
        <v>2593236789.4400001</v>
      </c>
      <c r="M123" s="390">
        <v>14.137</v>
      </c>
      <c r="N123" s="24">
        <f t="shared" si="111"/>
        <v>1.4478759614771247E-2</v>
      </c>
      <c r="O123" s="24">
        <f t="shared" si="112"/>
        <v>3.7560085486471311E-3</v>
      </c>
      <c r="P123" s="390">
        <v>2589482582.54</v>
      </c>
      <c r="Q123" s="390">
        <v>14.3401</v>
      </c>
      <c r="R123" s="24">
        <f t="shared" si="113"/>
        <v>-1.4476915163658473E-3</v>
      </c>
      <c r="S123" s="24">
        <f t="shared" si="114"/>
        <v>1.4366555846360554E-2</v>
      </c>
      <c r="T123" s="390">
        <v>2600183971.02</v>
      </c>
      <c r="U123" s="390">
        <v>14.371</v>
      </c>
      <c r="V123" s="24">
        <f t="shared" si="115"/>
        <v>4.1326358215945692E-3</v>
      </c>
      <c r="W123" s="24">
        <f t="shared" si="116"/>
        <v>2.154796689005015E-3</v>
      </c>
      <c r="X123" s="390">
        <v>2621902464.75</v>
      </c>
      <c r="Y123" s="390">
        <v>14.436</v>
      </c>
      <c r="Z123" s="24">
        <f t="shared" si="117"/>
        <v>8.3526757998897624E-3</v>
      </c>
      <c r="AA123" s="24">
        <f t="shared" si="118"/>
        <v>4.5229977037088229E-3</v>
      </c>
      <c r="AB123" s="390">
        <v>2629579933.9899998</v>
      </c>
      <c r="AC123" s="390">
        <v>14.540699999999999</v>
      </c>
      <c r="AD123" s="24">
        <f t="shared" si="119"/>
        <v>2.9282055084882126E-3</v>
      </c>
      <c r="AE123" s="24">
        <f t="shared" si="120"/>
        <v>7.252701579384826E-3</v>
      </c>
      <c r="AF123" s="390">
        <v>2632864636.8800001</v>
      </c>
      <c r="AG123" s="390">
        <v>14.5677</v>
      </c>
      <c r="AH123" s="24">
        <f t="shared" si="121"/>
        <v>1.2491359732184643E-3</v>
      </c>
      <c r="AI123" s="24">
        <f t="shared" si="122"/>
        <v>1.8568569601189093E-3</v>
      </c>
      <c r="AJ123" s="25">
        <f t="shared" si="48"/>
        <v>6.0043759819761048E-3</v>
      </c>
      <c r="AK123" s="25">
        <f t="shared" si="49"/>
        <v>6.1563629615425291E-3</v>
      </c>
      <c r="AL123" s="26">
        <f t="shared" si="50"/>
        <v>3.4187477252931954E-2</v>
      </c>
      <c r="AM123" s="26">
        <f t="shared" si="51"/>
        <v>4.1770359564060847E-2</v>
      </c>
      <c r="AN123" s="27">
        <f t="shared" si="52"/>
        <v>5.8583767624947394E-3</v>
      </c>
      <c r="AO123" s="84">
        <f t="shared" si="53"/>
        <v>4.0811382134916434E-3</v>
      </c>
      <c r="AP123" s="31"/>
      <c r="AQ123" s="13" t="e">
        <f>SUM(AQ21,AQ53,#REF!,#REF!,AQ91,AQ112,AQ122)</f>
        <v>#REF!</v>
      </c>
      <c r="AR123" s="14"/>
      <c r="AS123" s="30" t="e">
        <f>(#REF!/AQ123)-1</f>
        <v>#REF!</v>
      </c>
      <c r="AT123" s="30" t="e">
        <f>(#REF!/AR123)-1</f>
        <v>#REF!</v>
      </c>
    </row>
    <row r="124" spans="1:46" ht="15" customHeight="1">
      <c r="A124" s="217" t="s">
        <v>136</v>
      </c>
      <c r="B124" s="390">
        <v>4860065363.0200005</v>
      </c>
      <c r="C124" s="390">
        <v>199.02</v>
      </c>
      <c r="D124" s="390">
        <v>4908186262.0100002</v>
      </c>
      <c r="E124" s="390">
        <v>201.01</v>
      </c>
      <c r="F124" s="24">
        <f>((D124-B124)/B124)</f>
        <v>9.9012863810740773E-3</v>
      </c>
      <c r="G124" s="24">
        <f>((E124-C124)/C124)</f>
        <v>9.9989950758716736E-3</v>
      </c>
      <c r="H124" s="390">
        <v>4939128010.3599997</v>
      </c>
      <c r="I124" s="390">
        <v>202.28</v>
      </c>
      <c r="J124" s="24">
        <f t="shared" si="109"/>
        <v>6.3041104591919387E-3</v>
      </c>
      <c r="K124" s="24">
        <f t="shared" si="110"/>
        <v>6.3180936271827783E-3</v>
      </c>
      <c r="L124" s="390">
        <v>5021281026.2399998</v>
      </c>
      <c r="M124" s="390">
        <v>205.75</v>
      </c>
      <c r="N124" s="24">
        <f t="shared" si="111"/>
        <v>1.6633101168400818E-2</v>
      </c>
      <c r="O124" s="24">
        <f t="shared" si="112"/>
        <v>1.715443939094324E-2</v>
      </c>
      <c r="P124" s="390">
        <v>5017646063.1899996</v>
      </c>
      <c r="Q124" s="390">
        <v>205.89</v>
      </c>
      <c r="R124" s="24">
        <f t="shared" si="113"/>
        <v>-7.2391149409976321E-4</v>
      </c>
      <c r="S124" s="24">
        <f t="shared" si="114"/>
        <v>6.8043742405825692E-4</v>
      </c>
      <c r="T124" s="390">
        <v>5048291896.7399998</v>
      </c>
      <c r="U124" s="390">
        <v>207.22</v>
      </c>
      <c r="V124" s="24">
        <f t="shared" si="115"/>
        <v>6.1076116497776473E-3</v>
      </c>
      <c r="W124" s="24">
        <f t="shared" si="116"/>
        <v>6.4597600660547504E-3</v>
      </c>
      <c r="X124" s="390">
        <v>5172019010.4799995</v>
      </c>
      <c r="Y124" s="390">
        <v>212.34</v>
      </c>
      <c r="Z124" s="24">
        <f t="shared" si="117"/>
        <v>2.4508708345469914E-2</v>
      </c>
      <c r="AA124" s="24">
        <f t="shared" si="118"/>
        <v>2.4708039764501519E-2</v>
      </c>
      <c r="AB124" s="390">
        <v>5149407304.21</v>
      </c>
      <c r="AC124" s="390">
        <v>212.09</v>
      </c>
      <c r="AD124" s="24">
        <f t="shared" si="119"/>
        <v>-4.3719302315365968E-3</v>
      </c>
      <c r="AE124" s="24">
        <f t="shared" si="120"/>
        <v>-1.1773570688518413E-3</v>
      </c>
      <c r="AF124" s="390">
        <v>5119736472.96</v>
      </c>
      <c r="AG124" s="390">
        <v>210.87</v>
      </c>
      <c r="AH124" s="24">
        <f t="shared" si="121"/>
        <v>-5.7619895838773565E-3</v>
      </c>
      <c r="AI124" s="24">
        <f t="shared" si="122"/>
        <v>-5.7522749776038416E-3</v>
      </c>
      <c r="AJ124" s="25">
        <f t="shared" si="48"/>
        <v>6.5746233368000851E-3</v>
      </c>
      <c r="AK124" s="25">
        <f t="shared" si="49"/>
        <v>7.2987666627695675E-3</v>
      </c>
      <c r="AL124" s="26">
        <f t="shared" si="50"/>
        <v>4.3101504233330742E-2</v>
      </c>
      <c r="AM124" s="26">
        <f t="shared" si="51"/>
        <v>4.9052285955922661E-2</v>
      </c>
      <c r="AN124" s="27">
        <f t="shared" si="52"/>
        <v>1.0415990519984531E-2</v>
      </c>
      <c r="AO124" s="84">
        <f t="shared" si="53"/>
        <v>9.9653012522382834E-3</v>
      </c>
      <c r="AP124" s="31"/>
      <c r="AQ124" s="58"/>
      <c r="AR124" s="59"/>
      <c r="AS124" s="30" t="e">
        <f>(#REF!/AQ124)-1</f>
        <v>#REF!</v>
      </c>
      <c r="AT124" s="30" t="e">
        <f>(#REF!/AR124)-1</f>
        <v>#REF!</v>
      </c>
    </row>
    <row r="125" spans="1:46" ht="17.25" customHeight="1">
      <c r="A125" s="216" t="s">
        <v>134</v>
      </c>
      <c r="B125" s="390">
        <v>4869885766.9099998</v>
      </c>
      <c r="C125" s="390">
        <v>197.87049999999999</v>
      </c>
      <c r="D125" s="390">
        <v>4630574863.1599998</v>
      </c>
      <c r="E125" s="390">
        <v>188.23509999999999</v>
      </c>
      <c r="F125" s="24">
        <f>((D125-B125)/B125)</f>
        <v>-4.9140968639567413E-2</v>
      </c>
      <c r="G125" s="24">
        <f>((E125-C125)/C125)</f>
        <v>-4.8695485178437435E-2</v>
      </c>
      <c r="H125" s="390">
        <v>4671856027.5500002</v>
      </c>
      <c r="I125" s="390">
        <v>189.93020000000001</v>
      </c>
      <c r="J125" s="24">
        <f t="shared" si="109"/>
        <v>8.9149113468450052E-3</v>
      </c>
      <c r="K125" s="24">
        <f t="shared" si="110"/>
        <v>9.0052280366415462E-3</v>
      </c>
      <c r="L125" s="390">
        <v>4786509462.2799997</v>
      </c>
      <c r="M125" s="390">
        <v>193.59049999999999</v>
      </c>
      <c r="N125" s="24">
        <f t="shared" si="111"/>
        <v>2.4541303082519374E-2</v>
      </c>
      <c r="O125" s="24">
        <f t="shared" si="112"/>
        <v>1.9271816698976665E-2</v>
      </c>
      <c r="P125" s="390">
        <v>4570654125.75</v>
      </c>
      <c r="Q125" s="390">
        <v>185.78149999999999</v>
      </c>
      <c r="R125" s="24">
        <f t="shared" si="113"/>
        <v>-4.509660708519303E-2</v>
      </c>
      <c r="S125" s="24">
        <f t="shared" si="114"/>
        <v>-4.0337723183730592E-2</v>
      </c>
      <c r="T125" s="390">
        <v>4358487953.5100002</v>
      </c>
      <c r="U125" s="390">
        <v>197.07220000000001</v>
      </c>
      <c r="V125" s="24">
        <f t="shared" si="115"/>
        <v>-4.6419214056190559E-2</v>
      </c>
      <c r="W125" s="24">
        <f t="shared" si="116"/>
        <v>6.0774081380546588E-2</v>
      </c>
      <c r="X125" s="390">
        <v>4466328069.54</v>
      </c>
      <c r="Y125" s="390">
        <v>201.97900000000001</v>
      </c>
      <c r="Z125" s="24">
        <f t="shared" si="117"/>
        <v>2.47425522750736E-2</v>
      </c>
      <c r="AA125" s="24">
        <f t="shared" si="118"/>
        <v>2.4898488980180888E-2</v>
      </c>
      <c r="AB125" s="390">
        <v>4428331905.9099998</v>
      </c>
      <c r="AC125" s="390">
        <v>200.25700000000001</v>
      </c>
      <c r="AD125" s="24">
        <f t="shared" si="119"/>
        <v>-8.5072486925290847E-3</v>
      </c>
      <c r="AE125" s="24">
        <f t="shared" si="120"/>
        <v>-8.5256388040341243E-3</v>
      </c>
      <c r="AF125" s="390">
        <v>4378246882.5299997</v>
      </c>
      <c r="AG125" s="390">
        <v>197.9828</v>
      </c>
      <c r="AH125" s="24">
        <f t="shared" si="121"/>
        <v>-1.1310133125558459E-2</v>
      </c>
      <c r="AI125" s="24">
        <f t="shared" si="122"/>
        <v>-1.1356407016983214E-2</v>
      </c>
      <c r="AJ125" s="25">
        <f t="shared" si="48"/>
        <v>-1.2784425611825072E-2</v>
      </c>
      <c r="AK125" s="25">
        <f t="shared" si="49"/>
        <v>6.2929511414504063E-4</v>
      </c>
      <c r="AL125" s="26">
        <f t="shared" si="50"/>
        <v>-5.4491718217855631E-2</v>
      </c>
      <c r="AM125" s="26">
        <f t="shared" si="51"/>
        <v>5.1784709652981882E-2</v>
      </c>
      <c r="AN125" s="27">
        <f t="shared" si="52"/>
        <v>3.1144794069132464E-2</v>
      </c>
      <c r="AO125" s="84">
        <f t="shared" si="53"/>
        <v>3.5782656132054093E-2</v>
      </c>
      <c r="AP125" s="31"/>
      <c r="AQ125" s="494" t="s">
        <v>90</v>
      </c>
      <c r="AR125" s="494"/>
      <c r="AS125" s="30" t="e">
        <f>(#REF!/AQ125)-1</f>
        <v>#REF!</v>
      </c>
      <c r="AT125" s="30" t="e">
        <f>(#REF!/AR125)-1</f>
        <v>#REF!</v>
      </c>
    </row>
    <row r="126" spans="1:46" ht="16.5" customHeight="1">
      <c r="A126" s="216" t="s">
        <v>10</v>
      </c>
      <c r="B126" s="391">
        <v>2214925494.7624998</v>
      </c>
      <c r="C126" s="390">
        <v>4179.5624774555499</v>
      </c>
      <c r="D126" s="391">
        <v>2249286223.1368999</v>
      </c>
      <c r="E126" s="390">
        <v>4244.4106583044004</v>
      </c>
      <c r="F126" s="24">
        <f>((D126-B126)/B126)</f>
        <v>1.5513266001791424E-2</v>
      </c>
      <c r="G126" s="24">
        <f>((E126-C126)/C126)</f>
        <v>1.5515542882452372E-2</v>
      </c>
      <c r="H126" s="391">
        <v>2272561503.1782999</v>
      </c>
      <c r="I126" s="390">
        <v>4288.2251632296202</v>
      </c>
      <c r="J126" s="24">
        <f t="shared" si="109"/>
        <v>1.034785159931304E-2</v>
      </c>
      <c r="K126" s="24">
        <f t="shared" si="110"/>
        <v>1.0322871289443813E-2</v>
      </c>
      <c r="L126" s="391">
        <v>2312711997.5020199</v>
      </c>
      <c r="M126" s="390">
        <v>4363.69589428992</v>
      </c>
      <c r="N126" s="24">
        <f t="shared" si="111"/>
        <v>1.7667506145627895E-2</v>
      </c>
      <c r="O126" s="24">
        <f t="shared" si="112"/>
        <v>1.7599526187999898E-2</v>
      </c>
      <c r="P126" s="391">
        <v>2287511718.1623902</v>
      </c>
      <c r="Q126" s="390">
        <v>4316.4085451069895</v>
      </c>
      <c r="R126" s="24">
        <f t="shared" si="113"/>
        <v>-1.0896419167993545E-2</v>
      </c>
      <c r="S126" s="24">
        <f t="shared" si="114"/>
        <v>-1.0836536350942323E-2</v>
      </c>
      <c r="T126" s="391">
        <v>2295295653.5358701</v>
      </c>
      <c r="U126" s="390">
        <v>4331.0935922234903</v>
      </c>
      <c r="V126" s="24">
        <f t="shared" si="115"/>
        <v>3.4027958465423095E-3</v>
      </c>
      <c r="W126" s="24">
        <f t="shared" si="116"/>
        <v>3.4021448533057617E-3</v>
      </c>
      <c r="X126" s="391">
        <v>2316028075.9534702</v>
      </c>
      <c r="Y126" s="390">
        <v>4371.0717596189597</v>
      </c>
      <c r="Z126" s="24">
        <f t="shared" si="117"/>
        <v>9.0325716365393521E-3</v>
      </c>
      <c r="AA126" s="24">
        <f t="shared" si="118"/>
        <v>9.2305018453654551E-3</v>
      </c>
      <c r="AB126" s="391">
        <v>2323400695.4302802</v>
      </c>
      <c r="AC126" s="390">
        <v>4386.2195132859497</v>
      </c>
      <c r="AD126" s="24">
        <f t="shared" si="119"/>
        <v>3.1833031530823707E-3</v>
      </c>
      <c r="AE126" s="24">
        <f t="shared" si="120"/>
        <v>3.4654552704736275E-3</v>
      </c>
      <c r="AF126" s="391">
        <v>2328026888.6417899</v>
      </c>
      <c r="AG126" s="390">
        <v>4366.2637246062104</v>
      </c>
      <c r="AH126" s="24">
        <f t="shared" si="121"/>
        <v>1.9911301656268809E-3</v>
      </c>
      <c r="AI126" s="24">
        <f t="shared" si="122"/>
        <v>-4.5496557158830686E-3</v>
      </c>
      <c r="AJ126" s="25">
        <f t="shared" si="48"/>
        <v>6.2802506725662156E-3</v>
      </c>
      <c r="AK126" s="25">
        <f t="shared" si="49"/>
        <v>5.5187312827769414E-3</v>
      </c>
      <c r="AL126" s="26">
        <f t="shared" si="50"/>
        <v>3.500695673806984E-2</v>
      </c>
      <c r="AM126" s="26">
        <f t="shared" si="51"/>
        <v>2.8709066136990879E-2</v>
      </c>
      <c r="AN126" s="27">
        <f t="shared" si="52"/>
        <v>9.0265020832733488E-3</v>
      </c>
      <c r="AO126" s="84">
        <f t="shared" si="53"/>
        <v>9.7123038773058706E-3</v>
      </c>
      <c r="AP126" s="31"/>
      <c r="AQ126" s="60" t="s">
        <v>78</v>
      </c>
      <c r="AR126" s="61" t="s">
        <v>79</v>
      </c>
      <c r="AS126" s="30" t="e">
        <f>(#REF!/AQ126)-1</f>
        <v>#REF!</v>
      </c>
      <c r="AT126" s="30" t="e">
        <f>(#REF!/AR126)-1</f>
        <v>#REF!</v>
      </c>
    </row>
    <row r="127" spans="1:46" ht="14.25" customHeight="1">
      <c r="A127" s="216" t="s">
        <v>170</v>
      </c>
      <c r="B127" s="390">
        <v>1876623077.8399999</v>
      </c>
      <c r="C127" s="390">
        <v>1.306</v>
      </c>
      <c r="D127" s="390">
        <v>1870346405.3099999</v>
      </c>
      <c r="E127" s="390">
        <v>1.3095000000000001</v>
      </c>
      <c r="F127" s="24">
        <f>((D127-B127)/B127)</f>
        <v>-3.3446634031722793E-3</v>
      </c>
      <c r="G127" s="24">
        <f>((E127-C127)/C127)</f>
        <v>2.6799387442573187E-3</v>
      </c>
      <c r="H127" s="390">
        <v>1882323926.4400001</v>
      </c>
      <c r="I127" s="390">
        <v>1.3180000000000001</v>
      </c>
      <c r="J127" s="24">
        <f t="shared" si="109"/>
        <v>6.403905231670122E-3</v>
      </c>
      <c r="K127" s="24">
        <f t="shared" si="110"/>
        <v>6.4910271095837734E-3</v>
      </c>
      <c r="L127" s="390">
        <v>1898525899.24</v>
      </c>
      <c r="M127" s="390">
        <v>1.3263</v>
      </c>
      <c r="N127" s="24">
        <f t="shared" si="111"/>
        <v>8.6074307256150135E-3</v>
      </c>
      <c r="O127" s="24">
        <f t="shared" si="112"/>
        <v>6.2974203338391306E-3</v>
      </c>
      <c r="P127" s="390">
        <v>1909873407.26</v>
      </c>
      <c r="Q127" s="390">
        <v>1.3343</v>
      </c>
      <c r="R127" s="24">
        <f t="shared" si="113"/>
        <v>5.9770098604093359E-3</v>
      </c>
      <c r="S127" s="24">
        <f t="shared" si="114"/>
        <v>6.0318178391012642E-3</v>
      </c>
      <c r="T127" s="390">
        <v>1912302860.9400001</v>
      </c>
      <c r="U127" s="390">
        <v>1.3361000000000001</v>
      </c>
      <c r="V127" s="24">
        <f t="shared" si="115"/>
        <v>1.2720495875616607E-3</v>
      </c>
      <c r="W127" s="24">
        <f t="shared" si="116"/>
        <v>1.349021959079685E-3</v>
      </c>
      <c r="X127" s="390">
        <v>1906203341.72</v>
      </c>
      <c r="Y127" s="390">
        <v>1.3318000000000001</v>
      </c>
      <c r="Z127" s="24">
        <f t="shared" si="117"/>
        <v>-3.1896198790403868E-3</v>
      </c>
      <c r="AA127" s="24">
        <f t="shared" si="118"/>
        <v>-3.218321981887561E-3</v>
      </c>
      <c r="AB127" s="390">
        <v>1923471802</v>
      </c>
      <c r="AC127" s="390">
        <v>1.3427</v>
      </c>
      <c r="AD127" s="24">
        <f t="shared" si="119"/>
        <v>9.0590861436736034E-3</v>
      </c>
      <c r="AE127" s="24">
        <f t="shared" si="120"/>
        <v>8.1844120738849002E-3</v>
      </c>
      <c r="AF127" s="390">
        <v>1934562564.0599999</v>
      </c>
      <c r="AG127" s="390">
        <v>1.3504</v>
      </c>
      <c r="AH127" s="24">
        <f t="shared" si="121"/>
        <v>5.7660122953026496E-3</v>
      </c>
      <c r="AI127" s="24">
        <f t="shared" si="122"/>
        <v>5.7347136367021968E-3</v>
      </c>
      <c r="AJ127" s="25">
        <f t="shared" si="48"/>
        <v>3.8189013202524647E-3</v>
      </c>
      <c r="AK127" s="25">
        <f t="shared" si="49"/>
        <v>4.1937537143200889E-3</v>
      </c>
      <c r="AL127" s="26">
        <f t="shared" si="50"/>
        <v>3.4333831726404987E-2</v>
      </c>
      <c r="AM127" s="26">
        <f t="shared" si="51"/>
        <v>3.1233295150820874E-2</v>
      </c>
      <c r="AN127" s="27">
        <f t="shared" si="52"/>
        <v>4.9633363258984433E-3</v>
      </c>
      <c r="AO127" s="84">
        <f t="shared" si="53"/>
        <v>3.7168394849809924E-3</v>
      </c>
      <c r="AP127" s="31"/>
      <c r="AQ127" s="54">
        <v>1901056000</v>
      </c>
      <c r="AR127" s="48">
        <v>12.64</v>
      </c>
      <c r="AS127" s="30" t="e">
        <f>(#REF!/AQ127)-1</f>
        <v>#REF!</v>
      </c>
      <c r="AT127" s="30" t="e">
        <f>(#REF!/AR127)-1</f>
        <v>#REF!</v>
      </c>
    </row>
    <row r="128" spans="1:46">
      <c r="A128" s="216" t="s">
        <v>31</v>
      </c>
      <c r="B128" s="391">
        <v>1129719082.3</v>
      </c>
      <c r="C128" s="390">
        <v>552.20000000000005</v>
      </c>
      <c r="D128" s="391">
        <v>1130047553.23</v>
      </c>
      <c r="E128" s="390">
        <v>552.20000000000005</v>
      </c>
      <c r="F128" s="24">
        <f>((D128-B128)/B128)</f>
        <v>2.9075452043470076E-4</v>
      </c>
      <c r="G128" s="24">
        <f>((E128-C128)/C128)</f>
        <v>0</v>
      </c>
      <c r="H128" s="391">
        <v>1150907532.28</v>
      </c>
      <c r="I128" s="390">
        <v>552.20000000000005</v>
      </c>
      <c r="J128" s="24">
        <f t="shared" si="109"/>
        <v>1.8459381634318085E-2</v>
      </c>
      <c r="K128" s="24">
        <f t="shared" si="110"/>
        <v>0</v>
      </c>
      <c r="L128" s="391">
        <v>1150729908.24</v>
      </c>
      <c r="M128" s="390">
        <v>552.20000000000005</v>
      </c>
      <c r="N128" s="24">
        <f t="shared" si="111"/>
        <v>-1.5433389305227727E-4</v>
      </c>
      <c r="O128" s="24">
        <f t="shared" si="112"/>
        <v>0</v>
      </c>
      <c r="P128" s="391">
        <v>1150729908.24</v>
      </c>
      <c r="Q128" s="390">
        <v>552.20000000000005</v>
      </c>
      <c r="R128" s="24">
        <f t="shared" si="113"/>
        <v>0</v>
      </c>
      <c r="S128" s="24">
        <f t="shared" si="114"/>
        <v>0</v>
      </c>
      <c r="T128" s="391">
        <v>1157423183.53</v>
      </c>
      <c r="U128" s="390">
        <v>552.20000000000005</v>
      </c>
      <c r="V128" s="24">
        <f t="shared" si="115"/>
        <v>5.8165476034572573E-3</v>
      </c>
      <c r="W128" s="24">
        <f t="shared" si="116"/>
        <v>0</v>
      </c>
      <c r="X128" s="391">
        <v>1157423183.53</v>
      </c>
      <c r="Y128" s="390">
        <v>552.20000000000005</v>
      </c>
      <c r="Z128" s="24">
        <f t="shared" si="117"/>
        <v>0</v>
      </c>
      <c r="AA128" s="24">
        <f t="shared" si="118"/>
        <v>0</v>
      </c>
      <c r="AB128" s="391">
        <v>1153393675</v>
      </c>
      <c r="AC128" s="390">
        <v>552.20000000000005</v>
      </c>
      <c r="AD128" s="24">
        <f t="shared" si="119"/>
        <v>-3.4814479158007364E-3</v>
      </c>
      <c r="AE128" s="24">
        <f t="shared" si="120"/>
        <v>0</v>
      </c>
      <c r="AF128" s="391">
        <v>1154836540</v>
      </c>
      <c r="AG128" s="390">
        <v>552.20000000000005</v>
      </c>
      <c r="AH128" s="24">
        <f t="shared" si="121"/>
        <v>1.2509735671994214E-3</v>
      </c>
      <c r="AI128" s="24">
        <f t="shared" si="122"/>
        <v>0</v>
      </c>
      <c r="AJ128" s="25">
        <f t="shared" si="48"/>
        <v>2.7727344395695563E-3</v>
      </c>
      <c r="AK128" s="25">
        <f t="shared" si="49"/>
        <v>0</v>
      </c>
      <c r="AL128" s="26">
        <f t="shared" si="50"/>
        <v>2.1936233301993308E-2</v>
      </c>
      <c r="AM128" s="26">
        <f t="shared" si="51"/>
        <v>0</v>
      </c>
      <c r="AN128" s="27">
        <f t="shared" si="52"/>
        <v>6.8334295694417518E-3</v>
      </c>
      <c r="AO128" s="84">
        <f t="shared" si="53"/>
        <v>0</v>
      </c>
      <c r="AP128" s="31"/>
      <c r="AQ128" s="54">
        <v>106884243.56</v>
      </c>
      <c r="AR128" s="48">
        <v>2.92</v>
      </c>
      <c r="AS128" s="30" t="e">
        <f>(#REF!/AQ128)-1</f>
        <v>#REF!</v>
      </c>
      <c r="AT128" s="30" t="e">
        <f>(#REF!/AR128)-1</f>
        <v>#REF!</v>
      </c>
    </row>
    <row r="129" spans="1:46">
      <c r="A129" s="216" t="s">
        <v>56</v>
      </c>
      <c r="B129" s="391">
        <v>2166805695.2600002</v>
      </c>
      <c r="C129" s="390">
        <v>3.09</v>
      </c>
      <c r="D129" s="391">
        <v>2187015451.1399999</v>
      </c>
      <c r="E129" s="390">
        <v>3.14</v>
      </c>
      <c r="F129" s="24">
        <f>((D129-B129)/B129)</f>
        <v>9.3269811521215426E-3</v>
      </c>
      <c r="G129" s="24">
        <f>((E129-C129)/C129)</f>
        <v>1.6181229773462869E-2</v>
      </c>
      <c r="H129" s="391">
        <v>2202103165.6599998</v>
      </c>
      <c r="I129" s="390">
        <v>3.16</v>
      </c>
      <c r="J129" s="24">
        <f t="shared" si="109"/>
        <v>6.8987690563115985E-3</v>
      </c>
      <c r="K129" s="24">
        <f t="shared" si="110"/>
        <v>6.3694267515923622E-3</v>
      </c>
      <c r="L129" s="391">
        <v>2212470823.1399999</v>
      </c>
      <c r="M129" s="390">
        <v>3.18</v>
      </c>
      <c r="N129" s="24">
        <f t="shared" si="111"/>
        <v>4.708070739679761E-3</v>
      </c>
      <c r="O129" s="24">
        <f t="shared" si="112"/>
        <v>6.329113924050638E-3</v>
      </c>
      <c r="P129" s="391">
        <v>2220160472.3499999</v>
      </c>
      <c r="Q129" s="390">
        <v>3.19</v>
      </c>
      <c r="R129" s="24">
        <f t="shared" si="113"/>
        <v>3.4755934991660929E-3</v>
      </c>
      <c r="S129" s="24">
        <f t="shared" si="114"/>
        <v>3.1446540880502474E-3</v>
      </c>
      <c r="T129" s="391">
        <v>2220554097.4200001</v>
      </c>
      <c r="U129" s="390">
        <v>3.19</v>
      </c>
      <c r="V129" s="24">
        <f t="shared" si="115"/>
        <v>1.7729577429307467E-4</v>
      </c>
      <c r="W129" s="24">
        <f t="shared" si="116"/>
        <v>0</v>
      </c>
      <c r="X129" s="391">
        <v>2237071708.4200001</v>
      </c>
      <c r="Y129" s="390">
        <v>3.21</v>
      </c>
      <c r="Z129" s="24">
        <f t="shared" si="117"/>
        <v>7.4385087123936102E-3</v>
      </c>
      <c r="AA129" s="24">
        <f t="shared" si="118"/>
        <v>6.269592476489034E-3</v>
      </c>
      <c r="AB129" s="391">
        <v>2253799556.8099999</v>
      </c>
      <c r="AC129" s="390">
        <v>3.24</v>
      </c>
      <c r="AD129" s="24">
        <f t="shared" si="119"/>
        <v>7.4775646784315279E-3</v>
      </c>
      <c r="AE129" s="24">
        <f t="shared" si="120"/>
        <v>9.3457943925234419E-3</v>
      </c>
      <c r="AF129" s="391">
        <v>2262518547</v>
      </c>
      <c r="AG129" s="390">
        <v>3.25</v>
      </c>
      <c r="AH129" s="24">
        <f t="shared" si="121"/>
        <v>3.8685739216049934E-3</v>
      </c>
      <c r="AI129" s="24">
        <f t="shared" si="122"/>
        <v>3.0864197530863537E-3</v>
      </c>
      <c r="AJ129" s="25">
        <f t="shared" si="48"/>
        <v>5.4214196917502754E-3</v>
      </c>
      <c r="AK129" s="25">
        <f t="shared" si="49"/>
        <v>6.3407788949068674E-3</v>
      </c>
      <c r="AL129" s="26">
        <f t="shared" si="50"/>
        <v>3.4523348164112656E-2</v>
      </c>
      <c r="AM129" s="26">
        <f t="shared" si="51"/>
        <v>3.5031847133757919E-2</v>
      </c>
      <c r="AN129" s="27">
        <f t="shared" si="52"/>
        <v>2.9262268180770402E-3</v>
      </c>
      <c r="AO129" s="84">
        <f t="shared" si="53"/>
        <v>4.88265384675538E-3</v>
      </c>
      <c r="AP129" s="31"/>
      <c r="AQ129" s="54">
        <v>84059843.040000007</v>
      </c>
      <c r="AR129" s="48">
        <v>7.19</v>
      </c>
      <c r="AS129" s="30" t="e">
        <f>(#REF!/AQ129)-1</f>
        <v>#REF!</v>
      </c>
      <c r="AT129" s="30" t="e">
        <f>(#REF!/AR129)-1</f>
        <v>#REF!</v>
      </c>
    </row>
    <row r="130" spans="1:46">
      <c r="A130" s="217" t="s">
        <v>52</v>
      </c>
      <c r="B130" s="390">
        <v>153185347.52000001</v>
      </c>
      <c r="C130" s="390">
        <v>1.58941</v>
      </c>
      <c r="D130" s="390">
        <v>156433426.94</v>
      </c>
      <c r="E130" s="390">
        <v>1.6345080000000001</v>
      </c>
      <c r="F130" s="24">
        <f>((D130-B130)/B130)</f>
        <v>2.1203590764945157E-2</v>
      </c>
      <c r="G130" s="24">
        <f>((E130-C130)/C130)</f>
        <v>2.8374050748390965E-2</v>
      </c>
      <c r="H130" s="390">
        <v>157566505.06</v>
      </c>
      <c r="I130" s="390">
        <v>1.647273</v>
      </c>
      <c r="J130" s="24">
        <f t="shared" si="109"/>
        <v>7.243196944311631E-3</v>
      </c>
      <c r="K130" s="24">
        <f t="shared" si="110"/>
        <v>7.8096895212503795E-3</v>
      </c>
      <c r="L130" s="390">
        <v>160299429.81</v>
      </c>
      <c r="M130" s="390">
        <v>1.674614</v>
      </c>
      <c r="N130" s="24">
        <f t="shared" si="111"/>
        <v>1.7344579350537254E-2</v>
      </c>
      <c r="O130" s="24">
        <f t="shared" si="112"/>
        <v>1.6597734558874006E-2</v>
      </c>
      <c r="P130" s="390">
        <v>158446608.33000001</v>
      </c>
      <c r="Q130" s="390">
        <v>1.656256</v>
      </c>
      <c r="R130" s="24">
        <f t="shared" si="113"/>
        <v>-1.1558503247304777E-2</v>
      </c>
      <c r="S130" s="24">
        <f t="shared" si="114"/>
        <v>-1.0962526289640536E-2</v>
      </c>
      <c r="T130" s="390">
        <v>158513199.77000001</v>
      </c>
      <c r="U130" s="390">
        <v>1.6572929999999999</v>
      </c>
      <c r="V130" s="24">
        <f t="shared" si="115"/>
        <v>4.2027684089839435E-4</v>
      </c>
      <c r="W130" s="24">
        <f t="shared" si="116"/>
        <v>6.2611093937166393E-4</v>
      </c>
      <c r="X130" s="390">
        <v>159451728.80000001</v>
      </c>
      <c r="Y130" s="390">
        <v>1.668471</v>
      </c>
      <c r="Z130" s="24">
        <f t="shared" si="117"/>
        <v>5.9208257190050484E-3</v>
      </c>
      <c r="AA130" s="24">
        <f t="shared" si="118"/>
        <v>6.744733731452515E-3</v>
      </c>
      <c r="AB130" s="390">
        <v>159574293.08000001</v>
      </c>
      <c r="AC130" s="390">
        <v>1.668658</v>
      </c>
      <c r="AD130" s="24">
        <f t="shared" si="119"/>
        <v>7.6866071583164407E-4</v>
      </c>
      <c r="AE130" s="24">
        <f t="shared" si="120"/>
        <v>1.1207866363870706E-4</v>
      </c>
      <c r="AF130" s="390">
        <v>159163947.28999999</v>
      </c>
      <c r="AG130" s="390">
        <v>1.668658</v>
      </c>
      <c r="AH130" s="24">
        <f t="shared" si="121"/>
        <v>-2.5715031041641601E-3</v>
      </c>
      <c r="AI130" s="24">
        <f t="shared" si="122"/>
        <v>0</v>
      </c>
      <c r="AJ130" s="25">
        <f t="shared" si="48"/>
        <v>4.846390498007524E-3</v>
      </c>
      <c r="AK130" s="25">
        <f t="shared" si="49"/>
        <v>6.1627339841672122E-3</v>
      </c>
      <c r="AL130" s="26">
        <f t="shared" si="50"/>
        <v>1.7454839438167422E-2</v>
      </c>
      <c r="AM130" s="26">
        <f t="shared" si="51"/>
        <v>2.0893137262099605E-2</v>
      </c>
      <c r="AN130" s="27">
        <f t="shared" si="52"/>
        <v>1.0630319602248132E-2</v>
      </c>
      <c r="AO130" s="84">
        <f t="shared" si="53"/>
        <v>1.1974982670998828E-2</v>
      </c>
      <c r="AP130" s="31"/>
      <c r="AQ130" s="54">
        <v>82672021.189999998</v>
      </c>
      <c r="AR130" s="48">
        <v>18.53</v>
      </c>
      <c r="AS130" s="30" t="e">
        <f>(#REF!/AQ130)-1</f>
        <v>#REF!</v>
      </c>
      <c r="AT130" s="30" t="e">
        <f>(#REF!/AR130)-1</f>
        <v>#REF!</v>
      </c>
    </row>
    <row r="131" spans="1:46">
      <c r="A131" s="216" t="s">
        <v>227</v>
      </c>
      <c r="B131" s="390">
        <v>638597826.76999998</v>
      </c>
      <c r="C131" s="390">
        <v>1.1661999999999999</v>
      </c>
      <c r="D131" s="390">
        <v>643506374.08000004</v>
      </c>
      <c r="E131" s="390">
        <v>1.1751</v>
      </c>
      <c r="F131" s="24">
        <f>((D131-B131)/B131)</f>
        <v>7.6864453717722164E-3</v>
      </c>
      <c r="G131" s="24">
        <f>((E131-C131)/C131)</f>
        <v>7.6316240782028219E-3</v>
      </c>
      <c r="H131" s="390">
        <v>643839219.21000004</v>
      </c>
      <c r="I131" s="390">
        <v>1.1758</v>
      </c>
      <c r="J131" s="24">
        <f t="shared" si="109"/>
        <v>5.1723672586126749E-4</v>
      </c>
      <c r="K131" s="24">
        <f t="shared" si="110"/>
        <v>5.956939834907011E-4</v>
      </c>
      <c r="L131" s="390">
        <v>651476061.61000001</v>
      </c>
      <c r="M131" s="390">
        <v>1.1898</v>
      </c>
      <c r="N131" s="24">
        <f t="shared" si="111"/>
        <v>1.1861412247254045E-2</v>
      </c>
      <c r="O131" s="24">
        <f t="shared" si="112"/>
        <v>1.1906786868515064E-2</v>
      </c>
      <c r="P131" s="390">
        <v>653980969.27999997</v>
      </c>
      <c r="Q131" s="390">
        <v>1.1938</v>
      </c>
      <c r="R131" s="24">
        <f t="shared" si="113"/>
        <v>3.8449726975532316E-3</v>
      </c>
      <c r="S131" s="24">
        <f t="shared" si="114"/>
        <v>3.3619095646327144E-3</v>
      </c>
      <c r="T131" s="390">
        <v>661733060.10000002</v>
      </c>
      <c r="U131" s="390">
        <v>1.2059</v>
      </c>
      <c r="V131" s="24">
        <f t="shared" si="115"/>
        <v>1.1853694807869889E-2</v>
      </c>
      <c r="W131" s="24">
        <f t="shared" si="116"/>
        <v>1.0135701122466074E-2</v>
      </c>
      <c r="X131" s="390">
        <v>667911648.46000004</v>
      </c>
      <c r="Y131" s="390">
        <v>1.2177</v>
      </c>
      <c r="Z131" s="24">
        <f t="shared" si="117"/>
        <v>9.3369800189011497E-3</v>
      </c>
      <c r="AA131" s="24">
        <f t="shared" si="118"/>
        <v>9.7852226552782428E-3</v>
      </c>
      <c r="AB131" s="390">
        <v>669852946.48000002</v>
      </c>
      <c r="AC131" s="390">
        <v>1.2262999999999999</v>
      </c>
      <c r="AD131" s="24">
        <f t="shared" si="119"/>
        <v>2.9065191847993973E-3</v>
      </c>
      <c r="AE131" s="24">
        <f t="shared" si="120"/>
        <v>7.0624948673728679E-3</v>
      </c>
      <c r="AF131" s="390">
        <v>675713196.88</v>
      </c>
      <c r="AG131" s="390">
        <v>1.2397</v>
      </c>
      <c r="AH131" s="24">
        <f t="shared" si="121"/>
        <v>8.7485625476381289E-3</v>
      </c>
      <c r="AI131" s="24">
        <f t="shared" si="122"/>
        <v>1.0927179319905471E-2</v>
      </c>
      <c r="AJ131" s="25">
        <f t="shared" si="48"/>
        <v>7.0944779502061656E-3</v>
      </c>
      <c r="AK131" s="25">
        <f t="shared" si="49"/>
        <v>7.6758265574829957E-3</v>
      </c>
      <c r="AL131" s="26">
        <f t="shared" si="50"/>
        <v>5.0048956929206787E-2</v>
      </c>
      <c r="AM131" s="26">
        <f t="shared" si="51"/>
        <v>5.4974044762147893E-2</v>
      </c>
      <c r="AN131" s="27">
        <f t="shared" si="52"/>
        <v>4.2231915763417723E-3</v>
      </c>
      <c r="AO131" s="84">
        <f t="shared" si="53"/>
        <v>3.9295427109427355E-3</v>
      </c>
      <c r="AP131" s="31"/>
      <c r="AQ131" s="54">
        <v>541500000</v>
      </c>
      <c r="AR131" s="48">
        <v>3610</v>
      </c>
      <c r="AS131" s="30" t="e">
        <f>(#REF!/AQ131)-1</f>
        <v>#REF!</v>
      </c>
      <c r="AT131" s="30" t="e">
        <f>(#REF!/AR131)-1</f>
        <v>#REF!</v>
      </c>
    </row>
    <row r="132" spans="1:46">
      <c r="A132" s="216" t="s">
        <v>116</v>
      </c>
      <c r="B132" s="390">
        <v>122813955.59999999</v>
      </c>
      <c r="C132" s="390">
        <v>1.2089000000000001</v>
      </c>
      <c r="D132" s="390">
        <v>122540362.18000001</v>
      </c>
      <c r="E132" s="390">
        <v>1.2060999999999999</v>
      </c>
      <c r="F132" s="24">
        <f>((D132-B132)/B132)</f>
        <v>-2.2277062786827699E-3</v>
      </c>
      <c r="G132" s="24">
        <f>((E132-C132)/C132)</f>
        <v>-2.3161551823973328E-3</v>
      </c>
      <c r="H132" s="390">
        <v>122540362.18000001</v>
      </c>
      <c r="I132" s="390">
        <v>1.2061999999999999</v>
      </c>
      <c r="J132" s="24">
        <f t="shared" si="109"/>
        <v>0</v>
      </c>
      <c r="K132" s="24">
        <f t="shared" si="110"/>
        <v>8.2911864687827707E-5</v>
      </c>
      <c r="L132" s="390">
        <v>124410317.20999999</v>
      </c>
      <c r="M132" s="390">
        <v>1.2244999999999999</v>
      </c>
      <c r="N132" s="24">
        <f t="shared" si="111"/>
        <v>1.5259911075284746E-2</v>
      </c>
      <c r="O132" s="24">
        <f t="shared" si="112"/>
        <v>1.517161333112252E-2</v>
      </c>
      <c r="P132" s="390">
        <v>124410317.20999999</v>
      </c>
      <c r="Q132" s="390">
        <v>1.2096</v>
      </c>
      <c r="R132" s="24">
        <f t="shared" si="113"/>
        <v>0</v>
      </c>
      <c r="S132" s="24">
        <f t="shared" si="114"/>
        <v>-1.2168231931400502E-2</v>
      </c>
      <c r="T132" s="390">
        <v>124323995.27</v>
      </c>
      <c r="U132" s="390">
        <v>1.2177</v>
      </c>
      <c r="V132" s="24">
        <f t="shared" si="115"/>
        <v>-6.9384872521697203E-4</v>
      </c>
      <c r="W132" s="24">
        <f t="shared" si="116"/>
        <v>6.6964285714285685E-3</v>
      </c>
      <c r="X132" s="390">
        <v>125482699.62</v>
      </c>
      <c r="Y132" s="390">
        <v>1.2354000000000001</v>
      </c>
      <c r="Z132" s="24">
        <f t="shared" si="117"/>
        <v>9.320037917729387E-3</v>
      </c>
      <c r="AA132" s="24">
        <f t="shared" si="118"/>
        <v>1.4535599901453601E-2</v>
      </c>
      <c r="AB132" s="390">
        <v>125139728.48</v>
      </c>
      <c r="AC132" s="390">
        <v>1.2319</v>
      </c>
      <c r="AD132" s="24">
        <f t="shared" si="119"/>
        <v>-2.7332145470142268E-3</v>
      </c>
      <c r="AE132" s="24">
        <f t="shared" si="120"/>
        <v>-2.8330904970050659E-3</v>
      </c>
      <c r="AF132" s="390">
        <v>125258376.77</v>
      </c>
      <c r="AG132" s="390">
        <v>1.2330000000000001</v>
      </c>
      <c r="AH132" s="24">
        <f t="shared" si="121"/>
        <v>9.481264778271769E-4</v>
      </c>
      <c r="AI132" s="24">
        <f t="shared" si="122"/>
        <v>8.9292962091087013E-4</v>
      </c>
      <c r="AJ132" s="25">
        <f t="shared" si="48"/>
        <v>2.4841632399909179E-3</v>
      </c>
      <c r="AK132" s="25">
        <f t="shared" si="49"/>
        <v>2.5077507098500607E-3</v>
      </c>
      <c r="AL132" s="26">
        <f t="shared" si="50"/>
        <v>2.2180565991860596E-2</v>
      </c>
      <c r="AM132" s="26">
        <f t="shared" si="51"/>
        <v>2.230329160102823E-2</v>
      </c>
      <c r="AN132" s="27">
        <f t="shared" si="52"/>
        <v>6.3715098422101905E-3</v>
      </c>
      <c r="AO132" s="84">
        <f t="shared" si="53"/>
        <v>9.2447220835085667E-3</v>
      </c>
      <c r="AP132" s="31"/>
      <c r="AQ132" s="54">
        <v>551092000</v>
      </c>
      <c r="AR132" s="48">
        <v>8.86</v>
      </c>
      <c r="AS132" s="30" t="e">
        <f>(#REF!/AQ132)-1</f>
        <v>#REF!</v>
      </c>
      <c r="AT132" s="30" t="e">
        <f>(#REF!/AR132)-1</f>
        <v>#REF!</v>
      </c>
    </row>
    <row r="133" spans="1:46">
      <c r="A133" s="216" t="s">
        <v>118</v>
      </c>
      <c r="B133" s="390">
        <v>166601005.91</v>
      </c>
      <c r="C133" s="390">
        <v>112.29</v>
      </c>
      <c r="D133" s="390">
        <v>165611977.97</v>
      </c>
      <c r="E133" s="390">
        <v>111.69</v>
      </c>
      <c r="F133" s="24">
        <f>((D133-B133)/B133)</f>
        <v>-5.936506413018198E-3</v>
      </c>
      <c r="G133" s="24">
        <f>((E133-C133)/C133)</f>
        <v>-5.3433075073471238E-3</v>
      </c>
      <c r="H133" s="390">
        <v>167150713.65000001</v>
      </c>
      <c r="I133" s="390">
        <v>112.74</v>
      </c>
      <c r="J133" s="24">
        <f t="shared" si="109"/>
        <v>9.2912100855334478E-3</v>
      </c>
      <c r="K133" s="24">
        <f t="shared" si="110"/>
        <v>9.4010206822454749E-3</v>
      </c>
      <c r="L133" s="390">
        <v>169143934.00999999</v>
      </c>
      <c r="M133" s="390">
        <v>114.08</v>
      </c>
      <c r="N133" s="24">
        <f t="shared" si="111"/>
        <v>1.1924689500121584E-2</v>
      </c>
      <c r="O133" s="24">
        <f t="shared" si="112"/>
        <v>1.1885754834131661E-2</v>
      </c>
      <c r="P133" s="390">
        <v>169394608.46000001</v>
      </c>
      <c r="Q133" s="390">
        <v>114.28</v>
      </c>
      <c r="R133" s="24">
        <f t="shared" si="113"/>
        <v>1.4820185628720076E-3</v>
      </c>
      <c r="S133" s="24">
        <f t="shared" si="114"/>
        <v>1.7531556802244288E-3</v>
      </c>
      <c r="T133" s="390">
        <v>170022963.21000001</v>
      </c>
      <c r="U133" s="390">
        <v>114.74</v>
      </c>
      <c r="V133" s="24">
        <f t="shared" si="115"/>
        <v>3.7094141053986172E-3</v>
      </c>
      <c r="W133" s="24">
        <f t="shared" si="116"/>
        <v>4.0252012600629486E-3</v>
      </c>
      <c r="X133" s="390">
        <v>170786218.60334182</v>
      </c>
      <c r="Y133" s="390">
        <v>115.28</v>
      </c>
      <c r="Z133" s="24">
        <f t="shared" si="117"/>
        <v>4.4891312263455373E-3</v>
      </c>
      <c r="AA133" s="24">
        <f t="shared" si="118"/>
        <v>4.7062924873627881E-3</v>
      </c>
      <c r="AB133" s="390">
        <v>170488132.43697751</v>
      </c>
      <c r="AC133" s="390">
        <v>115.12</v>
      </c>
      <c r="AD133" s="24">
        <f t="shared" si="119"/>
        <v>-1.7453759958034427E-3</v>
      </c>
      <c r="AE133" s="24">
        <f t="shared" si="120"/>
        <v>-1.3879250520471599E-3</v>
      </c>
      <c r="AF133" s="390">
        <v>170303624.25</v>
      </c>
      <c r="AG133" s="390">
        <v>115.04</v>
      </c>
      <c r="AH133" s="24">
        <f t="shared" si="121"/>
        <v>-1.0822347827976286E-3</v>
      </c>
      <c r="AI133" s="24">
        <f t="shared" si="122"/>
        <v>-6.9492703266155567E-4</v>
      </c>
      <c r="AJ133" s="25">
        <f t="shared" si="48"/>
        <v>2.7665432860814903E-3</v>
      </c>
      <c r="AK133" s="25">
        <f t="shared" si="49"/>
        <v>3.043158168996433E-3</v>
      </c>
      <c r="AL133" s="26">
        <f t="shared" si="50"/>
        <v>2.8329148274829949E-2</v>
      </c>
      <c r="AM133" s="26">
        <f t="shared" si="51"/>
        <v>2.999373265287858E-2</v>
      </c>
      <c r="AN133" s="27">
        <f t="shared" si="52"/>
        <v>5.8902197336497195E-3</v>
      </c>
      <c r="AO133" s="84">
        <f t="shared" si="53"/>
        <v>5.7065006585406306E-3</v>
      </c>
      <c r="AP133" s="31"/>
      <c r="AQ133" s="29">
        <v>913647681</v>
      </c>
      <c r="AR133" s="33">
        <v>81</v>
      </c>
      <c r="AS133" s="30" t="e">
        <f>(#REF!/AQ133)-1</f>
        <v>#REF!</v>
      </c>
      <c r="AT133" s="30" t="e">
        <f>(#REF!/AR133)-1</f>
        <v>#REF!</v>
      </c>
    </row>
    <row r="134" spans="1:46">
      <c r="A134" s="216" t="s">
        <v>124</v>
      </c>
      <c r="B134" s="390">
        <v>164546313.91</v>
      </c>
      <c r="C134" s="390">
        <v>3.7696999999999998</v>
      </c>
      <c r="D134" s="390">
        <v>166520043.5</v>
      </c>
      <c r="E134" s="390">
        <v>3.8151999999999999</v>
      </c>
      <c r="F134" s="24">
        <f>((D134-B134)/B134)</f>
        <v>1.1994979061515481E-2</v>
      </c>
      <c r="G134" s="24">
        <f>((E134-C134)/C134)</f>
        <v>1.2069925988805501E-2</v>
      </c>
      <c r="H134" s="390">
        <v>167094661.91999999</v>
      </c>
      <c r="I134" s="390">
        <v>3.8307000000000002</v>
      </c>
      <c r="J134" s="24">
        <f t="shared" si="109"/>
        <v>3.450746276078092E-3</v>
      </c>
      <c r="K134" s="24">
        <f t="shared" si="110"/>
        <v>4.0626965820927587E-3</v>
      </c>
      <c r="L134" s="390">
        <v>169971730.99000001</v>
      </c>
      <c r="M134" s="390">
        <v>3.8971</v>
      </c>
      <c r="N134" s="24">
        <f t="shared" si="111"/>
        <v>1.7218198576430161E-2</v>
      </c>
      <c r="O134" s="24">
        <f t="shared" si="112"/>
        <v>1.7333646592006629E-2</v>
      </c>
      <c r="P134" s="390">
        <v>169425839.34</v>
      </c>
      <c r="Q134" s="390">
        <v>3.8843999999999999</v>
      </c>
      <c r="R134" s="24">
        <f t="shared" si="113"/>
        <v>-3.2116614146391353E-3</v>
      </c>
      <c r="S134" s="24">
        <f t="shared" si="114"/>
        <v>-3.2588334915706952E-3</v>
      </c>
      <c r="T134" s="390">
        <v>169737621.38999999</v>
      </c>
      <c r="U134" s="390">
        <v>3.8915000000000002</v>
      </c>
      <c r="V134" s="24">
        <f t="shared" si="115"/>
        <v>1.8402272712033307E-3</v>
      </c>
      <c r="W134" s="24">
        <f t="shared" si="116"/>
        <v>1.827824116980828E-3</v>
      </c>
      <c r="X134" s="390">
        <v>172282013.24000001</v>
      </c>
      <c r="Y134" s="390">
        <v>3.9502000000000002</v>
      </c>
      <c r="Z134" s="24">
        <f t="shared" si="117"/>
        <v>1.4990146728602181E-2</v>
      </c>
      <c r="AA134" s="24">
        <f t="shared" si="118"/>
        <v>1.5084157779776428E-2</v>
      </c>
      <c r="AB134" s="390">
        <v>172629512.06999999</v>
      </c>
      <c r="AC134" s="390">
        <v>3.9582000000000002</v>
      </c>
      <c r="AD134" s="24">
        <f t="shared" si="119"/>
        <v>2.0170348805704686E-3</v>
      </c>
      <c r="AE134" s="24">
        <f t="shared" si="120"/>
        <v>2.0252139132195856E-3</v>
      </c>
      <c r="AF134" s="390">
        <v>172095083.38999999</v>
      </c>
      <c r="AG134" s="390">
        <v>3.9458000000000002</v>
      </c>
      <c r="AH134" s="24">
        <f t="shared" si="121"/>
        <v>-3.0958129556857015E-3</v>
      </c>
      <c r="AI134" s="24">
        <f t="shared" si="122"/>
        <v>-3.1327371027234517E-3</v>
      </c>
      <c r="AJ134" s="25">
        <f t="shared" ref="AJ134:AJ169" si="123">AVERAGE(F134,J134,N134,R134,V134,Z134,AD134,AH134)</f>
        <v>5.6504823030093607E-3</v>
      </c>
      <c r="AK134" s="25">
        <f t="shared" ref="AK134:AK169" si="124">AVERAGE(G134,K134,O134,S134,W134,AA134,AE134,AI134)</f>
        <v>5.7514867973234478E-3</v>
      </c>
      <c r="AL134" s="26">
        <f t="shared" ref="AL134:AL169" si="125">((AF134-D134)/D134)</f>
        <v>3.3479692731403748E-2</v>
      </c>
      <c r="AM134" s="26">
        <f t="shared" ref="AM134:AM169" si="126">((AG134-E134)/E134)</f>
        <v>3.4231495072342279E-2</v>
      </c>
      <c r="AN134" s="27">
        <f t="shared" ref="AN134:AN169" si="127">STDEV(F134,J134,N134,R134,V134,Z134,AD134,AH134)</f>
        <v>8.0079257584995296E-3</v>
      </c>
      <c r="AO134" s="84">
        <f t="shared" ref="AO134:AO169" si="128">STDEV(G134,K134,O134,S134,W134,AA134,AE134,AI134)</f>
        <v>8.0482065778155441E-3</v>
      </c>
      <c r="AP134" s="31"/>
      <c r="AQ134" s="62">
        <f>SUM(AQ127:AQ133)</f>
        <v>4180911788.79</v>
      </c>
      <c r="AR134" s="63"/>
      <c r="AS134" s="30" t="e">
        <f>(#REF!/AQ134)-1</f>
        <v>#REF!</v>
      </c>
      <c r="AT134" s="30" t="e">
        <f>(#REF!/AR134)-1</f>
        <v>#REF!</v>
      </c>
    </row>
    <row r="135" spans="1:46">
      <c r="A135" s="216" t="s">
        <v>166</v>
      </c>
      <c r="B135" s="390">
        <v>343008605</v>
      </c>
      <c r="C135" s="390">
        <v>137.94</v>
      </c>
      <c r="D135" s="390">
        <v>334612472.54000002</v>
      </c>
      <c r="E135" s="390">
        <v>138.87</v>
      </c>
      <c r="F135" s="24">
        <f>((D135-B135)/B135)</f>
        <v>-2.4477906202965312E-2</v>
      </c>
      <c r="G135" s="24">
        <f>((E135-C135)/C135)</f>
        <v>6.7420617659852602E-3</v>
      </c>
      <c r="H135" s="390">
        <v>337168492.69</v>
      </c>
      <c r="I135" s="390">
        <v>140.02000000000001</v>
      </c>
      <c r="J135" s="24">
        <f t="shared" si="109"/>
        <v>7.6387473861854512E-3</v>
      </c>
      <c r="K135" s="24">
        <f t="shared" si="110"/>
        <v>8.2811262331677522E-3</v>
      </c>
      <c r="L135" s="390">
        <v>353383518.54000002</v>
      </c>
      <c r="M135" s="390">
        <v>141.41</v>
      </c>
      <c r="N135" s="24">
        <f t="shared" si="111"/>
        <v>4.8091758872939733E-2</v>
      </c>
      <c r="O135" s="24">
        <f t="shared" si="112"/>
        <v>9.9271532638193563E-3</v>
      </c>
      <c r="P135" s="390">
        <v>355733512.87</v>
      </c>
      <c r="Q135" s="390">
        <v>141.38999999999999</v>
      </c>
      <c r="R135" s="24">
        <f t="shared" si="113"/>
        <v>6.6499828280304589E-3</v>
      </c>
      <c r="S135" s="24">
        <f t="shared" si="114"/>
        <v>-1.4143271338667868E-4</v>
      </c>
      <c r="T135" s="390">
        <v>357629848.88</v>
      </c>
      <c r="U135" s="390">
        <v>141.9</v>
      </c>
      <c r="V135" s="24">
        <f t="shared" si="115"/>
        <v>5.3307769478918663E-3</v>
      </c>
      <c r="W135" s="24">
        <f t="shared" si="116"/>
        <v>3.607044345427678E-3</v>
      </c>
      <c r="X135" s="390">
        <v>361352560.54000002</v>
      </c>
      <c r="Y135" s="390">
        <v>143.27000000000001</v>
      </c>
      <c r="Z135" s="24">
        <f t="shared" si="117"/>
        <v>1.0409398632856158E-2</v>
      </c>
      <c r="AA135" s="24">
        <f t="shared" si="118"/>
        <v>9.6546863988724776E-3</v>
      </c>
      <c r="AB135" s="390">
        <v>363229135.31999999</v>
      </c>
      <c r="AC135" s="390">
        <v>143.63999999999999</v>
      </c>
      <c r="AD135" s="24">
        <f t="shared" si="119"/>
        <v>5.193196298915511E-3</v>
      </c>
      <c r="AE135" s="24">
        <f t="shared" si="120"/>
        <v>2.5825364696026808E-3</v>
      </c>
      <c r="AF135" s="390">
        <v>364429939.25</v>
      </c>
      <c r="AG135" s="390">
        <v>143.97</v>
      </c>
      <c r="AH135" s="24">
        <f t="shared" si="121"/>
        <v>3.3059130263383609E-3</v>
      </c>
      <c r="AI135" s="24">
        <f t="shared" si="122"/>
        <v>2.2974101921471217E-3</v>
      </c>
      <c r="AJ135" s="25">
        <f t="shared" si="123"/>
        <v>7.7677334737740284E-3</v>
      </c>
      <c r="AK135" s="25">
        <f t="shared" si="124"/>
        <v>5.3688232444544558E-3</v>
      </c>
      <c r="AL135" s="26">
        <f t="shared" si="125"/>
        <v>8.9110446133879723E-2</v>
      </c>
      <c r="AM135" s="26">
        <f t="shared" si="126"/>
        <v>3.6724994599265461E-2</v>
      </c>
      <c r="AN135" s="27">
        <f t="shared" si="127"/>
        <v>1.9663336229654674E-2</v>
      </c>
      <c r="AO135" s="84">
        <f t="shared" si="128"/>
        <v>3.7830079871994382E-3</v>
      </c>
      <c r="AP135" s="31"/>
      <c r="AQ135" s="85"/>
      <c r="AR135" s="86"/>
      <c r="AS135" s="30"/>
      <c r="AT135" s="30"/>
    </row>
    <row r="136" spans="1:46" s="94" customFormat="1">
      <c r="A136" s="216" t="s">
        <v>139</v>
      </c>
      <c r="B136" s="391">
        <v>154452128.09</v>
      </c>
      <c r="C136" s="390">
        <v>147.69995700000001</v>
      </c>
      <c r="D136" s="391">
        <v>157421994.74000001</v>
      </c>
      <c r="E136" s="390">
        <v>150.51816700000001</v>
      </c>
      <c r="F136" s="24">
        <f>((D136-B136)/B136)</f>
        <v>1.9228395793092927E-2</v>
      </c>
      <c r="G136" s="24">
        <f>((E136-C136)/C136)</f>
        <v>1.908064198014623E-2</v>
      </c>
      <c r="H136" s="391">
        <v>156864546.53999999</v>
      </c>
      <c r="I136" s="390">
        <v>150.06919300000001</v>
      </c>
      <c r="J136" s="24">
        <f t="shared" si="109"/>
        <v>-3.5411074603692184E-3</v>
      </c>
      <c r="K136" s="24">
        <f t="shared" si="110"/>
        <v>-2.9828558834362677E-3</v>
      </c>
      <c r="L136" s="391">
        <v>159782048.28999999</v>
      </c>
      <c r="M136" s="390">
        <v>152.767582</v>
      </c>
      <c r="N136" s="24">
        <f t="shared" si="111"/>
        <v>1.8598860063360752E-2</v>
      </c>
      <c r="O136" s="24">
        <f t="shared" si="112"/>
        <v>1.7980965620305503E-2</v>
      </c>
      <c r="P136" s="391">
        <v>158690175.71000001</v>
      </c>
      <c r="Q136" s="390">
        <v>151.732966</v>
      </c>
      <c r="R136" s="24">
        <f t="shared" si="113"/>
        <v>-6.8335122229642772E-3</v>
      </c>
      <c r="S136" s="24">
        <f t="shared" si="114"/>
        <v>-6.772483968490119E-3</v>
      </c>
      <c r="T136" s="391">
        <v>159508902.55000001</v>
      </c>
      <c r="U136" s="390">
        <v>152.54738</v>
      </c>
      <c r="V136" s="24">
        <f t="shared" si="115"/>
        <v>5.1592786783234415E-3</v>
      </c>
      <c r="W136" s="24">
        <f t="shared" si="116"/>
        <v>5.3674163332442818E-3</v>
      </c>
      <c r="X136" s="391">
        <v>159508902.55000001</v>
      </c>
      <c r="Y136" s="390">
        <v>152.54738</v>
      </c>
      <c r="Z136" s="24">
        <f t="shared" si="117"/>
        <v>0</v>
      </c>
      <c r="AA136" s="24">
        <f t="shared" si="118"/>
        <v>0</v>
      </c>
      <c r="AB136" s="391">
        <v>162994676.41</v>
      </c>
      <c r="AC136" s="390">
        <v>154.393483</v>
      </c>
      <c r="AD136" s="24">
        <f t="shared" si="119"/>
        <v>2.1853161825292643E-2</v>
      </c>
      <c r="AE136" s="24">
        <f t="shared" si="120"/>
        <v>1.2101833541815004E-2</v>
      </c>
      <c r="AF136" s="391">
        <v>162472511.31</v>
      </c>
      <c r="AG136" s="390">
        <v>153.949882</v>
      </c>
      <c r="AH136" s="24">
        <f t="shared" si="121"/>
        <v>-3.203571500007336E-3</v>
      </c>
      <c r="AI136" s="24">
        <f t="shared" si="122"/>
        <v>-2.8731847444623099E-3</v>
      </c>
      <c r="AJ136" s="25">
        <f t="shared" si="123"/>
        <v>6.4076881470911161E-3</v>
      </c>
      <c r="AK136" s="25">
        <f t="shared" si="124"/>
        <v>5.2377916098902896E-3</v>
      </c>
      <c r="AL136" s="26">
        <f t="shared" si="125"/>
        <v>3.208266150064662E-2</v>
      </c>
      <c r="AM136" s="26">
        <f t="shared" si="126"/>
        <v>2.2799340892850475E-2</v>
      </c>
      <c r="AN136" s="27">
        <f t="shared" si="127"/>
        <v>1.1716039684706409E-2</v>
      </c>
      <c r="AO136" s="84">
        <f t="shared" si="128"/>
        <v>1.0044138500302576E-2</v>
      </c>
      <c r="AP136" s="31"/>
      <c r="AQ136" s="85"/>
      <c r="AR136" s="86"/>
      <c r="AS136" s="30"/>
      <c r="AT136" s="30"/>
    </row>
    <row r="137" spans="1:46" s="114" customFormat="1">
      <c r="A137" s="216" t="s">
        <v>153</v>
      </c>
      <c r="B137" s="391">
        <v>1013780046.33</v>
      </c>
      <c r="C137" s="390">
        <v>2.3515999999999999</v>
      </c>
      <c r="D137" s="391">
        <v>1019900355.6</v>
      </c>
      <c r="E137" s="390">
        <v>2.3656999999999999</v>
      </c>
      <c r="F137" s="24">
        <f>((D137-B137)/B137)</f>
        <v>6.0371175109987631E-3</v>
      </c>
      <c r="G137" s="24">
        <f>((E137-C137)/C137)</f>
        <v>5.9959176730736531E-3</v>
      </c>
      <c r="H137" s="391">
        <v>1026958531.1900001</v>
      </c>
      <c r="I137" s="390">
        <v>2.3822999999999999</v>
      </c>
      <c r="J137" s="24">
        <f t="shared" si="109"/>
        <v>6.9204560536188457E-3</v>
      </c>
      <c r="K137" s="24">
        <f t="shared" si="110"/>
        <v>7.0169505854503732E-3</v>
      </c>
      <c r="L137" s="391">
        <v>1041422622.37</v>
      </c>
      <c r="M137" s="390">
        <v>2.4161999999999999</v>
      </c>
      <c r="N137" s="24">
        <f t="shared" si="111"/>
        <v>1.4084396536673701E-2</v>
      </c>
      <c r="O137" s="24">
        <f t="shared" si="112"/>
        <v>1.4229945850648551E-2</v>
      </c>
      <c r="P137" s="391">
        <v>1035804495.45</v>
      </c>
      <c r="Q137" s="390">
        <v>2.403</v>
      </c>
      <c r="R137" s="24">
        <f t="shared" si="113"/>
        <v>-5.3946657191050826E-3</v>
      </c>
      <c r="S137" s="24">
        <f t="shared" si="114"/>
        <v>-5.4631239135832623E-3</v>
      </c>
      <c r="T137" s="391">
        <v>1038050562.1</v>
      </c>
      <c r="U137" s="390">
        <v>2.4081000000000001</v>
      </c>
      <c r="V137" s="24">
        <f t="shared" si="115"/>
        <v>2.1684272079010277E-3</v>
      </c>
      <c r="W137" s="24">
        <f t="shared" si="116"/>
        <v>2.1223470661673343E-3</v>
      </c>
      <c r="X137" s="391">
        <v>1041534961.77</v>
      </c>
      <c r="Y137" s="390">
        <v>2.4165999999999999</v>
      </c>
      <c r="Z137" s="24">
        <f t="shared" si="117"/>
        <v>3.3566762518301005E-3</v>
      </c>
      <c r="AA137" s="24">
        <f t="shared" si="118"/>
        <v>3.5297537477678377E-3</v>
      </c>
      <c r="AB137" s="391">
        <v>1040667012.08</v>
      </c>
      <c r="AC137" s="390">
        <v>2.4144000000000001</v>
      </c>
      <c r="AD137" s="24">
        <f t="shared" si="119"/>
        <v>-8.333370667893197E-4</v>
      </c>
      <c r="AE137" s="24">
        <f t="shared" si="120"/>
        <v>-9.1036994123965811E-4</v>
      </c>
      <c r="AF137" s="391">
        <v>1041397974.67</v>
      </c>
      <c r="AG137" s="390">
        <v>2.4161000000000001</v>
      </c>
      <c r="AH137" s="24">
        <f t="shared" si="121"/>
        <v>7.0239815571642458E-4</v>
      </c>
      <c r="AI137" s="24">
        <f t="shared" si="122"/>
        <v>7.0410868124587259E-4</v>
      </c>
      <c r="AJ137" s="25">
        <f t="shared" si="123"/>
        <v>3.3801836163555575E-3</v>
      </c>
      <c r="AK137" s="25">
        <f t="shared" si="124"/>
        <v>3.4031912186913383E-3</v>
      </c>
      <c r="AL137" s="26">
        <f t="shared" si="125"/>
        <v>2.1078156264935352E-2</v>
      </c>
      <c r="AM137" s="26">
        <f t="shared" si="126"/>
        <v>2.1304476476307319E-2</v>
      </c>
      <c r="AN137" s="27">
        <f t="shared" si="127"/>
        <v>5.8256106910313035E-3</v>
      </c>
      <c r="AO137" s="84">
        <f t="shared" si="128"/>
        <v>5.8938234419569696E-3</v>
      </c>
      <c r="AP137" s="31"/>
      <c r="AQ137" s="85"/>
      <c r="AR137" s="86"/>
      <c r="AS137" s="30"/>
      <c r="AT137" s="30"/>
    </row>
    <row r="138" spans="1:46" s="114" customFormat="1">
      <c r="A138" s="216" t="s">
        <v>172</v>
      </c>
      <c r="B138" s="391">
        <v>19183986.309999999</v>
      </c>
      <c r="C138" s="390">
        <v>1.2</v>
      </c>
      <c r="D138" s="391">
        <v>19275637.66</v>
      </c>
      <c r="E138" s="390">
        <v>1.21</v>
      </c>
      <c r="F138" s="24">
        <f>((D138-B138)/B138)</f>
        <v>4.777492462670627E-3</v>
      </c>
      <c r="G138" s="24">
        <f>((E138-C138)/C138)</f>
        <v>8.3333333333333419E-3</v>
      </c>
      <c r="H138" s="391">
        <v>19245718.289999999</v>
      </c>
      <c r="I138" s="390">
        <v>1.22</v>
      </c>
      <c r="J138" s="24">
        <f t="shared" si="109"/>
        <v>-1.55218574491512E-3</v>
      </c>
      <c r="K138" s="24">
        <f t="shared" si="110"/>
        <v>8.2644628099173625E-3</v>
      </c>
      <c r="L138" s="391">
        <v>19624666.559999999</v>
      </c>
      <c r="M138" s="390">
        <v>1.24</v>
      </c>
      <c r="N138" s="24">
        <f t="shared" si="111"/>
        <v>1.9690003994129936E-2</v>
      </c>
      <c r="O138" s="24">
        <f t="shared" si="112"/>
        <v>1.6393442622950834E-2</v>
      </c>
      <c r="P138" s="391">
        <v>19547733.41</v>
      </c>
      <c r="Q138" s="390">
        <v>1.24</v>
      </c>
      <c r="R138" s="24">
        <f t="shared" si="113"/>
        <v>-3.920227116460037E-3</v>
      </c>
      <c r="S138" s="24">
        <f t="shared" si="114"/>
        <v>0</v>
      </c>
      <c r="T138" s="391">
        <v>19547733.41</v>
      </c>
      <c r="U138" s="390">
        <v>1.24</v>
      </c>
      <c r="V138" s="24">
        <f t="shared" si="115"/>
        <v>0</v>
      </c>
      <c r="W138" s="24">
        <f t="shared" si="116"/>
        <v>0</v>
      </c>
      <c r="X138" s="391">
        <v>19966931.129999999</v>
      </c>
      <c r="Y138" s="390">
        <v>1.25</v>
      </c>
      <c r="Z138" s="24">
        <f t="shared" si="117"/>
        <v>2.1444824891337557E-2</v>
      </c>
      <c r="AA138" s="24">
        <f t="shared" si="118"/>
        <v>8.0645161290322648E-3</v>
      </c>
      <c r="AB138" s="391">
        <v>20012283.399999999</v>
      </c>
      <c r="AC138" s="390">
        <v>1.25</v>
      </c>
      <c r="AD138" s="24">
        <f t="shared" si="119"/>
        <v>2.2713690804421357E-3</v>
      </c>
      <c r="AE138" s="24">
        <f t="shared" si="120"/>
        <v>0</v>
      </c>
      <c r="AF138" s="391">
        <v>20028426.649999999</v>
      </c>
      <c r="AG138" s="390">
        <v>1.26</v>
      </c>
      <c r="AH138" s="24">
        <f t="shared" si="121"/>
        <v>8.0666706928605666E-4</v>
      </c>
      <c r="AI138" s="24">
        <f t="shared" si="122"/>
        <v>8.0000000000000071E-3</v>
      </c>
      <c r="AJ138" s="25">
        <f t="shared" si="123"/>
        <v>5.4397430795613943E-3</v>
      </c>
      <c r="AK138" s="25">
        <f t="shared" si="124"/>
        <v>6.1319693619042263E-3</v>
      </c>
      <c r="AL138" s="26">
        <f t="shared" si="125"/>
        <v>3.9053908528388387E-2</v>
      </c>
      <c r="AM138" s="26">
        <f t="shared" si="126"/>
        <v>4.1322314049586813E-2</v>
      </c>
      <c r="AN138" s="27">
        <f t="shared" si="127"/>
        <v>9.6899215569460559E-3</v>
      </c>
      <c r="AO138" s="84">
        <f t="shared" si="128"/>
        <v>5.7906178471940723E-3</v>
      </c>
      <c r="AP138" s="31"/>
      <c r="AQ138" s="85"/>
      <c r="AR138" s="86"/>
      <c r="AS138" s="30"/>
      <c r="AT138" s="30"/>
    </row>
    <row r="139" spans="1:46" ht="15.75" customHeight="1" thickBot="1">
      <c r="A139" s="216" t="s">
        <v>228</v>
      </c>
      <c r="B139" s="391">
        <v>210978508.15000001</v>
      </c>
      <c r="C139" s="390">
        <v>1.0537000000000001</v>
      </c>
      <c r="D139" s="391">
        <v>215802936.59</v>
      </c>
      <c r="E139" s="390">
        <v>1.077</v>
      </c>
      <c r="F139" s="24">
        <f>((D139-B139)/B139)</f>
        <v>2.2866918921286332E-2</v>
      </c>
      <c r="G139" s="24">
        <f>((E139-C139)/C139)</f>
        <v>2.2112555755907634E-2</v>
      </c>
      <c r="H139" s="391">
        <v>218646932.90000001</v>
      </c>
      <c r="I139" s="390">
        <v>1.0911999999999999</v>
      </c>
      <c r="J139" s="24">
        <f t="shared" si="109"/>
        <v>1.3178672889902598E-2</v>
      </c>
      <c r="K139" s="24">
        <f t="shared" si="110"/>
        <v>1.3184772516248831E-2</v>
      </c>
      <c r="L139" s="391">
        <v>222695695.49000001</v>
      </c>
      <c r="M139" s="390">
        <v>1.1096999999999999</v>
      </c>
      <c r="N139" s="24">
        <f t="shared" si="111"/>
        <v>1.851735369117544E-2</v>
      </c>
      <c r="O139" s="24">
        <f t="shared" si="112"/>
        <v>1.6953812316715507E-2</v>
      </c>
      <c r="P139" s="391">
        <v>221357929.75999999</v>
      </c>
      <c r="Q139" s="390">
        <v>1.1031</v>
      </c>
      <c r="R139" s="24">
        <f t="shared" si="113"/>
        <v>-6.0071467796291127E-3</v>
      </c>
      <c r="S139" s="24">
        <f t="shared" si="114"/>
        <v>-5.9475533928088128E-3</v>
      </c>
      <c r="T139" s="391">
        <v>223066127.62</v>
      </c>
      <c r="U139" s="390">
        <v>1.1121000000000001</v>
      </c>
      <c r="V139" s="24">
        <f t="shared" si="115"/>
        <v>7.7169038482247793E-3</v>
      </c>
      <c r="W139" s="24">
        <f t="shared" si="116"/>
        <v>8.1588251291815055E-3</v>
      </c>
      <c r="X139" s="391">
        <v>226052034.74000001</v>
      </c>
      <c r="Y139" s="390">
        <v>1.1265000000000001</v>
      </c>
      <c r="Z139" s="24">
        <f t="shared" si="117"/>
        <v>1.338574866501735E-2</v>
      </c>
      <c r="AA139" s="24">
        <f t="shared" si="118"/>
        <v>1.2948475856487696E-2</v>
      </c>
      <c r="AB139" s="391">
        <v>225812191.31</v>
      </c>
      <c r="AC139" s="390">
        <v>1.1254</v>
      </c>
      <c r="AD139" s="24">
        <f t="shared" si="119"/>
        <v>-1.0610098257946216E-3</v>
      </c>
      <c r="AE139" s="24">
        <f t="shared" si="120"/>
        <v>-9.7647581003115921E-4</v>
      </c>
      <c r="AF139" s="391">
        <v>226270020.63999999</v>
      </c>
      <c r="AG139" s="390">
        <v>1.1276999999999999</v>
      </c>
      <c r="AH139" s="24">
        <f t="shared" si="121"/>
        <v>2.0274783542198792E-3</v>
      </c>
      <c r="AI139" s="24">
        <f t="shared" si="122"/>
        <v>2.0437177892304683E-3</v>
      </c>
      <c r="AJ139" s="25">
        <f t="shared" si="123"/>
        <v>8.8281149705503308E-3</v>
      </c>
      <c r="AK139" s="25">
        <f t="shared" si="124"/>
        <v>8.5597662701164604E-3</v>
      </c>
      <c r="AL139" s="26">
        <f t="shared" si="125"/>
        <v>4.850297320043518E-2</v>
      </c>
      <c r="AM139" s="26">
        <f t="shared" si="126"/>
        <v>4.7075208913648997E-2</v>
      </c>
      <c r="AN139" s="27">
        <f t="shared" si="127"/>
        <v>9.9716166581153027E-3</v>
      </c>
      <c r="AO139" s="84">
        <f t="shared" si="128"/>
        <v>9.552946029562177E-3</v>
      </c>
      <c r="AP139" s="31"/>
      <c r="AQ139" s="65" t="e">
        <f>SUM(AQ123,AQ134)</f>
        <v>#REF!</v>
      </c>
      <c r="AR139" s="66"/>
      <c r="AS139" s="30" t="e">
        <f>(#REF!/AQ139)-1</f>
        <v>#REF!</v>
      </c>
      <c r="AT139" s="30" t="e">
        <f>(#REF!/AR139)-1</f>
        <v>#REF!</v>
      </c>
    </row>
    <row r="140" spans="1:46" s="329" customFormat="1" ht="15.75" customHeight="1">
      <c r="A140" s="216" t="s">
        <v>196</v>
      </c>
      <c r="B140" s="390">
        <v>3734808.11</v>
      </c>
      <c r="C140" s="390">
        <v>102.99</v>
      </c>
      <c r="D140" s="390">
        <v>3734808.11</v>
      </c>
      <c r="E140" s="390">
        <v>102.99</v>
      </c>
      <c r="F140" s="24">
        <f>((D140-B140)/B140)</f>
        <v>0</v>
      </c>
      <c r="G140" s="24">
        <f>((E140-C140)/C140)</f>
        <v>0</v>
      </c>
      <c r="H140" s="390">
        <v>3734808.11</v>
      </c>
      <c r="I140" s="390">
        <v>102.99</v>
      </c>
      <c r="J140" s="24">
        <f t="shared" si="109"/>
        <v>0</v>
      </c>
      <c r="K140" s="24">
        <f t="shared" si="110"/>
        <v>0</v>
      </c>
      <c r="L140" s="390">
        <v>3734808.11</v>
      </c>
      <c r="M140" s="390">
        <v>102.99</v>
      </c>
      <c r="N140" s="24">
        <f t="shared" si="111"/>
        <v>0</v>
      </c>
      <c r="O140" s="24">
        <f t="shared" si="112"/>
        <v>0</v>
      </c>
      <c r="P140" s="390">
        <v>3734808.11</v>
      </c>
      <c r="Q140" s="390">
        <v>102.99</v>
      </c>
      <c r="R140" s="24">
        <f t="shared" si="113"/>
        <v>0</v>
      </c>
      <c r="S140" s="24">
        <f t="shared" si="114"/>
        <v>0</v>
      </c>
      <c r="T140" s="390">
        <v>3432190.96652241</v>
      </c>
      <c r="U140" s="390">
        <v>102.99</v>
      </c>
      <c r="V140" s="24">
        <f t="shared" si="115"/>
        <v>-8.1026155712612999E-2</v>
      </c>
      <c r="W140" s="24">
        <f t="shared" si="116"/>
        <v>0</v>
      </c>
      <c r="X140" s="390">
        <v>3432190.96652241</v>
      </c>
      <c r="Y140" s="390">
        <v>102.99</v>
      </c>
      <c r="Z140" s="24">
        <f t="shared" si="117"/>
        <v>0</v>
      </c>
      <c r="AA140" s="24">
        <f t="shared" si="118"/>
        <v>0</v>
      </c>
      <c r="AB140" s="390">
        <v>3734808.11</v>
      </c>
      <c r="AC140" s="390">
        <v>102.99</v>
      </c>
      <c r="AD140" s="24">
        <f t="shared" si="119"/>
        <v>8.8170252305106958E-2</v>
      </c>
      <c r="AE140" s="24">
        <f t="shared" si="120"/>
        <v>0</v>
      </c>
      <c r="AF140" s="390">
        <v>3734808.11</v>
      </c>
      <c r="AG140" s="390">
        <v>102.99</v>
      </c>
      <c r="AH140" s="24">
        <f t="shared" si="121"/>
        <v>0</v>
      </c>
      <c r="AI140" s="24">
        <f t="shared" si="122"/>
        <v>0</v>
      </c>
      <c r="AJ140" s="25">
        <f t="shared" si="123"/>
        <v>8.930120740617449E-4</v>
      </c>
      <c r="AK140" s="25">
        <f t="shared" si="124"/>
        <v>0</v>
      </c>
      <c r="AL140" s="26">
        <f t="shared" si="125"/>
        <v>0</v>
      </c>
      <c r="AM140" s="26">
        <f t="shared" si="126"/>
        <v>0</v>
      </c>
      <c r="AN140" s="27">
        <f t="shared" si="127"/>
        <v>4.5249864303814641E-2</v>
      </c>
      <c r="AO140" s="84">
        <f t="shared" si="128"/>
        <v>0</v>
      </c>
      <c r="AP140" s="31"/>
      <c r="AQ140" s="402"/>
      <c r="AR140" s="403"/>
      <c r="AS140" s="30"/>
      <c r="AT140" s="30"/>
    </row>
    <row r="141" spans="1:46" s="329" customFormat="1" ht="15.75" customHeight="1">
      <c r="A141" s="216" t="s">
        <v>255</v>
      </c>
      <c r="B141" s="385">
        <v>162789541.87</v>
      </c>
      <c r="C141" s="390">
        <v>104.33</v>
      </c>
      <c r="D141" s="385">
        <v>163210370.96000001</v>
      </c>
      <c r="E141" s="390">
        <v>104.66</v>
      </c>
      <c r="F141" s="24">
        <f>((D141-B141)/B141)</f>
        <v>2.5851113355676624E-3</v>
      </c>
      <c r="G141" s="24">
        <f>((E141-C141)/C141)</f>
        <v>3.1630403527269078E-3</v>
      </c>
      <c r="H141" s="385">
        <v>163559090</v>
      </c>
      <c r="I141" s="390">
        <v>104.95</v>
      </c>
      <c r="J141" s="24">
        <f t="shared" si="109"/>
        <v>2.1366230463715848E-3</v>
      </c>
      <c r="K141" s="24">
        <f t="shared" si="110"/>
        <v>2.7708771259316476E-3</v>
      </c>
      <c r="L141" s="385">
        <v>164282624.05000001</v>
      </c>
      <c r="M141" s="390">
        <v>105.56</v>
      </c>
      <c r="N141" s="24">
        <f t="shared" si="111"/>
        <v>4.42368595961259E-3</v>
      </c>
      <c r="O141" s="24">
        <f t="shared" si="112"/>
        <v>5.8122915674130486E-3</v>
      </c>
      <c r="P141" s="385">
        <v>164357703.31999999</v>
      </c>
      <c r="Q141" s="390">
        <v>105.66</v>
      </c>
      <c r="R141" s="24">
        <f t="shared" si="113"/>
        <v>4.5701284864509031E-4</v>
      </c>
      <c r="S141" s="24">
        <f t="shared" si="114"/>
        <v>9.4732853353537625E-4</v>
      </c>
      <c r="T141" s="385">
        <v>164751448.41999999</v>
      </c>
      <c r="U141" s="390">
        <v>105.97</v>
      </c>
      <c r="V141" s="24">
        <f t="shared" si="115"/>
        <v>2.3956595404194896E-3</v>
      </c>
      <c r="W141" s="24">
        <f t="shared" si="116"/>
        <v>2.9339390497823423E-3</v>
      </c>
      <c r="X141" s="385">
        <v>165484066.63</v>
      </c>
      <c r="Y141" s="390">
        <v>106.51</v>
      </c>
      <c r="Z141" s="24">
        <f t="shared" si="117"/>
        <v>4.446808917469112E-3</v>
      </c>
      <c r="AA141" s="24">
        <f t="shared" si="118"/>
        <v>5.0957818250448829E-3</v>
      </c>
      <c r="AB141" s="385">
        <v>165720772.75999999</v>
      </c>
      <c r="AC141" s="390">
        <v>106.73</v>
      </c>
      <c r="AD141" s="24">
        <f t="shared" si="119"/>
        <v>1.4303862288400136E-3</v>
      </c>
      <c r="AE141" s="24">
        <f t="shared" si="120"/>
        <v>2.0655337526992662E-3</v>
      </c>
      <c r="AF141" s="385">
        <v>165846325.65000001</v>
      </c>
      <c r="AG141" s="390">
        <v>106.88</v>
      </c>
      <c r="AH141" s="24">
        <f t="shared" si="121"/>
        <v>7.5761709234752127E-4</v>
      </c>
      <c r="AI141" s="24">
        <f t="shared" si="122"/>
        <v>1.4054155345262951E-3</v>
      </c>
      <c r="AJ141" s="25">
        <f t="shared" si="123"/>
        <v>2.3291131211591329E-3</v>
      </c>
      <c r="AK141" s="25">
        <f t="shared" si="124"/>
        <v>3.0242759677074709E-3</v>
      </c>
      <c r="AL141" s="26">
        <f t="shared" si="125"/>
        <v>1.6150656814854149E-2</v>
      </c>
      <c r="AM141" s="26">
        <f t="shared" si="126"/>
        <v>2.1211542136441802E-2</v>
      </c>
      <c r="AN141" s="27">
        <f t="shared" si="127"/>
        <v>1.5005216249110447E-3</v>
      </c>
      <c r="AO141" s="84">
        <f t="shared" si="128"/>
        <v>1.6907057346716256E-3</v>
      </c>
      <c r="AP141" s="31"/>
      <c r="AQ141" s="402"/>
      <c r="AR141" s="403"/>
      <c r="AS141" s="30"/>
      <c r="AT141" s="30"/>
    </row>
    <row r="142" spans="1:46">
      <c r="A142" s="216" t="s">
        <v>269</v>
      </c>
      <c r="B142" s="385">
        <v>55313800.840000004</v>
      </c>
      <c r="C142" s="390">
        <v>103.3537</v>
      </c>
      <c r="D142" s="385">
        <v>55469485.829999998</v>
      </c>
      <c r="E142" s="390">
        <v>103.6451</v>
      </c>
      <c r="F142" s="24">
        <f>((D142-B142)/B142)</f>
        <v>2.8145776937355481E-3</v>
      </c>
      <c r="G142" s="24">
        <f>((E142-C142)/C142)</f>
        <v>2.8194442966240772E-3</v>
      </c>
      <c r="H142" s="385">
        <v>55681034.43</v>
      </c>
      <c r="I142" s="390">
        <v>104.0415</v>
      </c>
      <c r="J142" s="24">
        <f t="shared" si="109"/>
        <v>3.8137833231111002E-3</v>
      </c>
      <c r="K142" s="24">
        <f t="shared" si="110"/>
        <v>3.8245898744851408E-3</v>
      </c>
      <c r="L142" s="385">
        <v>55890978.689999998</v>
      </c>
      <c r="M142" s="390">
        <v>104.41630000000001</v>
      </c>
      <c r="N142" s="24">
        <f t="shared" si="111"/>
        <v>3.7704805980918253E-3</v>
      </c>
      <c r="O142" s="24">
        <f t="shared" si="112"/>
        <v>3.6024086542390064E-3</v>
      </c>
      <c r="P142" s="385">
        <v>56105225.090000004</v>
      </c>
      <c r="Q142" s="390">
        <v>104.81780000000001</v>
      </c>
      <c r="R142" s="24">
        <f t="shared" si="113"/>
        <v>3.8332912577596157E-3</v>
      </c>
      <c r="S142" s="24">
        <f t="shared" si="114"/>
        <v>3.8451850908335062E-3</v>
      </c>
      <c r="T142" s="385">
        <v>56110328.299999997</v>
      </c>
      <c r="U142" s="390">
        <v>104.8262</v>
      </c>
      <c r="V142" s="24">
        <f t="shared" si="115"/>
        <v>9.0957838451004118E-5</v>
      </c>
      <c r="W142" s="24">
        <f t="shared" si="116"/>
        <v>8.0139060350385469E-5</v>
      </c>
      <c r="X142" s="385">
        <v>57023122.920000002</v>
      </c>
      <c r="Y142" s="390">
        <v>106.3028</v>
      </c>
      <c r="Z142" s="24">
        <f t="shared" si="117"/>
        <v>1.6267853845367802E-2</v>
      </c>
      <c r="AA142" s="24">
        <f t="shared" si="118"/>
        <v>1.4086173113210292E-2</v>
      </c>
      <c r="AB142" s="385">
        <v>57116513.280000001</v>
      </c>
      <c r="AC142" s="390">
        <v>106.4761</v>
      </c>
      <c r="AD142" s="24">
        <f t="shared" si="119"/>
        <v>1.6377629848687951E-3</v>
      </c>
      <c r="AE142" s="24">
        <f t="shared" si="120"/>
        <v>1.6302486858295131E-3</v>
      </c>
      <c r="AF142" s="385">
        <v>56915477.640000001</v>
      </c>
      <c r="AG142" s="390">
        <v>106.6681</v>
      </c>
      <c r="AH142" s="24">
        <f t="shared" si="121"/>
        <v>-3.5197463650218216E-3</v>
      </c>
      <c r="AI142" s="24">
        <f t="shared" si="122"/>
        <v>1.8032215680325731E-3</v>
      </c>
      <c r="AJ142" s="25">
        <f t="shared" si="123"/>
        <v>3.5886201470454841E-3</v>
      </c>
      <c r="AK142" s="25">
        <f t="shared" si="124"/>
        <v>3.9614262929505619E-3</v>
      </c>
      <c r="AL142" s="26">
        <f t="shared" si="125"/>
        <v>2.6068238931069292E-2</v>
      </c>
      <c r="AM142" s="26">
        <f t="shared" si="126"/>
        <v>2.9166839532211327E-2</v>
      </c>
      <c r="AN142" s="27">
        <f t="shared" si="127"/>
        <v>5.7080657756019186E-3</v>
      </c>
      <c r="AO142" s="84">
        <f t="shared" si="128"/>
        <v>4.2950532708193748E-3</v>
      </c>
    </row>
    <row r="143" spans="1:46">
      <c r="A143" s="218" t="s">
        <v>46</v>
      </c>
      <c r="B143" s="231">
        <f>SUM(B119:B142)</f>
        <v>30095632697.342506</v>
      </c>
      <c r="C143" s="93"/>
      <c r="D143" s="231">
        <f>SUM(D119:D142)</f>
        <v>30126566651.346909</v>
      </c>
      <c r="E143" s="93"/>
      <c r="F143" s="24">
        <f>((D143-B143)/B143)</f>
        <v>1.0278552478191854E-3</v>
      </c>
      <c r="G143" s="24"/>
      <c r="H143" s="231">
        <f>SUM(H119:H142)</f>
        <v>30336361937.028297</v>
      </c>
      <c r="I143" s="93"/>
      <c r="J143" s="24">
        <f>((H143-D143)/D143)</f>
        <v>6.9637967083782931E-3</v>
      </c>
      <c r="K143" s="24"/>
      <c r="L143" s="231">
        <f>SUM(L119:L142)</f>
        <v>31041156130.042023</v>
      </c>
      <c r="M143" s="93"/>
      <c r="N143" s="24">
        <f>((L143-H143)/H143)</f>
        <v>2.3232653753166747E-2</v>
      </c>
      <c r="O143" s="24"/>
      <c r="P143" s="231">
        <f>SUM(P119:P142)</f>
        <v>30761564463.892384</v>
      </c>
      <c r="Q143" s="93"/>
      <c r="R143" s="24">
        <f>((P143-L143)/L143)</f>
        <v>-9.0071279877055477E-3</v>
      </c>
      <c r="S143" s="24"/>
      <c r="T143" s="231">
        <f>SUM(T119:T142)</f>
        <v>30652475117.892384</v>
      </c>
      <c r="U143" s="93"/>
      <c r="V143" s="24">
        <f>((T143-P143)/P143)</f>
        <v>-3.5462873199459013E-3</v>
      </c>
      <c r="W143" s="24"/>
      <c r="X143" s="231">
        <f>SUM(X119:X142)</f>
        <v>31150543689.963333</v>
      </c>
      <c r="Y143" s="93"/>
      <c r="Z143" s="24">
        <f>((X143-T143)/T143)</f>
        <v>1.6248885943315496E-2</v>
      </c>
      <c r="AA143" s="24"/>
      <c r="AB143" s="231">
        <f>SUM(AB119:AB142)</f>
        <v>31179910941.77726</v>
      </c>
      <c r="AC143" s="93"/>
      <c r="AD143" s="24">
        <f>((AB143-X143)/X143)</f>
        <v>9.4275246384828871E-4</v>
      </c>
      <c r="AE143" s="24"/>
      <c r="AF143" s="231">
        <f>SUM(AF119:AF142)</f>
        <v>31120048445.681793</v>
      </c>
      <c r="AG143" s="93"/>
      <c r="AH143" s="24">
        <f>((AF143-AB143)/AB143)</f>
        <v>-1.9199059358203042E-3</v>
      </c>
      <c r="AI143" s="24"/>
      <c r="AJ143" s="25">
        <f t="shared" si="123"/>
        <v>4.2428278591320322E-3</v>
      </c>
      <c r="AK143" s="25"/>
      <c r="AL143" s="26">
        <f t="shared" si="125"/>
        <v>3.2976933808369024E-2</v>
      </c>
      <c r="AM143" s="26"/>
      <c r="AN143" s="27">
        <f t="shared" si="127"/>
        <v>1.074110974071575E-2</v>
      </c>
      <c r="AO143" s="84"/>
    </row>
    <row r="144" spans="1:46" s="118" customFormat="1" ht="8.25" customHeight="1">
      <c r="A144" s="218"/>
      <c r="B144" s="93"/>
      <c r="C144" s="93"/>
      <c r="D144" s="93"/>
      <c r="E144" s="93"/>
      <c r="F144" s="24"/>
      <c r="G144" s="24"/>
      <c r="H144" s="93"/>
      <c r="I144" s="93"/>
      <c r="J144" s="24"/>
      <c r="K144" s="24"/>
      <c r="L144" s="93"/>
      <c r="M144" s="93"/>
      <c r="N144" s="24"/>
      <c r="O144" s="24"/>
      <c r="P144" s="93"/>
      <c r="Q144" s="93"/>
      <c r="R144" s="24"/>
      <c r="S144" s="24"/>
      <c r="T144" s="93"/>
      <c r="U144" s="93"/>
      <c r="V144" s="24"/>
      <c r="W144" s="24"/>
      <c r="X144" s="93"/>
      <c r="Y144" s="93"/>
      <c r="Z144" s="24"/>
      <c r="AA144" s="24"/>
      <c r="AB144" s="93"/>
      <c r="AC144" s="93"/>
      <c r="AD144" s="24"/>
      <c r="AE144" s="24"/>
      <c r="AF144" s="93"/>
      <c r="AG144" s="93"/>
      <c r="AH144" s="24"/>
      <c r="AI144" s="24"/>
      <c r="AJ144" s="25"/>
      <c r="AK144" s="25"/>
      <c r="AL144" s="26"/>
      <c r="AM144" s="26"/>
      <c r="AN144" s="27"/>
      <c r="AO144" s="84"/>
    </row>
    <row r="145" spans="1:41" s="118" customFormat="1">
      <c r="A145" s="220" t="s">
        <v>71</v>
      </c>
      <c r="B145" s="93"/>
      <c r="C145" s="93"/>
      <c r="D145" s="93"/>
      <c r="E145" s="93"/>
      <c r="F145" s="24"/>
      <c r="G145" s="24"/>
      <c r="H145" s="93"/>
      <c r="I145" s="93"/>
      <c r="J145" s="24"/>
      <c r="K145" s="24"/>
      <c r="L145" s="93"/>
      <c r="M145" s="93"/>
      <c r="N145" s="24"/>
      <c r="O145" s="24"/>
      <c r="P145" s="93"/>
      <c r="Q145" s="93"/>
      <c r="R145" s="24"/>
      <c r="S145" s="24"/>
      <c r="T145" s="93"/>
      <c r="U145" s="93"/>
      <c r="V145" s="24"/>
      <c r="W145" s="24"/>
      <c r="X145" s="93"/>
      <c r="Y145" s="93"/>
      <c r="Z145" s="24"/>
      <c r="AA145" s="24"/>
      <c r="AB145" s="93"/>
      <c r="AC145" s="93"/>
      <c r="AD145" s="24"/>
      <c r="AE145" s="24"/>
      <c r="AF145" s="93"/>
      <c r="AG145" s="93"/>
      <c r="AH145" s="24"/>
      <c r="AI145" s="24"/>
      <c r="AJ145" s="25"/>
      <c r="AK145" s="25"/>
      <c r="AL145" s="26"/>
      <c r="AM145" s="26"/>
      <c r="AN145" s="27"/>
      <c r="AO145" s="84"/>
    </row>
    <row r="146" spans="1:41" s="118" customFormat="1">
      <c r="A146" s="217" t="s">
        <v>205</v>
      </c>
      <c r="B146" s="385">
        <v>574921326.77999997</v>
      </c>
      <c r="C146" s="386">
        <v>15.7354</v>
      </c>
      <c r="D146" s="385">
        <v>585260800.14999998</v>
      </c>
      <c r="E146" s="386">
        <v>15.882199999999999</v>
      </c>
      <c r="F146" s="24">
        <f>((D146-B146)/B146)</f>
        <v>1.7984153463064208E-2</v>
      </c>
      <c r="G146" s="24">
        <f>((E146-C146)/C146)</f>
        <v>9.3292830179085972E-3</v>
      </c>
      <c r="H146" s="385">
        <v>587770816.25999999</v>
      </c>
      <c r="I146" s="386">
        <v>16.073799999999999</v>
      </c>
      <c r="J146" s="24">
        <f t="shared" ref="J146:K148" si="129">((H146-D146)/D146)</f>
        <v>4.2887138679998851E-3</v>
      </c>
      <c r="K146" s="24">
        <f t="shared" si="129"/>
        <v>1.2063819873820965E-2</v>
      </c>
      <c r="L146" s="385">
        <v>596856333.58000004</v>
      </c>
      <c r="M146" s="386">
        <v>16.161000000000001</v>
      </c>
      <c r="N146" s="24">
        <f t="shared" ref="N146:N148" si="130">((L146-H146)/H146)</f>
        <v>1.5457584944096783E-2</v>
      </c>
      <c r="O146" s="24">
        <f t="shared" ref="O146:O148" si="131">((M146-I146)/I146)</f>
        <v>5.4249772922397221E-3</v>
      </c>
      <c r="P146" s="385">
        <v>599628904.95000005</v>
      </c>
      <c r="Q146" s="386">
        <v>16.449000000000002</v>
      </c>
      <c r="R146" s="24">
        <f t="shared" ref="R146:R148" si="132">((P146-L146)/L146)</f>
        <v>4.6452910256809419E-3</v>
      </c>
      <c r="S146" s="24">
        <f t="shared" ref="S146:S148" si="133">((Q146-M146)/M146)</f>
        <v>1.7820679413402651E-2</v>
      </c>
      <c r="T146" s="385">
        <v>600439918.73000002</v>
      </c>
      <c r="U146" s="386">
        <v>16.447800000000001</v>
      </c>
      <c r="V146" s="24">
        <f t="shared" ref="V146:V148" si="134">((T146-P146)/P146)</f>
        <v>1.3525261596046602E-3</v>
      </c>
      <c r="W146" s="24">
        <f t="shared" ref="W146:W148" si="135">((U146-Q146)/Q146)</f>
        <v>-7.2952763085947826E-5</v>
      </c>
      <c r="X146" s="385">
        <v>603188613.46000004</v>
      </c>
      <c r="Y146" s="386">
        <v>16.522099999999998</v>
      </c>
      <c r="Z146" s="24">
        <f t="shared" ref="Z146:Z148" si="136">((X146-T146)/T146)</f>
        <v>4.5778014490006373E-3</v>
      </c>
      <c r="AA146" s="24">
        <f t="shared" ref="AA146:AA148" si="137">((Y146-U146)/U146)</f>
        <v>4.5173214654845853E-3</v>
      </c>
      <c r="AB146" s="385">
        <v>603836308.66999996</v>
      </c>
      <c r="AC146" s="386">
        <v>16.540700000000001</v>
      </c>
      <c r="AD146" s="24">
        <f t="shared" ref="AD146:AD148" si="138">((AB146-X146)/X146)</f>
        <v>1.0737855382989094E-3</v>
      </c>
      <c r="AE146" s="24">
        <f t="shared" ref="AE146:AE148" si="139">((AC146-Y146)/Y146)</f>
        <v>1.1257648846092711E-3</v>
      </c>
      <c r="AF146" s="385">
        <v>604647092.69000006</v>
      </c>
      <c r="AG146" s="386">
        <v>16.607099999999999</v>
      </c>
      <c r="AH146" s="24">
        <f t="shared" ref="AH146:AH148" si="140">((AF146-AB146)/AB146)</f>
        <v>1.3427215428398465E-3</v>
      </c>
      <c r="AI146" s="24">
        <f t="shared" ref="AI146:AI148" si="141">((AG146-AC146)/AC146)</f>
        <v>4.014340384626891E-3</v>
      </c>
      <c r="AJ146" s="25">
        <f t="shared" si="123"/>
        <v>6.3403222488232335E-3</v>
      </c>
      <c r="AK146" s="25">
        <f t="shared" si="124"/>
        <v>6.7779041961258417E-3</v>
      </c>
      <c r="AL146" s="26">
        <f t="shared" si="125"/>
        <v>3.3124194436106862E-2</v>
      </c>
      <c r="AM146" s="26">
        <f t="shared" si="126"/>
        <v>4.5642291370213188E-2</v>
      </c>
      <c r="AN146" s="27">
        <f t="shared" si="127"/>
        <v>6.6168888171883791E-3</v>
      </c>
      <c r="AO146" s="84">
        <f t="shared" si="128"/>
        <v>5.9743759177385228E-3</v>
      </c>
    </row>
    <row r="147" spans="1:41">
      <c r="A147" s="217" t="s">
        <v>29</v>
      </c>
      <c r="B147" s="385">
        <v>1761117722.8800001</v>
      </c>
      <c r="C147" s="386">
        <v>1.41</v>
      </c>
      <c r="D147" s="385">
        <v>1799937197.24</v>
      </c>
      <c r="E147" s="386">
        <v>1.44</v>
      </c>
      <c r="F147" s="24">
        <f>((D147-B147)/B147)</f>
        <v>2.204252098293431E-2</v>
      </c>
      <c r="G147" s="24">
        <f>((E147-C147)/C147)</f>
        <v>2.1276595744680871E-2</v>
      </c>
      <c r="H147" s="385">
        <v>1811638895.3599999</v>
      </c>
      <c r="I147" s="386">
        <v>1.45</v>
      </c>
      <c r="J147" s="24">
        <f t="shared" si="129"/>
        <v>6.5011702285741498E-3</v>
      </c>
      <c r="K147" s="24">
        <f t="shared" si="129"/>
        <v>6.944444444444451E-3</v>
      </c>
      <c r="L147" s="385">
        <v>1848539750.26</v>
      </c>
      <c r="M147" s="386">
        <v>1.48</v>
      </c>
      <c r="N147" s="24">
        <f t="shared" si="130"/>
        <v>2.0368769402396465E-2</v>
      </c>
      <c r="O147" s="24">
        <f t="shared" si="131"/>
        <v>2.0689655172413814E-2</v>
      </c>
      <c r="P147" s="385">
        <v>1849763903.3499999</v>
      </c>
      <c r="Q147" s="386">
        <v>1.48</v>
      </c>
      <c r="R147" s="24">
        <f t="shared" si="132"/>
        <v>6.622270848261365E-4</v>
      </c>
      <c r="S147" s="24">
        <f t="shared" si="133"/>
        <v>0</v>
      </c>
      <c r="T147" s="385">
        <v>1855851229.21</v>
      </c>
      <c r="U147" s="386">
        <v>1.49</v>
      </c>
      <c r="V147" s="24">
        <f t="shared" si="134"/>
        <v>3.2908663905570497E-3</v>
      </c>
      <c r="W147" s="24">
        <f t="shared" si="135"/>
        <v>6.7567567567567632E-3</v>
      </c>
      <c r="X147" s="385">
        <v>1907133816.53</v>
      </c>
      <c r="Y147" s="386">
        <v>1.53</v>
      </c>
      <c r="Z147" s="24">
        <f t="shared" si="136"/>
        <v>2.7632919337952502E-2</v>
      </c>
      <c r="AA147" s="24">
        <f t="shared" si="137"/>
        <v>2.6845637583892641E-2</v>
      </c>
      <c r="AB147" s="385">
        <v>1919307131.02</v>
      </c>
      <c r="AC147" s="386">
        <v>1.53</v>
      </c>
      <c r="AD147" s="24">
        <f t="shared" si="138"/>
        <v>6.3830416012176658E-3</v>
      </c>
      <c r="AE147" s="24">
        <f t="shared" si="139"/>
        <v>0</v>
      </c>
      <c r="AF147" s="385">
        <v>1917112639.5699999</v>
      </c>
      <c r="AG147" s="386">
        <v>1.53</v>
      </c>
      <c r="AH147" s="24">
        <f t="shared" si="140"/>
        <v>-1.1433769064536344E-3</v>
      </c>
      <c r="AI147" s="24">
        <f t="shared" si="141"/>
        <v>0</v>
      </c>
      <c r="AJ147" s="25">
        <f t="shared" si="123"/>
        <v>1.0717267265250579E-2</v>
      </c>
      <c r="AK147" s="25">
        <f t="shared" si="124"/>
        <v>1.0314136212773568E-2</v>
      </c>
      <c r="AL147" s="26">
        <f t="shared" si="125"/>
        <v>6.509973931850245E-2</v>
      </c>
      <c r="AM147" s="26">
        <f t="shared" si="126"/>
        <v>6.2500000000000056E-2</v>
      </c>
      <c r="AN147" s="27">
        <f t="shared" si="127"/>
        <v>1.0961251752011063E-2</v>
      </c>
      <c r="AO147" s="84">
        <f t="shared" si="128"/>
        <v>1.0982267778484994E-2</v>
      </c>
    </row>
    <row r="148" spans="1:41">
      <c r="A148" s="217" t="s">
        <v>30</v>
      </c>
      <c r="B148" s="386">
        <v>552018160.54999995</v>
      </c>
      <c r="C148" s="386">
        <v>43.912300000000002</v>
      </c>
      <c r="D148" s="386">
        <v>564548787.46000004</v>
      </c>
      <c r="E148" s="386">
        <v>44.886200000000002</v>
      </c>
      <c r="F148" s="24">
        <f>((D148-B148)/B148)</f>
        <v>2.2699664260167222E-2</v>
      </c>
      <c r="G148" s="24">
        <f>((E148-C148)/C148)</f>
        <v>2.2178296286006434E-2</v>
      </c>
      <c r="H148" s="386">
        <v>581417503.13</v>
      </c>
      <c r="I148" s="386">
        <v>46.780200000000001</v>
      </c>
      <c r="J148" s="24">
        <f t="shared" si="129"/>
        <v>2.9879996281446546E-2</v>
      </c>
      <c r="K148" s="24">
        <f t="shared" si="129"/>
        <v>4.2195596864960681E-2</v>
      </c>
      <c r="L148" s="386">
        <v>586637324.90999997</v>
      </c>
      <c r="M148" s="386">
        <v>47.311700000000002</v>
      </c>
      <c r="N148" s="24">
        <f t="shared" si="130"/>
        <v>8.9777513609404763E-3</v>
      </c>
      <c r="O148" s="24">
        <f t="shared" si="131"/>
        <v>1.1361644456415347E-2</v>
      </c>
      <c r="P148" s="386">
        <v>588149083.70000005</v>
      </c>
      <c r="Q148" s="386">
        <v>47.380400000000002</v>
      </c>
      <c r="R148" s="24">
        <f t="shared" si="132"/>
        <v>2.576990460387106E-3</v>
      </c>
      <c r="S148" s="24">
        <f t="shared" si="133"/>
        <v>1.4520721090131989E-3</v>
      </c>
      <c r="T148" s="386">
        <v>590641312.95000005</v>
      </c>
      <c r="U148" s="386">
        <v>47.583500000000001</v>
      </c>
      <c r="V148" s="24">
        <f t="shared" si="134"/>
        <v>4.2374107502158804E-3</v>
      </c>
      <c r="W148" s="24">
        <f t="shared" si="135"/>
        <v>4.2865826375463097E-3</v>
      </c>
      <c r="X148" s="386">
        <v>539465548.28999996</v>
      </c>
      <c r="Y148" s="386">
        <v>47.719099999999997</v>
      </c>
      <c r="Z148" s="24">
        <f t="shared" si="136"/>
        <v>-8.6644404205996173E-2</v>
      </c>
      <c r="AA148" s="24">
        <f t="shared" si="137"/>
        <v>2.8497273214453879E-3</v>
      </c>
      <c r="AB148" s="386">
        <v>541322257.98000002</v>
      </c>
      <c r="AC148" s="386">
        <v>47.885199999999998</v>
      </c>
      <c r="AD148" s="24">
        <f t="shared" si="138"/>
        <v>3.4417576727289868E-3</v>
      </c>
      <c r="AE148" s="24">
        <f t="shared" si="139"/>
        <v>3.4807865194439991E-3</v>
      </c>
      <c r="AF148" s="386">
        <v>539932251.79999995</v>
      </c>
      <c r="AG148" s="386">
        <v>47.759900000000002</v>
      </c>
      <c r="AH148" s="24">
        <f t="shared" si="140"/>
        <v>-2.5677979420004244E-3</v>
      </c>
      <c r="AI148" s="24">
        <f t="shared" si="141"/>
        <v>-2.6166748807563874E-3</v>
      </c>
      <c r="AJ148" s="25">
        <f t="shared" si="123"/>
        <v>-2.1748289202637968E-3</v>
      </c>
      <c r="AK148" s="25">
        <f t="shared" si="124"/>
        <v>1.0648503914259373E-2</v>
      </c>
      <c r="AL148" s="26">
        <f t="shared" si="125"/>
        <v>-4.3603912021056714E-2</v>
      </c>
      <c r="AM148" s="26">
        <f t="shared" si="126"/>
        <v>6.4021904282385217E-2</v>
      </c>
      <c r="AN148" s="27">
        <f t="shared" si="127"/>
        <v>3.5859126155002842E-2</v>
      </c>
      <c r="AO148" s="84">
        <f t="shared" si="128"/>
        <v>1.4841419901981786E-2</v>
      </c>
    </row>
    <row r="149" spans="1:41">
      <c r="A149" s="218" t="s">
        <v>46</v>
      </c>
      <c r="B149" s="231">
        <f>SUM(B146:B148)</f>
        <v>2888057210.21</v>
      </c>
      <c r="C149" s="93"/>
      <c r="D149" s="231">
        <f>SUM(D146:D148)</f>
        <v>2949746784.8499999</v>
      </c>
      <c r="E149" s="93"/>
      <c r="F149" s="24">
        <f>((D149-B149)/B149)</f>
        <v>2.1360232900481294E-2</v>
      </c>
      <c r="G149" s="24"/>
      <c r="H149" s="231">
        <f>SUM(H146:H148)</f>
        <v>2980827214.75</v>
      </c>
      <c r="I149" s="93"/>
      <c r="J149" s="24">
        <f>((H149-D149)/D149)</f>
        <v>1.0536643368722442E-2</v>
      </c>
      <c r="K149" s="24"/>
      <c r="L149" s="231">
        <f>SUM(L146:L148)</f>
        <v>3032033408.75</v>
      </c>
      <c r="M149" s="93"/>
      <c r="N149" s="24">
        <f>((L149-H149)/H149)</f>
        <v>1.717851801225407E-2</v>
      </c>
      <c r="O149" s="24"/>
      <c r="P149" s="231">
        <f>SUM(P146:P148)</f>
        <v>3037541892</v>
      </c>
      <c r="Q149" s="93"/>
      <c r="R149" s="24">
        <f>((P149-L149)/L149)</f>
        <v>1.816762056151272E-3</v>
      </c>
      <c r="S149" s="24"/>
      <c r="T149" s="231">
        <f>SUM(T146:T148)</f>
        <v>3046932460.8900003</v>
      </c>
      <c r="U149" s="93"/>
      <c r="V149" s="24">
        <f>((T149-P149)/P149)</f>
        <v>3.0915026767967761E-3</v>
      </c>
      <c r="W149" s="24"/>
      <c r="X149" s="231">
        <f>SUM(X146:X148)</f>
        <v>3049787978.2799997</v>
      </c>
      <c r="Y149" s="93"/>
      <c r="Z149" s="24">
        <f>((X149-T149)/T149)</f>
        <v>9.3717777687966908E-4</v>
      </c>
      <c r="AA149" s="24"/>
      <c r="AB149" s="231">
        <f>SUM(AB146:AB148)</f>
        <v>3064465697.6700001</v>
      </c>
      <c r="AC149" s="93"/>
      <c r="AD149" s="24">
        <f>((AB149-X149)/X149)</f>
        <v>4.8127015695950742E-3</v>
      </c>
      <c r="AE149" s="24"/>
      <c r="AF149" s="231">
        <f>SUM(AF146:AF148)</f>
        <v>3061691984.0600004</v>
      </c>
      <c r="AG149" s="93"/>
      <c r="AH149" s="24">
        <f>((AF149-AB149)/AB149)</f>
        <v>-9.0512144159700977E-4</v>
      </c>
      <c r="AI149" s="24"/>
      <c r="AJ149" s="25">
        <f t="shared" si="123"/>
        <v>7.3535521149104477E-3</v>
      </c>
      <c r="AK149" s="25"/>
      <c r="AL149" s="26">
        <f t="shared" si="125"/>
        <v>3.7950782685807094E-2</v>
      </c>
      <c r="AM149" s="26"/>
      <c r="AN149" s="27">
        <f t="shared" si="127"/>
        <v>8.1722676610155465E-3</v>
      </c>
      <c r="AO149" s="84"/>
    </row>
    <row r="150" spans="1:41" ht="8.25" customHeight="1">
      <c r="A150" s="218"/>
      <c r="B150" s="93"/>
      <c r="C150" s="93"/>
      <c r="D150" s="93"/>
      <c r="E150" s="93"/>
      <c r="F150" s="24"/>
      <c r="G150" s="24"/>
      <c r="H150" s="93"/>
      <c r="I150" s="93"/>
      <c r="J150" s="24"/>
      <c r="K150" s="24"/>
      <c r="L150" s="93"/>
      <c r="M150" s="93"/>
      <c r="N150" s="24"/>
      <c r="O150" s="24"/>
      <c r="P150" s="93"/>
      <c r="Q150" s="93"/>
      <c r="R150" s="24"/>
      <c r="S150" s="24"/>
      <c r="T150" s="93"/>
      <c r="U150" s="93"/>
      <c r="V150" s="24"/>
      <c r="W150" s="24"/>
      <c r="X150" s="93"/>
      <c r="Y150" s="93"/>
      <c r="Z150" s="24"/>
      <c r="AA150" s="24"/>
      <c r="AB150" s="93"/>
      <c r="AC150" s="93"/>
      <c r="AD150" s="24"/>
      <c r="AE150" s="24"/>
      <c r="AF150" s="93"/>
      <c r="AG150" s="93"/>
      <c r="AH150" s="24"/>
      <c r="AI150" s="24"/>
      <c r="AJ150" s="25"/>
      <c r="AK150" s="25"/>
      <c r="AL150" s="26"/>
      <c r="AM150" s="26"/>
      <c r="AN150" s="27"/>
      <c r="AO150" s="84"/>
    </row>
    <row r="151" spans="1:41">
      <c r="A151" s="221" t="s">
        <v>214</v>
      </c>
      <c r="B151" s="93"/>
      <c r="C151" s="93"/>
      <c r="D151" s="93"/>
      <c r="E151" s="93"/>
      <c r="F151" s="24"/>
      <c r="G151" s="24"/>
      <c r="H151" s="93"/>
      <c r="I151" s="93"/>
      <c r="J151" s="24"/>
      <c r="K151" s="24"/>
      <c r="L151" s="93"/>
      <c r="M151" s="93"/>
      <c r="N151" s="24"/>
      <c r="O151" s="24"/>
      <c r="P151" s="93"/>
      <c r="Q151" s="93"/>
      <c r="R151" s="24"/>
      <c r="S151" s="24"/>
      <c r="T151" s="93"/>
      <c r="U151" s="93"/>
      <c r="V151" s="24"/>
      <c r="W151" s="24"/>
      <c r="X151" s="93"/>
      <c r="Y151" s="93"/>
      <c r="Z151" s="24"/>
      <c r="AA151" s="24"/>
      <c r="AB151" s="93"/>
      <c r="AC151" s="93"/>
      <c r="AD151" s="24"/>
      <c r="AE151" s="24"/>
      <c r="AF151" s="93"/>
      <c r="AG151" s="93"/>
      <c r="AH151" s="24"/>
      <c r="AI151" s="24"/>
      <c r="AJ151" s="25"/>
      <c r="AK151" s="25"/>
      <c r="AL151" s="26"/>
      <c r="AM151" s="26"/>
      <c r="AN151" s="27"/>
      <c r="AO151" s="84"/>
    </row>
    <row r="152" spans="1:41">
      <c r="A152" s="222" t="s">
        <v>215</v>
      </c>
      <c r="B152" s="93"/>
      <c r="C152" s="93"/>
      <c r="D152" s="93"/>
      <c r="E152" s="93"/>
      <c r="F152" s="24"/>
      <c r="G152" s="24"/>
      <c r="H152" s="93"/>
      <c r="I152" s="93"/>
      <c r="J152" s="24"/>
      <c r="K152" s="24"/>
      <c r="L152" s="93"/>
      <c r="M152" s="93"/>
      <c r="N152" s="24"/>
      <c r="O152" s="24"/>
      <c r="P152" s="93"/>
      <c r="Q152" s="93"/>
      <c r="R152" s="24"/>
      <c r="S152" s="24"/>
      <c r="T152" s="93"/>
      <c r="U152" s="93"/>
      <c r="V152" s="24"/>
      <c r="W152" s="24"/>
      <c r="X152" s="93"/>
      <c r="Y152" s="93"/>
      <c r="Z152" s="24"/>
      <c r="AA152" s="24"/>
      <c r="AB152" s="93"/>
      <c r="AC152" s="93"/>
      <c r="AD152" s="24"/>
      <c r="AE152" s="24"/>
      <c r="AF152" s="93"/>
      <c r="AG152" s="93"/>
      <c r="AH152" s="24"/>
      <c r="AI152" s="24"/>
      <c r="AJ152" s="25"/>
      <c r="AK152" s="25"/>
      <c r="AL152" s="26"/>
      <c r="AM152" s="26"/>
      <c r="AN152" s="27"/>
      <c r="AO152" s="84"/>
    </row>
    <row r="153" spans="1:41">
      <c r="A153" s="217" t="s">
        <v>28</v>
      </c>
      <c r="B153" s="376">
        <v>3454548650.4899998</v>
      </c>
      <c r="C153" s="378">
        <v>1.72</v>
      </c>
      <c r="D153" s="376">
        <v>3497327251.5100002</v>
      </c>
      <c r="E153" s="378">
        <v>1.74</v>
      </c>
      <c r="F153" s="24">
        <f>((D146-B153)/B153)</f>
        <v>-0.83058255669174452</v>
      </c>
      <c r="G153" s="24">
        <f>((E153-C153)/C153)</f>
        <v>1.1627906976744196E-2</v>
      </c>
      <c r="H153" s="376">
        <v>3559610061.0500002</v>
      </c>
      <c r="I153" s="378">
        <v>1.74</v>
      </c>
      <c r="J153" s="24">
        <f>((H146-D153)/D153)</f>
        <v>-0.83193714113935857</v>
      </c>
      <c r="K153" s="24">
        <f>((I153-E153)/E153)</f>
        <v>0</v>
      </c>
      <c r="L153" s="376">
        <v>3608696215.3299999</v>
      </c>
      <c r="M153" s="378">
        <v>1.8</v>
      </c>
      <c r="N153" s="24">
        <f>((L146-H153)/H153)</f>
        <v>-0.83232536054695228</v>
      </c>
      <c r="O153" s="24">
        <f>((M153-I153)/I153)</f>
        <v>3.4482758620689689E-2</v>
      </c>
      <c r="P153" s="376">
        <v>3610106502.4699998</v>
      </c>
      <c r="Q153" s="378">
        <v>1.8</v>
      </c>
      <c r="R153" s="24">
        <f>((P146-L153)/L153)</f>
        <v>-0.83383779925760082</v>
      </c>
      <c r="S153" s="24">
        <f>((Q153-M153)/M153)</f>
        <v>0</v>
      </c>
      <c r="T153" s="376">
        <v>3621726018.6799998</v>
      </c>
      <c r="U153" s="378">
        <v>1.8</v>
      </c>
      <c r="V153" s="24">
        <f>((T146-P153)/P153)</f>
        <v>-0.83367805954777652</v>
      </c>
      <c r="W153" s="24">
        <f>((U153-Q153)/Q153)</f>
        <v>0</v>
      </c>
      <c r="X153" s="376">
        <v>3655398927.79</v>
      </c>
      <c r="Y153" s="378">
        <v>1.82</v>
      </c>
      <c r="Z153" s="24">
        <f>((X146-T153)/T153)</f>
        <v>-0.83345272106479151</v>
      </c>
      <c r="AA153" s="24">
        <f>((Y153-U153)/U153)</f>
        <v>1.111111111111112E-2</v>
      </c>
      <c r="AB153" s="376">
        <v>3670464321.6900001</v>
      </c>
      <c r="AC153" s="378">
        <v>1.83</v>
      </c>
      <c r="AD153" s="24">
        <f>((AB146-X153)/X153)</f>
        <v>-0.83480973743266085</v>
      </c>
      <c r="AE153" s="24">
        <f>((AC153-Y153)/Y153)</f>
        <v>5.4945054945054993E-3</v>
      </c>
      <c r="AF153" s="376">
        <v>3694196489.5900002</v>
      </c>
      <c r="AG153" s="378">
        <v>1.84</v>
      </c>
      <c r="AH153" s="24">
        <f>((AF146-AB153)/AB153)</f>
        <v>-0.83526686552517659</v>
      </c>
      <c r="AI153" s="24">
        <f>((AG153-AC153)/AC153)</f>
        <v>5.4644808743169442E-3</v>
      </c>
      <c r="AJ153" s="25">
        <f t="shared" si="123"/>
        <v>-0.83323628015075768</v>
      </c>
      <c r="AK153" s="25">
        <f t="shared" si="124"/>
        <v>8.5225953846709314E-3</v>
      </c>
      <c r="AL153" s="26">
        <f t="shared" si="125"/>
        <v>5.6291340192714305E-2</v>
      </c>
      <c r="AM153" s="26">
        <f t="shared" si="126"/>
        <v>5.7471264367816147E-2</v>
      </c>
      <c r="AN153" s="27">
        <f t="shared" si="127"/>
        <v>1.5474712373983567E-3</v>
      </c>
      <c r="AO153" s="84">
        <f t="shared" si="128"/>
        <v>1.1505891273631677E-2</v>
      </c>
    </row>
    <row r="154" spans="1:41">
      <c r="A154" s="216" t="s">
        <v>70</v>
      </c>
      <c r="B154" s="376">
        <v>289562971.23000002</v>
      </c>
      <c r="C154" s="378">
        <v>258.95999999999998</v>
      </c>
      <c r="D154" s="376">
        <v>295560826.66000003</v>
      </c>
      <c r="E154" s="378">
        <v>265.49</v>
      </c>
      <c r="F154" s="24">
        <f>((D147-B154)/B154)</f>
        <v>5.2160475477726358</v>
      </c>
      <c r="G154" s="24">
        <f>((E154-C154)/C154)</f>
        <v>2.5216249613840093E-2</v>
      </c>
      <c r="H154" s="376">
        <v>295462572.35000002</v>
      </c>
      <c r="I154" s="378">
        <v>264.92</v>
      </c>
      <c r="J154" s="24">
        <f>((H147-D154)/D154)</f>
        <v>5.1294959681650516</v>
      </c>
      <c r="K154" s="24">
        <f>((I154-E154)/E154)</f>
        <v>-2.1469735206598862E-3</v>
      </c>
      <c r="L154" s="376">
        <v>301197849.95999998</v>
      </c>
      <c r="M154" s="378">
        <v>271.89999999999998</v>
      </c>
      <c r="N154" s="24">
        <f>((L147-H154)/H154)</f>
        <v>5.2564261035074544</v>
      </c>
      <c r="O154" s="24">
        <f>((M154-I154)/I154)</f>
        <v>2.6347576626906087E-2</v>
      </c>
      <c r="P154" s="376">
        <v>302252505.66000003</v>
      </c>
      <c r="Q154" s="378">
        <v>272.76</v>
      </c>
      <c r="R154" s="24">
        <f>((P147-L154)/L154)</f>
        <v>5.1413582586849618</v>
      </c>
      <c r="S154" s="24">
        <f>((Q154-M154)/M154)</f>
        <v>3.1629275468922904E-3</v>
      </c>
      <c r="T154" s="376">
        <v>307237826.99000001</v>
      </c>
      <c r="U154" s="378">
        <v>274.3</v>
      </c>
      <c r="V154" s="24">
        <f>((T147-P154)/P154)</f>
        <v>5.140068963721423</v>
      </c>
      <c r="W154" s="24">
        <f>((U154-Q154)/Q154)</f>
        <v>5.6459891479689857E-3</v>
      </c>
      <c r="X154" s="376">
        <v>311533840.92000002</v>
      </c>
      <c r="Y154" s="378">
        <v>277.17</v>
      </c>
      <c r="Z154" s="24">
        <f>((X147-T154)/T154)</f>
        <v>5.2073535515276035</v>
      </c>
      <c r="AA154" s="24">
        <f>((Y154-U154)/U154)</f>
        <v>1.0462996718920906E-2</v>
      </c>
      <c r="AB154" s="376">
        <v>313287527.64999998</v>
      </c>
      <c r="AC154" s="378">
        <v>278.39999999999998</v>
      </c>
      <c r="AD154" s="24">
        <f>((AB147-X154)/X154)</f>
        <v>5.1608303141387015</v>
      </c>
      <c r="AE154" s="24">
        <f>((AC154-Y154)/Y154)</f>
        <v>4.4377097088428089E-3</v>
      </c>
      <c r="AF154" s="376">
        <v>316063836.01999998</v>
      </c>
      <c r="AG154" s="378">
        <v>279.16000000000003</v>
      </c>
      <c r="AH154" s="24">
        <f>((AF147-AB154)/AB154)</f>
        <v>5.1193391704752731</v>
      </c>
      <c r="AI154" s="24">
        <f>((AG154-AC154)/AC154)</f>
        <v>2.7298850574714361E-3</v>
      </c>
      <c r="AJ154" s="25">
        <f t="shared" si="123"/>
        <v>5.1713649847491379</v>
      </c>
      <c r="AK154" s="25">
        <f t="shared" si="124"/>
        <v>9.4820451125228397E-3</v>
      </c>
      <c r="AL154" s="26">
        <f t="shared" si="125"/>
        <v>6.9369847119779851E-2</v>
      </c>
      <c r="AM154" s="26">
        <f t="shared" si="126"/>
        <v>5.1489698293721103E-2</v>
      </c>
      <c r="AN154" s="27">
        <f t="shared" si="127"/>
        <v>4.9248097901251273E-2</v>
      </c>
      <c r="AO154" s="84">
        <f t="shared" si="128"/>
        <v>1.0649555605900947E-2</v>
      </c>
    </row>
    <row r="155" spans="1:41" ht="8.25" customHeight="1">
      <c r="A155" s="218"/>
      <c r="B155" s="93"/>
      <c r="C155" s="93"/>
      <c r="D155" s="93"/>
      <c r="E155" s="93"/>
      <c r="F155" s="24"/>
      <c r="G155" s="24"/>
      <c r="H155" s="93"/>
      <c r="I155" s="93"/>
      <c r="J155" s="24"/>
      <c r="K155" s="24"/>
      <c r="L155" s="93"/>
      <c r="M155" s="93"/>
      <c r="N155" s="24"/>
      <c r="O155" s="24"/>
      <c r="P155" s="93"/>
      <c r="Q155" s="93"/>
      <c r="R155" s="24"/>
      <c r="S155" s="24"/>
      <c r="T155" s="93"/>
      <c r="U155" s="93"/>
      <c r="V155" s="24"/>
      <c r="W155" s="24"/>
      <c r="X155" s="93"/>
      <c r="Y155" s="93"/>
      <c r="Z155" s="24"/>
      <c r="AA155" s="24"/>
      <c r="AB155" s="93"/>
      <c r="AC155" s="93"/>
      <c r="AD155" s="24"/>
      <c r="AE155" s="24"/>
      <c r="AF155" s="93"/>
      <c r="AG155" s="93"/>
      <c r="AH155" s="24"/>
      <c r="AI155" s="24"/>
      <c r="AJ155" s="25"/>
      <c r="AK155" s="25"/>
      <c r="AL155" s="26"/>
      <c r="AM155" s="26"/>
      <c r="AN155" s="27"/>
      <c r="AO155" s="84"/>
    </row>
    <row r="156" spans="1:41">
      <c r="A156" s="222" t="s">
        <v>216</v>
      </c>
      <c r="B156" s="93"/>
      <c r="C156" s="93"/>
      <c r="D156" s="93"/>
      <c r="E156" s="93"/>
      <c r="F156" s="24"/>
      <c r="G156" s="24"/>
      <c r="H156" s="93"/>
      <c r="I156" s="93"/>
      <c r="J156" s="24"/>
      <c r="K156" s="24"/>
      <c r="L156" s="93"/>
      <c r="M156" s="93"/>
      <c r="N156" s="24"/>
      <c r="O156" s="24"/>
      <c r="P156" s="93"/>
      <c r="Q156" s="93"/>
      <c r="R156" s="24"/>
      <c r="S156" s="24"/>
      <c r="T156" s="93"/>
      <c r="U156" s="93"/>
      <c r="V156" s="24"/>
      <c r="W156" s="24"/>
      <c r="X156" s="93"/>
      <c r="Y156" s="93"/>
      <c r="Z156" s="24"/>
      <c r="AA156" s="24"/>
      <c r="AB156" s="93"/>
      <c r="AC156" s="93"/>
      <c r="AD156" s="24"/>
      <c r="AE156" s="24"/>
      <c r="AF156" s="93"/>
      <c r="AG156" s="93"/>
      <c r="AH156" s="24"/>
      <c r="AI156" s="24"/>
      <c r="AJ156" s="25"/>
      <c r="AK156" s="25"/>
      <c r="AL156" s="26"/>
      <c r="AM156" s="26"/>
      <c r="AN156" s="27"/>
      <c r="AO156" s="84"/>
    </row>
    <row r="157" spans="1:41">
      <c r="A157" s="216" t="s">
        <v>140</v>
      </c>
      <c r="B157" s="391">
        <v>8841100329.3799992</v>
      </c>
      <c r="C157" s="392">
        <v>120.84</v>
      </c>
      <c r="D157" s="391">
        <v>8847054980.7399998</v>
      </c>
      <c r="E157" s="392">
        <v>120.99</v>
      </c>
      <c r="F157" s="24">
        <f>((D157-B157)/B157)</f>
        <v>6.7351926096943099E-4</v>
      </c>
      <c r="G157" s="24">
        <f>((E157-C157)/C157)</f>
        <v>1.2413108242303166E-3</v>
      </c>
      <c r="H157" s="391">
        <v>8886649368.2099991</v>
      </c>
      <c r="I157" s="392">
        <v>121.12</v>
      </c>
      <c r="J157" s="24">
        <f>((H157-D157)/D157)</f>
        <v>4.475431378712591E-3</v>
      </c>
      <c r="K157" s="24">
        <f t="shared" ref="K157:K163" si="142">((I157-E157)/E157)</f>
        <v>1.0744689643773012E-3</v>
      </c>
      <c r="L157" s="391">
        <v>8669102212.5300007</v>
      </c>
      <c r="M157" s="392">
        <v>121.23</v>
      </c>
      <c r="N157" s="24">
        <f>((L157-H157)/H157)</f>
        <v>-2.4480222710060409E-2</v>
      </c>
      <c r="O157" s="24">
        <f t="shared" ref="O157:O163" si="143">((M157-I157)/I157)</f>
        <v>9.0819022457066894E-4</v>
      </c>
      <c r="P157" s="391">
        <v>8591273301.0900002</v>
      </c>
      <c r="Q157" s="392">
        <v>121.39</v>
      </c>
      <c r="R157" s="24">
        <f>((P157-L157)/L157)</f>
        <v>-8.9777360483199158E-3</v>
      </c>
      <c r="S157" s="24">
        <f t="shared" ref="S157:S163" si="144">((Q157-M157)/M157)</f>
        <v>1.3198053287139864E-3</v>
      </c>
      <c r="T157" s="391">
        <v>8587337090.29</v>
      </c>
      <c r="U157" s="392">
        <v>121.55</v>
      </c>
      <c r="V157" s="24">
        <f>((T157-P157)/P157)</f>
        <v>-4.5816384394392298E-4</v>
      </c>
      <c r="W157" s="24">
        <f t="shared" ref="W157:W163" si="145">((U157-Q157)/Q157)</f>
        <v>1.3180657385286809E-3</v>
      </c>
      <c r="X157" s="391">
        <v>8548497294.0100002</v>
      </c>
      <c r="Y157" s="392">
        <v>121.7</v>
      </c>
      <c r="Z157" s="24">
        <f>((X157-T157)/T157)</f>
        <v>-4.5229150633806191E-3</v>
      </c>
      <c r="AA157" s="24">
        <f t="shared" ref="AA157:AA163" si="146">((Y157-U157)/U157)</f>
        <v>1.2340600575895162E-3</v>
      </c>
      <c r="AB157" s="391">
        <v>8487547879.2299995</v>
      </c>
      <c r="AC157" s="392">
        <v>121.87</v>
      </c>
      <c r="AD157" s="24">
        <f>((AB157-X157)/X157)</f>
        <v>-7.1298396295578666E-3</v>
      </c>
      <c r="AE157" s="24">
        <f t="shared" ref="AE157:AE163" si="147">((AC157-Y157)/Y157)</f>
        <v>1.3968775677896607E-3</v>
      </c>
      <c r="AF157" s="391">
        <v>8492802062.9399996</v>
      </c>
      <c r="AG157" s="392">
        <v>121.99</v>
      </c>
      <c r="AH157" s="24">
        <f>((AF157-AB157)/AB157)</f>
        <v>6.1904613496880842E-4</v>
      </c>
      <c r="AI157" s="24">
        <f t="shared" ref="AI157:AI163" si="148">((AG157-AC157)/AC157)</f>
        <v>9.8465578074990014E-4</v>
      </c>
      <c r="AJ157" s="25">
        <f t="shared" si="123"/>
        <v>-4.9751100650764881E-3</v>
      </c>
      <c r="AK157" s="25">
        <f t="shared" si="124"/>
        <v>1.1846793108187539E-3</v>
      </c>
      <c r="AL157" s="26">
        <f t="shared" si="125"/>
        <v>-4.0041903048099875E-2</v>
      </c>
      <c r="AM157" s="26">
        <f t="shared" si="126"/>
        <v>8.2651458798247788E-3</v>
      </c>
      <c r="AN157" s="27">
        <f t="shared" si="127"/>
        <v>9.0572378907684773E-3</v>
      </c>
      <c r="AO157" s="84">
        <f t="shared" si="128"/>
        <v>1.7538798394746882E-4</v>
      </c>
    </row>
    <row r="158" spans="1:41">
      <c r="A158" s="216" t="s">
        <v>202</v>
      </c>
      <c r="B158" s="391">
        <v>7077799426.8599997</v>
      </c>
      <c r="C158" s="391">
        <v>122.57</v>
      </c>
      <c r="D158" s="391">
        <v>7096083923.6400003</v>
      </c>
      <c r="E158" s="391">
        <v>122.85</v>
      </c>
      <c r="F158" s="24">
        <f>((D153-B158)/B158)</f>
        <v>-0.50587364227392961</v>
      </c>
      <c r="G158" s="24">
        <f>((E158-C158)/C158)</f>
        <v>2.2844089091947554E-3</v>
      </c>
      <c r="H158" s="391">
        <v>7107002458.3400002</v>
      </c>
      <c r="I158" s="391">
        <v>123.14</v>
      </c>
      <c r="J158" s="24">
        <f>((H153-D158)/D158)</f>
        <v>-0.49836979109118734</v>
      </c>
      <c r="K158" s="24">
        <f t="shared" si="142"/>
        <v>2.3606023606024115E-3</v>
      </c>
      <c r="L158" s="391">
        <v>7129484820.75</v>
      </c>
      <c r="M158" s="391">
        <v>123.42</v>
      </c>
      <c r="N158" s="24">
        <f>((L153-H158)/H158)</f>
        <v>-0.49223371787423137</v>
      </c>
      <c r="O158" s="24">
        <f t="shared" si="143"/>
        <v>2.2738346597368942E-3</v>
      </c>
      <c r="P158" s="391">
        <v>7144225849.4399996</v>
      </c>
      <c r="Q158" s="391">
        <v>123.73</v>
      </c>
      <c r="R158" s="24">
        <f>((P153-L158)/L158)</f>
        <v>-0.49363711498999618</v>
      </c>
      <c r="S158" s="24">
        <f t="shared" si="144"/>
        <v>2.5117485010533324E-3</v>
      </c>
      <c r="T158" s="391">
        <v>7575814955.4200001</v>
      </c>
      <c r="U158" s="391">
        <v>124.04</v>
      </c>
      <c r="V158" s="24">
        <f>((T153-P158)/P158)</f>
        <v>-0.49305549754367173</v>
      </c>
      <c r="W158" s="24">
        <f t="shared" si="145"/>
        <v>2.5054554271397582E-3</v>
      </c>
      <c r="X158" s="391">
        <v>7529804652.3900003</v>
      </c>
      <c r="Y158" s="391">
        <v>124.36</v>
      </c>
      <c r="Z158" s="24">
        <f>((X153-T158)/T158)</f>
        <v>-0.51749099611061633</v>
      </c>
      <c r="AA158" s="24">
        <f t="shared" si="146"/>
        <v>2.5798129635600867E-3</v>
      </c>
      <c r="AB158" s="391">
        <v>8141366291.6800003</v>
      </c>
      <c r="AC158" s="391">
        <v>124.67</v>
      </c>
      <c r="AD158" s="24">
        <f>((AB153-X158)/X158)</f>
        <v>-0.51254189303238096</v>
      </c>
      <c r="AE158" s="24">
        <f t="shared" si="147"/>
        <v>2.4927629462849973E-3</v>
      </c>
      <c r="AF158" s="391">
        <v>8149133404.1099997</v>
      </c>
      <c r="AG158" s="391">
        <v>124.99</v>
      </c>
      <c r="AH158" s="24">
        <f>((AF153-AB158)/AB158)</f>
        <v>-0.54624367001331797</v>
      </c>
      <c r="AI158" s="24">
        <f t="shared" si="148"/>
        <v>2.5667762894039719E-3</v>
      </c>
      <c r="AJ158" s="25">
        <f t="shared" si="123"/>
        <v>-0.50743079036616645</v>
      </c>
      <c r="AK158" s="25">
        <f t="shared" si="124"/>
        <v>2.4469252571220259E-3</v>
      </c>
      <c r="AL158" s="26">
        <f t="shared" si="125"/>
        <v>0.14839867901813483</v>
      </c>
      <c r="AM158" s="26">
        <f t="shared" si="126"/>
        <v>1.7419617419617426E-2</v>
      </c>
      <c r="AN158" s="27">
        <f t="shared" si="127"/>
        <v>1.8307542126802783E-2</v>
      </c>
      <c r="AO158" s="84">
        <f t="shared" si="128"/>
        <v>1.2280989994737816E-4</v>
      </c>
    </row>
    <row r="159" spans="1:41">
      <c r="A159" s="216" t="s">
        <v>176</v>
      </c>
      <c r="B159" s="391">
        <v>2199242850.0300002</v>
      </c>
      <c r="C159" s="392">
        <v>1.1015999999999999</v>
      </c>
      <c r="D159" s="391">
        <v>2204444021.77</v>
      </c>
      <c r="E159" s="392">
        <v>1.1035999999999999</v>
      </c>
      <c r="F159" s="24">
        <f>((D154-B159)/B159)</f>
        <v>-0.86560791744487509</v>
      </c>
      <c r="G159" s="24">
        <f>((E159-C159)/C159)</f>
        <v>1.8155410312273076E-3</v>
      </c>
      <c r="H159" s="391">
        <v>2206389274.3000002</v>
      </c>
      <c r="I159" s="392">
        <v>1.1053999999999999</v>
      </c>
      <c r="J159" s="24">
        <f>((H154-D159)/D159)</f>
        <v>-0.86596957353774584</v>
      </c>
      <c r="K159" s="24">
        <f t="shared" si="142"/>
        <v>1.6310257339616019E-3</v>
      </c>
      <c r="L159" s="391">
        <v>2203261878.9200001</v>
      </c>
      <c r="M159" s="392">
        <v>1.1074999999999999</v>
      </c>
      <c r="N159" s="24">
        <f>((L154-H159)/H159)</f>
        <v>-0.86348834565670274</v>
      </c>
      <c r="O159" s="24">
        <f t="shared" si="143"/>
        <v>1.8997647910258648E-3</v>
      </c>
      <c r="P159" s="391">
        <v>2207140082.98</v>
      </c>
      <c r="Q159" s="392">
        <v>1.1094999999999999</v>
      </c>
      <c r="R159" s="24">
        <f>((P154-L159)/L159)</f>
        <v>-0.86281589648881918</v>
      </c>
      <c r="S159" s="24">
        <f t="shared" si="144"/>
        <v>1.8058690744921009E-3</v>
      </c>
      <c r="T159" s="391">
        <v>2211081913.5500002</v>
      </c>
      <c r="U159" s="392">
        <v>1.1094999999999999</v>
      </c>
      <c r="V159" s="24">
        <f>((T154-P159)/P159)</f>
        <v>-0.86079822057547939</v>
      </c>
      <c r="W159" s="24">
        <f t="shared" si="145"/>
        <v>0</v>
      </c>
      <c r="X159" s="391">
        <v>2215642157.8800001</v>
      </c>
      <c r="Y159" s="392">
        <v>1.1136999999999999</v>
      </c>
      <c r="Z159" s="24">
        <f>((X154-T159)/T159)</f>
        <v>-0.85910343754754104</v>
      </c>
      <c r="AA159" s="24">
        <f t="shared" si="146"/>
        <v>3.7854889589905199E-3</v>
      </c>
      <c r="AB159" s="391">
        <v>2229913614.5100002</v>
      </c>
      <c r="AC159" s="392">
        <v>1.1157999999999999</v>
      </c>
      <c r="AD159" s="24">
        <f>((AB154-X159)/X159)</f>
        <v>-0.85860192877456165</v>
      </c>
      <c r="AE159" s="24">
        <f t="shared" si="147"/>
        <v>1.8856065367693193E-3</v>
      </c>
      <c r="AF159" s="391">
        <v>2234100421.8099999</v>
      </c>
      <c r="AG159" s="392">
        <v>1.1178999999999999</v>
      </c>
      <c r="AH159" s="24">
        <f>((AF154-AB159)/AB159)</f>
        <v>-0.85826184747096057</v>
      </c>
      <c r="AI159" s="24">
        <f t="shared" si="148"/>
        <v>1.8820577164366293E-3</v>
      </c>
      <c r="AJ159" s="25">
        <f t="shared" si="123"/>
        <v>-0.86183089593708562</v>
      </c>
      <c r="AK159" s="25">
        <f t="shared" si="124"/>
        <v>1.8381692303629182E-3</v>
      </c>
      <c r="AL159" s="26">
        <f t="shared" si="125"/>
        <v>1.345300662984771E-2</v>
      </c>
      <c r="AM159" s="26">
        <f t="shared" si="126"/>
        <v>1.2957593330916981E-2</v>
      </c>
      <c r="AN159" s="27">
        <f t="shared" si="127"/>
        <v>3.0887281934677642E-3</v>
      </c>
      <c r="AO159" s="84">
        <f t="shared" si="128"/>
        <v>1.0158286215741286E-3</v>
      </c>
    </row>
    <row r="160" spans="1:41" s="313" customFormat="1">
      <c r="A160" s="216" t="s">
        <v>189</v>
      </c>
      <c r="B160" s="391">
        <v>320822861.08000004</v>
      </c>
      <c r="C160" s="392">
        <v>102.72</v>
      </c>
      <c r="D160" s="391">
        <v>322184155.94</v>
      </c>
      <c r="E160" s="392">
        <v>103.69</v>
      </c>
      <c r="F160" s="24">
        <f>((D160-B160)/B160)</f>
        <v>4.2431354655256426E-3</v>
      </c>
      <c r="G160" s="24">
        <f>((E160-C160)/C160)</f>
        <v>9.4431464174454718E-3</v>
      </c>
      <c r="H160" s="391">
        <v>325009298.95999992</v>
      </c>
      <c r="I160" s="392">
        <v>103.96380191382531</v>
      </c>
      <c r="J160" s="24">
        <f t="shared" ref="J160:J165" si="149">((H160-D160)/D160)</f>
        <v>8.7687211425941276E-3</v>
      </c>
      <c r="K160" s="24">
        <f t="shared" si="142"/>
        <v>2.6405816744653234E-3</v>
      </c>
      <c r="L160" s="391">
        <v>323057452.64000005</v>
      </c>
      <c r="M160" s="392">
        <v>100.94844608150626</v>
      </c>
      <c r="N160" s="24">
        <f t="shared" ref="N160:N165" si="150">((L160-H160)/H160)</f>
        <v>-6.0055091538783771E-3</v>
      </c>
      <c r="O160" s="24">
        <f t="shared" si="143"/>
        <v>-2.9003901134920476E-2</v>
      </c>
      <c r="P160" s="391">
        <v>338978948.46000004</v>
      </c>
      <c r="Q160" s="392">
        <v>101.16868345876789</v>
      </c>
      <c r="R160" s="24">
        <f t="shared" ref="R160:R165" si="151">((P160-L160)/L160)</f>
        <v>4.9283790514321163E-2</v>
      </c>
      <c r="S160" s="24">
        <f t="shared" si="144"/>
        <v>2.1816816980402532E-3</v>
      </c>
      <c r="T160" s="391">
        <v>338450268.92000002</v>
      </c>
      <c r="U160" s="392">
        <v>101.32164828667599</v>
      </c>
      <c r="V160" s="24">
        <f t="shared" ref="V160:V165" si="152">((T160-P160)/P160)</f>
        <v>-1.5596235176309372E-3</v>
      </c>
      <c r="W160" s="24">
        <f t="shared" si="145"/>
        <v>1.5119780418062802E-3</v>
      </c>
      <c r="X160" s="391">
        <v>339471323</v>
      </c>
      <c r="Y160" s="392">
        <v>101.48</v>
      </c>
      <c r="Z160" s="24">
        <f t="shared" ref="Z160:Z165" si="153">((X160-T160)/T160)</f>
        <v>3.0168511411090984E-3</v>
      </c>
      <c r="AA160" s="24">
        <f t="shared" si="146"/>
        <v>1.5628615996847429E-3</v>
      </c>
      <c r="AB160" s="391">
        <v>359488079.36000001</v>
      </c>
      <c r="AC160" s="392">
        <v>101.63</v>
      </c>
      <c r="AD160" s="24">
        <f t="shared" ref="AD160:AD165" si="154">((AB160-X160)/X160)</f>
        <v>5.8964498630124387E-2</v>
      </c>
      <c r="AE160" s="24">
        <f t="shared" si="147"/>
        <v>1.4781237682301091E-3</v>
      </c>
      <c r="AF160" s="391">
        <v>358893531.20999998</v>
      </c>
      <c r="AG160" s="392">
        <v>101.87</v>
      </c>
      <c r="AH160" s="24">
        <f t="shared" ref="AH160:AH165" si="155">((AF160-AB160)/AB160)</f>
        <v>-1.6538744512989566E-3</v>
      </c>
      <c r="AI160" s="24">
        <f t="shared" si="148"/>
        <v>2.3615074289088764E-3</v>
      </c>
      <c r="AJ160" s="25">
        <f t="shared" si="123"/>
        <v>1.4382248721358269E-2</v>
      </c>
      <c r="AK160" s="25">
        <f t="shared" si="124"/>
        <v>-9.7800256329242763E-4</v>
      </c>
      <c r="AL160" s="26">
        <f t="shared" si="125"/>
        <v>0.1139391077841715</v>
      </c>
      <c r="AM160" s="26">
        <f t="shared" si="126"/>
        <v>-1.7552319413636736E-2</v>
      </c>
      <c r="AN160" s="27">
        <f t="shared" si="127"/>
        <v>2.5060331220519625E-2</v>
      </c>
      <c r="AO160" s="84">
        <f t="shared" si="128"/>
        <v>1.1631054312829084E-2</v>
      </c>
    </row>
    <row r="161" spans="1:41" s="329" customFormat="1">
      <c r="A161" s="216" t="s">
        <v>248</v>
      </c>
      <c r="B161" s="391">
        <v>474407970.60000002</v>
      </c>
      <c r="C161" s="391">
        <v>1017.22</v>
      </c>
      <c r="D161" s="391">
        <v>474725453.47000003</v>
      </c>
      <c r="E161" s="391">
        <v>1017.91</v>
      </c>
      <c r="F161" s="24">
        <f>((D161-B161)/B161)</f>
        <v>6.6921908921233617E-4</v>
      </c>
      <c r="G161" s="24">
        <f>((E161-C161)/C161)</f>
        <v>6.7831934094880254E-4</v>
      </c>
      <c r="H161" s="391">
        <v>475042830.83999997</v>
      </c>
      <c r="I161" s="391">
        <v>1018.59</v>
      </c>
      <c r="J161" s="24">
        <f t="shared" si="149"/>
        <v>6.6854930082235753E-4</v>
      </c>
      <c r="K161" s="24">
        <f t="shared" si="142"/>
        <v>6.6803548447314962E-4</v>
      </c>
      <c r="L161" s="391">
        <v>1283931018.8599999</v>
      </c>
      <c r="M161" s="391">
        <v>1019.27</v>
      </c>
      <c r="N161" s="24">
        <f t="shared" si="150"/>
        <v>1.702768962094795</v>
      </c>
      <c r="O161" s="24">
        <f t="shared" si="143"/>
        <v>6.6758951099063404E-4</v>
      </c>
      <c r="P161" s="391">
        <v>476212055.06</v>
      </c>
      <c r="Q161" s="391">
        <v>1023.93</v>
      </c>
      <c r="R161" s="24">
        <f t="shared" si="151"/>
        <v>-0.62909841100121733</v>
      </c>
      <c r="S161" s="24">
        <f t="shared" si="144"/>
        <v>4.5718994966985867E-3</v>
      </c>
      <c r="T161" s="391">
        <v>471519498.49000001</v>
      </c>
      <c r="U161" s="391">
        <v>1013.84</v>
      </c>
      <c r="V161" s="24">
        <f t="shared" si="152"/>
        <v>-9.8539222603442021E-3</v>
      </c>
      <c r="W161" s="24">
        <f t="shared" si="145"/>
        <v>-9.854189251218266E-3</v>
      </c>
      <c r="X161" s="391">
        <v>472284192.94999999</v>
      </c>
      <c r="Y161" s="391">
        <v>1010.85</v>
      </c>
      <c r="Z161" s="24">
        <f t="shared" si="153"/>
        <v>1.6217663584408401E-3</v>
      </c>
      <c r="AA161" s="24">
        <f t="shared" si="146"/>
        <v>-2.9491833030853083E-3</v>
      </c>
      <c r="AB161" s="391">
        <v>498886405.76999998</v>
      </c>
      <c r="AC161" s="391">
        <v>1045.94</v>
      </c>
      <c r="AD161" s="24">
        <f t="shared" si="154"/>
        <v>5.6326705862917437E-2</v>
      </c>
      <c r="AE161" s="24">
        <f t="shared" si="147"/>
        <v>3.4713360043527756E-2</v>
      </c>
      <c r="AF161" s="391">
        <v>499525503.55000001</v>
      </c>
      <c r="AG161" s="391">
        <v>1046.75</v>
      </c>
      <c r="AH161" s="24">
        <f t="shared" si="155"/>
        <v>1.2810486968744389E-3</v>
      </c>
      <c r="AI161" s="24">
        <f t="shared" si="148"/>
        <v>7.744230070558019E-4</v>
      </c>
      <c r="AJ161" s="25">
        <f t="shared" si="123"/>
        <v>0.14054798976768759</v>
      </c>
      <c r="AK161" s="25">
        <f t="shared" si="124"/>
        <v>3.6587817911738945E-3</v>
      </c>
      <c r="AL161" s="26">
        <f t="shared" si="125"/>
        <v>5.2240826563489093E-2</v>
      </c>
      <c r="AM161" s="26">
        <f t="shared" si="126"/>
        <v>2.8332563782652722E-2</v>
      </c>
      <c r="AN161" s="27">
        <f t="shared" si="127"/>
        <v>0.66980082467820889</v>
      </c>
      <c r="AO161" s="84">
        <f t="shared" si="128"/>
        <v>1.323728867467084E-2</v>
      </c>
    </row>
    <row r="162" spans="1:41" s="329" customFormat="1">
      <c r="A162" s="216" t="s">
        <v>251</v>
      </c>
      <c r="B162" s="391">
        <v>50786895.060000002</v>
      </c>
      <c r="C162" s="391">
        <v>101.92</v>
      </c>
      <c r="D162" s="391">
        <v>48522379.939999998</v>
      </c>
      <c r="E162" s="391">
        <v>102.51</v>
      </c>
      <c r="F162" s="24">
        <f>((D162-B162)/B162)</f>
        <v>-4.4588571861396337E-2</v>
      </c>
      <c r="G162" s="24">
        <f>((E162-C162)/C162)</f>
        <v>5.788854003139751E-3</v>
      </c>
      <c r="H162" s="391">
        <v>49219891.07</v>
      </c>
      <c r="I162" s="391">
        <v>102.58</v>
      </c>
      <c r="J162" s="24">
        <f t="shared" si="149"/>
        <v>1.4375039535622636E-2</v>
      </c>
      <c r="K162" s="24">
        <f t="shared" si="142"/>
        <v>6.8286020876005436E-4</v>
      </c>
      <c r="L162" s="391">
        <v>53115044.75</v>
      </c>
      <c r="M162" s="391">
        <v>103.42</v>
      </c>
      <c r="N162" s="24">
        <f t="shared" si="150"/>
        <v>7.9137795621293722E-2</v>
      </c>
      <c r="O162" s="24">
        <f t="shared" si="143"/>
        <v>8.188730746734289E-3</v>
      </c>
      <c r="P162" s="391">
        <v>53910224.93</v>
      </c>
      <c r="Q162" s="391">
        <v>103.65</v>
      </c>
      <c r="R162" s="24">
        <f t="shared" si="151"/>
        <v>1.4970902947417732E-2</v>
      </c>
      <c r="S162" s="24">
        <f t="shared" si="144"/>
        <v>2.223941210597602E-3</v>
      </c>
      <c r="T162" s="391">
        <v>54230733.600000001</v>
      </c>
      <c r="U162" s="391">
        <v>103.79</v>
      </c>
      <c r="V162" s="24">
        <f t="shared" si="152"/>
        <v>5.9452296928118528E-3</v>
      </c>
      <c r="W162" s="24">
        <f t="shared" si="145"/>
        <v>1.350699469368071E-3</v>
      </c>
      <c r="X162" s="391">
        <v>54381270.920000002</v>
      </c>
      <c r="Y162" s="391">
        <v>103.87</v>
      </c>
      <c r="Z162" s="24">
        <f t="shared" si="153"/>
        <v>2.775867298981187E-3</v>
      </c>
      <c r="AA162" s="24">
        <f t="shared" si="146"/>
        <v>7.7078716639366305E-4</v>
      </c>
      <c r="AB162" s="391">
        <v>54515641.07</v>
      </c>
      <c r="AC162" s="391">
        <v>104.03</v>
      </c>
      <c r="AD162" s="24">
        <f t="shared" si="154"/>
        <v>2.4708902114051311E-3</v>
      </c>
      <c r="AE162" s="24">
        <f t="shared" si="147"/>
        <v>1.5403870222393046E-3</v>
      </c>
      <c r="AF162" s="391">
        <v>54625839.579999998</v>
      </c>
      <c r="AG162" s="391">
        <v>104.13</v>
      </c>
      <c r="AH162" s="24">
        <f t="shared" si="155"/>
        <v>2.0214108802004025E-3</v>
      </c>
      <c r="AI162" s="24">
        <f t="shared" si="148"/>
        <v>9.6126117466110083E-4</v>
      </c>
      <c r="AJ162" s="25">
        <f t="shared" si="123"/>
        <v>9.6385705407920422E-3</v>
      </c>
      <c r="AK162" s="25">
        <f t="shared" si="124"/>
        <v>2.6884401252367297E-3</v>
      </c>
      <c r="AL162" s="26">
        <f t="shared" si="125"/>
        <v>0.12578648548457824</v>
      </c>
      <c r="AM162" s="26">
        <f t="shared" si="126"/>
        <v>1.5803336259876989E-2</v>
      </c>
      <c r="AN162" s="27">
        <f t="shared" si="127"/>
        <v>3.3788686594215731E-2</v>
      </c>
      <c r="AO162" s="84">
        <f t="shared" si="128"/>
        <v>2.7741662625486029E-3</v>
      </c>
    </row>
    <row r="163" spans="1:41">
      <c r="A163" s="216" t="s">
        <v>256</v>
      </c>
      <c r="B163" s="385">
        <v>50989219.140000001</v>
      </c>
      <c r="C163" s="386">
        <v>99.92</v>
      </c>
      <c r="D163" s="385">
        <v>51033560.57</v>
      </c>
      <c r="E163" s="386">
        <v>100.13</v>
      </c>
      <c r="F163" s="24">
        <f>((D163-B163)/B163)</f>
        <v>8.6962363314983099E-4</v>
      </c>
      <c r="G163" s="24">
        <f>((E163-C163)/C163)</f>
        <v>2.1016813450759984E-3</v>
      </c>
      <c r="H163" s="385">
        <v>51078217.990000002</v>
      </c>
      <c r="I163" s="386">
        <v>100.33</v>
      </c>
      <c r="J163" s="24">
        <f t="shared" si="149"/>
        <v>8.7505985279525225E-4</v>
      </c>
      <c r="K163" s="24">
        <f t="shared" si="142"/>
        <v>1.9974033756117331E-3</v>
      </c>
      <c r="L163" s="385">
        <v>51122843.700000003</v>
      </c>
      <c r="M163" s="386">
        <v>100.62</v>
      </c>
      <c r="N163" s="24">
        <f t="shared" si="150"/>
        <v>8.7367397994851019E-4</v>
      </c>
      <c r="O163" s="24">
        <f t="shared" si="143"/>
        <v>2.8904614771255483E-3</v>
      </c>
      <c r="P163" s="385">
        <v>51167951.359999999</v>
      </c>
      <c r="Q163" s="386">
        <v>100.74</v>
      </c>
      <c r="R163" s="24">
        <f t="shared" si="151"/>
        <v>8.8233863250444388E-4</v>
      </c>
      <c r="S163" s="24">
        <f t="shared" si="144"/>
        <v>1.1926058437685383E-3</v>
      </c>
      <c r="T163" s="385">
        <v>51213412.340000004</v>
      </c>
      <c r="U163" s="386">
        <v>100.95</v>
      </c>
      <c r="V163" s="24">
        <f t="shared" si="152"/>
        <v>8.8846590085572212E-4</v>
      </c>
      <c r="W163" s="24">
        <f t="shared" si="145"/>
        <v>2.0845741512806031E-3</v>
      </c>
      <c r="X163" s="385">
        <v>51258841.340000004</v>
      </c>
      <c r="Y163" s="386">
        <v>101.15</v>
      </c>
      <c r="Z163" s="24">
        <f t="shared" si="153"/>
        <v>8.8705278411057729E-4</v>
      </c>
      <c r="AA163" s="24">
        <f t="shared" si="146"/>
        <v>1.9811788013868533E-3</v>
      </c>
      <c r="AB163" s="385">
        <v>51304238.359999999</v>
      </c>
      <c r="AC163" s="386">
        <v>101.36</v>
      </c>
      <c r="AD163" s="24">
        <f t="shared" si="154"/>
        <v>8.8564272646892849E-4</v>
      </c>
      <c r="AE163" s="24">
        <f t="shared" si="147"/>
        <v>2.0761245674739866E-3</v>
      </c>
      <c r="AF163" s="385">
        <v>51349603.399999999</v>
      </c>
      <c r="AG163" s="386">
        <v>101.56</v>
      </c>
      <c r="AH163" s="24">
        <f t="shared" si="155"/>
        <v>8.8423571716773669E-4</v>
      </c>
      <c r="AI163" s="24">
        <f t="shared" si="148"/>
        <v>1.9731649565903988E-3</v>
      </c>
      <c r="AJ163" s="25">
        <f t="shared" si="123"/>
        <v>8.8076165337512514E-4</v>
      </c>
      <c r="AK163" s="25">
        <f t="shared" si="124"/>
        <v>2.0371493147892075E-3</v>
      </c>
      <c r="AL163" s="26">
        <f t="shared" si="125"/>
        <v>6.1928430325079746E-3</v>
      </c>
      <c r="AM163" s="26">
        <f t="shared" si="126"/>
        <v>1.4281434135623758E-2</v>
      </c>
      <c r="AN163" s="27">
        <f t="shared" si="127"/>
        <v>7.0113759717779071E-6</v>
      </c>
      <c r="AO163" s="84">
        <f t="shared" si="128"/>
        <v>4.5640432033630489E-4</v>
      </c>
    </row>
    <row r="164" spans="1:41">
      <c r="A164" s="218" t="s">
        <v>46</v>
      </c>
      <c r="B164" s="81">
        <f>SUM(B153:B163)</f>
        <v>22759261173.869999</v>
      </c>
      <c r="C164" s="93"/>
      <c r="D164" s="81">
        <f>SUM(D153:D163)</f>
        <v>22836936554.239998</v>
      </c>
      <c r="E164" s="93"/>
      <c r="F164" s="24">
        <f>((D164-B164)/B164)</f>
        <v>3.4129130896032051E-3</v>
      </c>
      <c r="G164" s="24"/>
      <c r="H164" s="81">
        <f>SUM(H153:H163)</f>
        <v>22955463973.109997</v>
      </c>
      <c r="I164" s="93"/>
      <c r="J164" s="24">
        <f t="shared" si="149"/>
        <v>5.1901628131463479E-3</v>
      </c>
      <c r="K164" s="24"/>
      <c r="L164" s="81">
        <f>SUM(L153:L163)</f>
        <v>23622969337.439999</v>
      </c>
      <c r="M164" s="93"/>
      <c r="N164" s="24">
        <f t="shared" si="150"/>
        <v>2.9078278056671684E-2</v>
      </c>
      <c r="O164" s="24"/>
      <c r="P164" s="81">
        <f>SUM(P153:P163)</f>
        <v>22775267421.450001</v>
      </c>
      <c r="Q164" s="93"/>
      <c r="R164" s="24">
        <f t="shared" si="151"/>
        <v>-3.5884647009488208E-2</v>
      </c>
      <c r="S164" s="24"/>
      <c r="T164" s="81">
        <f>SUM(T153:T163)</f>
        <v>23218611718.279995</v>
      </c>
      <c r="U164" s="93"/>
      <c r="V164" s="24">
        <f t="shared" si="152"/>
        <v>1.9466041325707888E-2</v>
      </c>
      <c r="W164" s="24"/>
      <c r="X164" s="81">
        <f>SUM(X153:X163)</f>
        <v>23178272501.200001</v>
      </c>
      <c r="Y164" s="93"/>
      <c r="Z164" s="24">
        <f t="shared" si="153"/>
        <v>-1.7373655914248813E-3</v>
      </c>
      <c r="AA164" s="24"/>
      <c r="AB164" s="81">
        <f>SUM(AB153:AB163)</f>
        <v>23806773999.320004</v>
      </c>
      <c r="AC164" s="93"/>
      <c r="AD164" s="24">
        <f t="shared" si="154"/>
        <v>2.7115976744490494E-2</v>
      </c>
      <c r="AE164" s="24"/>
      <c r="AF164" s="81">
        <f>SUM(AF153:AF163)</f>
        <v>23850690692.210003</v>
      </c>
      <c r="AG164" s="93"/>
      <c r="AH164" s="24">
        <f t="shared" si="155"/>
        <v>1.8447141511594048E-3</v>
      </c>
      <c r="AI164" s="24"/>
      <c r="AJ164" s="25">
        <f t="shared" si="123"/>
        <v>6.0607591974832413E-3</v>
      </c>
      <c r="AK164" s="25"/>
      <c r="AL164" s="26">
        <f t="shared" si="125"/>
        <v>4.4390986311243545E-2</v>
      </c>
      <c r="AM164" s="26"/>
      <c r="AN164" s="27">
        <f t="shared" si="127"/>
        <v>2.0697142191690849E-2</v>
      </c>
      <c r="AO164" s="84"/>
    </row>
    <row r="165" spans="1:41">
      <c r="A165" s="218" t="s">
        <v>32</v>
      </c>
      <c r="B165" s="330">
        <f>SUM(B21,B53,B86,B110,B117,B143,B149,B164)</f>
        <v>1383047379166.9146</v>
      </c>
      <c r="C165" s="93"/>
      <c r="D165" s="330">
        <f>SUM(D21,D53,D86,D110,D117,D143,D149,D164)</f>
        <v>1410877526772.1309</v>
      </c>
      <c r="E165" s="93"/>
      <c r="F165" s="24">
        <f>((D165-B165)/B165)</f>
        <v>2.0122338557902433E-2</v>
      </c>
      <c r="G165" s="24"/>
      <c r="H165" s="330">
        <f>SUM(H21,H53,H86,H110,H117,H143,H149,H164)</f>
        <v>1422950870882.5374</v>
      </c>
      <c r="I165" s="93"/>
      <c r="J165" s="24">
        <f t="shared" si="149"/>
        <v>8.5573296627868434E-3</v>
      </c>
      <c r="K165" s="24"/>
      <c r="L165" s="330">
        <f>SUM(L21,L53,L86,L110,L117,L143,L149,L164)</f>
        <v>1437907234781.4109</v>
      </c>
      <c r="M165" s="93"/>
      <c r="N165" s="24">
        <f t="shared" si="150"/>
        <v>1.0510808352502961E-2</v>
      </c>
      <c r="O165" s="24"/>
      <c r="P165" s="330">
        <f>SUM(P21,P53,P86,P110,P117,P143,P149,P164)</f>
        <v>1449213690676.6555</v>
      </c>
      <c r="Q165" s="93"/>
      <c r="R165" s="24">
        <f t="shared" si="151"/>
        <v>7.8631330462451045E-3</v>
      </c>
      <c r="S165" s="24"/>
      <c r="T165" s="330">
        <f>SUM(T21,T53,T86,T110,T117,T143,T149,T164)</f>
        <v>1469823604527.4382</v>
      </c>
      <c r="U165" s="93"/>
      <c r="V165" s="24">
        <f t="shared" si="152"/>
        <v>1.4221445728379571E-2</v>
      </c>
      <c r="W165" s="24"/>
      <c r="X165" s="330">
        <f>SUM(X21,X53,X86,X110,X117,X143,X149,X164)</f>
        <v>1490921997071.4626</v>
      </c>
      <c r="Y165" s="93"/>
      <c r="Z165" s="24">
        <f t="shared" si="153"/>
        <v>1.4354370469378699E-2</v>
      </c>
      <c r="AA165" s="24"/>
      <c r="AB165" s="330">
        <f>SUM(AB21,AB53,AB86,AB110,AB117,AB143,AB149,AB164)</f>
        <v>1512850065818.8408</v>
      </c>
      <c r="AC165" s="93"/>
      <c r="AD165" s="24">
        <f t="shared" si="154"/>
        <v>1.4707723670621462E-2</v>
      </c>
      <c r="AE165" s="24"/>
      <c r="AF165" s="330">
        <f>SUM(AF21,AF53,AF86,AF110,AF117,AF143,AF149,AF164)</f>
        <v>1523158681328.7776</v>
      </c>
      <c r="AG165" s="93"/>
      <c r="AH165" s="24">
        <f t="shared" si="155"/>
        <v>6.8140364619392445E-3</v>
      </c>
      <c r="AI165" s="24"/>
      <c r="AJ165" s="25">
        <f t="shared" si="123"/>
        <v>1.2143898243719541E-2</v>
      </c>
      <c r="AK165" s="25"/>
      <c r="AL165" s="26">
        <f t="shared" si="125"/>
        <v>7.9582495593028976E-2</v>
      </c>
      <c r="AM165" s="26"/>
      <c r="AN165" s="27">
        <f t="shared" si="127"/>
        <v>4.4991100031855982E-3</v>
      </c>
      <c r="AO165" s="84"/>
    </row>
    <row r="166" spans="1:41" s="118" customFormat="1" ht="6" customHeight="1">
      <c r="A166" s="218"/>
      <c r="B166" s="93"/>
      <c r="C166" s="93"/>
      <c r="D166" s="93"/>
      <c r="E166" s="93"/>
      <c r="F166" s="24"/>
      <c r="G166" s="24"/>
      <c r="H166" s="93"/>
      <c r="I166" s="93"/>
      <c r="J166" s="24"/>
      <c r="K166" s="24"/>
      <c r="L166" s="93"/>
      <c r="M166" s="93"/>
      <c r="N166" s="24"/>
      <c r="O166" s="24"/>
      <c r="P166" s="93"/>
      <c r="Q166" s="93"/>
      <c r="R166" s="24"/>
      <c r="S166" s="24"/>
      <c r="T166" s="93"/>
      <c r="U166" s="93"/>
      <c r="V166" s="24"/>
      <c r="W166" s="24"/>
      <c r="X166" s="93"/>
      <c r="Y166" s="93"/>
      <c r="Z166" s="24"/>
      <c r="AA166" s="24"/>
      <c r="AB166" s="93"/>
      <c r="AC166" s="93"/>
      <c r="AD166" s="24"/>
      <c r="AE166" s="24"/>
      <c r="AF166" s="93"/>
      <c r="AG166" s="93"/>
      <c r="AH166" s="24"/>
      <c r="AI166" s="24"/>
      <c r="AJ166" s="25"/>
      <c r="AK166" s="25"/>
      <c r="AL166" s="26"/>
      <c r="AM166" s="26"/>
      <c r="AN166" s="27"/>
      <c r="AO166" s="84"/>
    </row>
    <row r="167" spans="1:41" s="118" customFormat="1">
      <c r="A167" s="222" t="s">
        <v>217</v>
      </c>
      <c r="B167" s="93"/>
      <c r="C167" s="93"/>
      <c r="D167" s="93"/>
      <c r="E167" s="93"/>
      <c r="F167" s="24"/>
      <c r="G167" s="24"/>
      <c r="H167" s="93"/>
      <c r="I167" s="93"/>
      <c r="J167" s="24"/>
      <c r="K167" s="24"/>
      <c r="L167" s="93"/>
      <c r="M167" s="93"/>
      <c r="N167" s="24"/>
      <c r="O167" s="24"/>
      <c r="P167" s="93"/>
      <c r="Q167" s="93"/>
      <c r="R167" s="24"/>
      <c r="S167" s="24"/>
      <c r="T167" s="93"/>
      <c r="U167" s="93"/>
      <c r="V167" s="24"/>
      <c r="W167" s="24"/>
      <c r="X167" s="93"/>
      <c r="Y167" s="93"/>
      <c r="Z167" s="24"/>
      <c r="AA167" s="24"/>
      <c r="AB167" s="93"/>
      <c r="AC167" s="93"/>
      <c r="AD167" s="24"/>
      <c r="AE167" s="24"/>
      <c r="AF167" s="93"/>
      <c r="AG167" s="93"/>
      <c r="AH167" s="24"/>
      <c r="AI167" s="24"/>
      <c r="AJ167" s="25"/>
      <c r="AK167" s="25"/>
      <c r="AL167" s="26"/>
      <c r="AM167" s="26"/>
      <c r="AN167" s="27"/>
      <c r="AO167" s="84"/>
    </row>
    <row r="168" spans="1:41" s="118" customFormat="1">
      <c r="A168" s="223" t="s">
        <v>126</v>
      </c>
      <c r="B168" s="391">
        <v>90849121065</v>
      </c>
      <c r="C168" s="392">
        <v>107.59</v>
      </c>
      <c r="D168" s="391">
        <v>90849121065</v>
      </c>
      <c r="E168" s="392">
        <v>107.59</v>
      </c>
      <c r="F168" s="24">
        <f>((D168-B168)/B168)</f>
        <v>0</v>
      </c>
      <c r="G168" s="24">
        <f>((E168-C168)/C168)</f>
        <v>0</v>
      </c>
      <c r="H168" s="391">
        <v>90849121065</v>
      </c>
      <c r="I168" s="392">
        <v>107.59</v>
      </c>
      <c r="J168" s="24">
        <f t="shared" ref="J168:K169" si="156">((H168-D168)/D168)</f>
        <v>0</v>
      </c>
      <c r="K168" s="24">
        <f t="shared" si="156"/>
        <v>0</v>
      </c>
      <c r="L168" s="391">
        <v>90849121065</v>
      </c>
      <c r="M168" s="392">
        <v>107.59</v>
      </c>
      <c r="N168" s="24">
        <f t="shared" ref="N168:N169" si="157">((L168-H168)/H168)</f>
        <v>0</v>
      </c>
      <c r="O168" s="24">
        <f t="shared" ref="O168:O169" si="158">((M168-I168)/I168)</f>
        <v>0</v>
      </c>
      <c r="P168" s="391">
        <v>91117290437</v>
      </c>
      <c r="Q168" s="392">
        <v>107.59</v>
      </c>
      <c r="R168" s="24">
        <f t="shared" ref="R168:R169" si="159">((P168-L168)/L168)</f>
        <v>2.9518103076432885E-3</v>
      </c>
      <c r="S168" s="24">
        <f t="shared" ref="S168:S169" si="160">((Q168-M168)/M168)</f>
        <v>0</v>
      </c>
      <c r="T168" s="391">
        <v>91117290437</v>
      </c>
      <c r="U168" s="392">
        <v>107.59</v>
      </c>
      <c r="V168" s="24">
        <f t="shared" ref="V168:V169" si="161">((T168-P168)/P168)</f>
        <v>0</v>
      </c>
      <c r="W168" s="24">
        <f t="shared" ref="W168:W169" si="162">((U168-Q168)/Q168)</f>
        <v>0</v>
      </c>
      <c r="X168" s="391">
        <v>91117290437</v>
      </c>
      <c r="Y168" s="392">
        <v>107.59</v>
      </c>
      <c r="Z168" s="24">
        <f t="shared" ref="Z168" si="163">((X168-T168)/T168)</f>
        <v>0</v>
      </c>
      <c r="AA168" s="24">
        <f t="shared" ref="AA168" si="164">((Y168-U168)/U168)</f>
        <v>0</v>
      </c>
      <c r="AB168" s="391">
        <v>91117290437</v>
      </c>
      <c r="AC168" s="392">
        <v>107.59</v>
      </c>
      <c r="AD168" s="24">
        <f t="shared" ref="AD168" si="165">((AB168-X168)/X168)</f>
        <v>0</v>
      </c>
      <c r="AE168" s="24">
        <f t="shared" ref="AE168" si="166">((AC168-Y168)/Y168)</f>
        <v>0</v>
      </c>
      <c r="AF168" s="391">
        <v>91117290437</v>
      </c>
      <c r="AG168" s="392">
        <v>107.59</v>
      </c>
      <c r="AH168" s="24">
        <f t="shared" ref="AH168" si="167">((AF168-AB168)/AB168)</f>
        <v>0</v>
      </c>
      <c r="AI168" s="24">
        <f t="shared" ref="AI168" si="168">((AG168-AC168)/AC168)</f>
        <v>0</v>
      </c>
      <c r="AJ168" s="25">
        <f t="shared" si="123"/>
        <v>3.6897628845541106E-4</v>
      </c>
      <c r="AK168" s="25">
        <f t="shared" si="124"/>
        <v>0</v>
      </c>
      <c r="AL168" s="26">
        <f t="shared" si="125"/>
        <v>2.9518103076432885E-3</v>
      </c>
      <c r="AM168" s="26">
        <f t="shared" si="126"/>
        <v>0</v>
      </c>
      <c r="AN168" s="27">
        <f t="shared" si="127"/>
        <v>1.0436225426554591E-3</v>
      </c>
      <c r="AO168" s="84">
        <f t="shared" si="128"/>
        <v>0</v>
      </c>
    </row>
    <row r="169" spans="1:41" s="118" customFormat="1">
      <c r="A169" s="223" t="s">
        <v>265</v>
      </c>
      <c r="B169" s="391">
        <v>2093955874</v>
      </c>
      <c r="C169" s="393">
        <v>1000000</v>
      </c>
      <c r="D169" s="391">
        <v>2099666137</v>
      </c>
      <c r="E169" s="393">
        <v>1000000</v>
      </c>
      <c r="F169" s="24">
        <f>((D169-B169)/B169)</f>
        <v>2.7270216487857088E-3</v>
      </c>
      <c r="G169" s="24">
        <f>((E169-C169)/C169)</f>
        <v>0</v>
      </c>
      <c r="H169" s="391">
        <v>2106123700</v>
      </c>
      <c r="I169" s="393">
        <v>1000000</v>
      </c>
      <c r="J169" s="24">
        <f t="shared" si="156"/>
        <v>3.0755189533258637E-3</v>
      </c>
      <c r="K169" s="24">
        <f t="shared" si="156"/>
        <v>0</v>
      </c>
      <c r="L169" s="391">
        <v>2110816483</v>
      </c>
      <c r="M169" s="393">
        <v>1000000</v>
      </c>
      <c r="N169" s="24">
        <f t="shared" si="157"/>
        <v>2.2281611474197836E-3</v>
      </c>
      <c r="O169" s="24">
        <f t="shared" si="158"/>
        <v>0</v>
      </c>
      <c r="P169" s="391">
        <v>2116811773</v>
      </c>
      <c r="Q169" s="393">
        <v>1000000</v>
      </c>
      <c r="R169" s="24">
        <f t="shared" si="159"/>
        <v>2.8402706006346833E-3</v>
      </c>
      <c r="S169" s="24">
        <f t="shared" si="160"/>
        <v>0</v>
      </c>
      <c r="T169" s="391">
        <v>2138523179</v>
      </c>
      <c r="U169" s="393">
        <v>1000000</v>
      </c>
      <c r="V169" s="24">
        <f t="shared" si="161"/>
        <v>1.0256654028917289E-2</v>
      </c>
      <c r="W169" s="24">
        <f t="shared" si="162"/>
        <v>0</v>
      </c>
      <c r="X169" s="391">
        <v>2145217215</v>
      </c>
      <c r="Y169" s="393">
        <v>1000000</v>
      </c>
      <c r="Z169" s="24" t="e">
        <f>((#REF!-T169)/T169)</f>
        <v>#REF!</v>
      </c>
      <c r="AA169" s="24" t="e">
        <f>((#REF!-U169)/U169)</f>
        <v>#REF!</v>
      </c>
      <c r="AB169" s="391">
        <v>2151169989</v>
      </c>
      <c r="AC169" s="393">
        <v>1000000</v>
      </c>
      <c r="AD169" s="24" t="e">
        <f>((#REF!-X169)/X169)</f>
        <v>#REF!</v>
      </c>
      <c r="AE169" s="24" t="e">
        <f>((#REF!-Y169)/Y169)</f>
        <v>#REF!</v>
      </c>
      <c r="AF169" s="391">
        <v>2157122762</v>
      </c>
      <c r="AG169" s="393">
        <v>1000000</v>
      </c>
      <c r="AH169" s="24" t="e">
        <f>((#REF!-AB169)/AB169)</f>
        <v>#REF!</v>
      </c>
      <c r="AI169" s="24" t="e">
        <f>((#REF!-AC169)/AC169)</f>
        <v>#REF!</v>
      </c>
      <c r="AJ169" s="25" t="e">
        <f t="shared" si="123"/>
        <v>#REF!</v>
      </c>
      <c r="AK169" s="25" t="e">
        <f t="shared" si="124"/>
        <v>#REF!</v>
      </c>
      <c r="AL169" s="26">
        <f t="shared" si="125"/>
        <v>2.7364648115959019E-2</v>
      </c>
      <c r="AM169" s="26">
        <f t="shared" si="126"/>
        <v>0</v>
      </c>
      <c r="AN169" s="27" t="e">
        <f t="shared" si="127"/>
        <v>#REF!</v>
      </c>
      <c r="AO169" s="84" t="e">
        <f t="shared" si="128"/>
        <v>#REF!</v>
      </c>
    </row>
    <row r="170" spans="1:41" s="118" customFormat="1">
      <c r="A170" s="218" t="s">
        <v>46</v>
      </c>
      <c r="B170" s="82">
        <f>SUM(B168:B169)</f>
        <v>92943076939</v>
      </c>
      <c r="C170" s="93"/>
      <c r="D170" s="82">
        <f>SUM(D168:D169)</f>
        <v>92948787202</v>
      </c>
      <c r="E170" s="93"/>
      <c r="F170" s="24"/>
      <c r="G170" s="24"/>
      <c r="H170" s="82">
        <f>SUM(H168:H169)</f>
        <v>92955244765</v>
      </c>
      <c r="I170" s="93"/>
      <c r="J170" s="24"/>
      <c r="K170" s="24"/>
      <c r="L170" s="82">
        <f>SUM(L168:L169)</f>
        <v>92959937548</v>
      </c>
      <c r="M170" s="93"/>
      <c r="N170" s="24"/>
      <c r="O170" s="24"/>
      <c r="P170" s="82">
        <f>SUM(P168:P169)</f>
        <v>93234102210</v>
      </c>
      <c r="Q170" s="93"/>
      <c r="R170" s="24"/>
      <c r="S170" s="24"/>
      <c r="T170" s="82">
        <f>SUM(T168:T169)</f>
        <v>93255813616</v>
      </c>
      <c r="U170" s="93"/>
      <c r="V170" s="24"/>
      <c r="W170" s="24"/>
      <c r="X170" s="82">
        <f>SUM(X168:X169)</f>
        <v>93262507652</v>
      </c>
      <c r="Z170" s="24"/>
      <c r="AA170" s="24"/>
      <c r="AB170" s="82">
        <f>SUM(AB168:AB169)</f>
        <v>93268460426</v>
      </c>
      <c r="AC170" s="93"/>
      <c r="AD170" s="24"/>
      <c r="AE170" s="24"/>
      <c r="AF170" s="82">
        <f>SUM(AF168:AF169)</f>
        <v>93274413199</v>
      </c>
      <c r="AG170" s="93"/>
      <c r="AH170" s="24"/>
      <c r="AI170" s="24"/>
      <c r="AJ170" s="25"/>
      <c r="AK170" s="25"/>
      <c r="AL170" s="26"/>
      <c r="AM170" s="26"/>
      <c r="AN170" s="27"/>
      <c r="AO170" s="84"/>
    </row>
    <row r="171" spans="1:41" ht="6" customHeight="1">
      <c r="A171" s="217"/>
      <c r="B171" s="93"/>
      <c r="C171" s="93"/>
      <c r="D171" s="93"/>
      <c r="E171" s="93"/>
      <c r="F171" s="24"/>
      <c r="G171" s="24"/>
      <c r="H171" s="93"/>
      <c r="I171" s="93"/>
      <c r="J171" s="24"/>
      <c r="K171" s="24"/>
      <c r="L171" s="93"/>
      <c r="M171" s="93"/>
      <c r="N171" s="24"/>
      <c r="O171" s="24"/>
      <c r="P171" s="93"/>
      <c r="Q171" s="93"/>
      <c r="R171" s="24"/>
      <c r="S171" s="24"/>
      <c r="T171" s="93"/>
      <c r="U171" s="93"/>
      <c r="V171" s="24"/>
      <c r="W171" s="24"/>
      <c r="Y171" s="93"/>
      <c r="Z171" s="24"/>
      <c r="AA171" s="24"/>
      <c r="AB171" s="93"/>
      <c r="AC171" s="93"/>
      <c r="AD171" s="24"/>
      <c r="AE171" s="24"/>
      <c r="AF171" s="93"/>
      <c r="AG171" s="93"/>
      <c r="AH171" s="24"/>
      <c r="AI171" s="24"/>
      <c r="AJ171" s="25"/>
      <c r="AK171" s="25"/>
      <c r="AL171" s="26"/>
      <c r="AM171" s="26"/>
      <c r="AN171" s="27"/>
      <c r="AO171" s="84"/>
    </row>
    <row r="172" spans="1:41" ht="25.5">
      <c r="A172" s="213" t="s">
        <v>50</v>
      </c>
      <c r="B172" s="87" t="s">
        <v>78</v>
      </c>
      <c r="C172" s="88" t="s">
        <v>79</v>
      </c>
      <c r="D172" s="87" t="s">
        <v>78</v>
      </c>
      <c r="E172" s="88" t="s">
        <v>79</v>
      </c>
      <c r="F172" s="407" t="s">
        <v>77</v>
      </c>
      <c r="G172" s="407" t="s">
        <v>3</v>
      </c>
      <c r="H172" s="87" t="s">
        <v>78</v>
      </c>
      <c r="I172" s="88" t="s">
        <v>79</v>
      </c>
      <c r="J172" s="423" t="s">
        <v>77</v>
      </c>
      <c r="K172" s="423" t="s">
        <v>3</v>
      </c>
      <c r="L172" s="87" t="s">
        <v>78</v>
      </c>
      <c r="M172" s="88" t="s">
        <v>79</v>
      </c>
      <c r="N172" s="424" t="s">
        <v>77</v>
      </c>
      <c r="O172" s="424" t="s">
        <v>3</v>
      </c>
      <c r="P172" s="87" t="s">
        <v>78</v>
      </c>
      <c r="Q172" s="88" t="s">
        <v>79</v>
      </c>
      <c r="R172" s="425" t="s">
        <v>77</v>
      </c>
      <c r="S172" s="425" t="s">
        <v>3</v>
      </c>
      <c r="T172" s="87" t="s">
        <v>78</v>
      </c>
      <c r="U172" s="88" t="s">
        <v>79</v>
      </c>
      <c r="V172" s="426" t="s">
        <v>77</v>
      </c>
      <c r="W172" s="426" t="s">
        <v>3</v>
      </c>
      <c r="X172" s="87" t="s">
        <v>78</v>
      </c>
      <c r="Y172" s="88" t="s">
        <v>79</v>
      </c>
      <c r="Z172" s="432" t="s">
        <v>77</v>
      </c>
      <c r="AA172" s="432" t="s">
        <v>3</v>
      </c>
      <c r="AB172" s="87" t="s">
        <v>78</v>
      </c>
      <c r="AC172" s="88" t="s">
        <v>79</v>
      </c>
      <c r="AD172" s="434" t="s">
        <v>77</v>
      </c>
      <c r="AE172" s="434" t="s">
        <v>3</v>
      </c>
      <c r="AF172" s="87" t="s">
        <v>78</v>
      </c>
      <c r="AG172" s="88" t="s">
        <v>79</v>
      </c>
      <c r="AH172" s="444" t="s">
        <v>77</v>
      </c>
      <c r="AI172" s="444" t="s">
        <v>3</v>
      </c>
      <c r="AJ172" s="334" t="s">
        <v>83</v>
      </c>
      <c r="AK172" s="334" t="s">
        <v>83</v>
      </c>
      <c r="AL172" s="334" t="s">
        <v>83</v>
      </c>
      <c r="AM172" s="334" t="s">
        <v>83</v>
      </c>
      <c r="AN172" s="16" t="s">
        <v>83</v>
      </c>
      <c r="AO172" s="17" t="s">
        <v>83</v>
      </c>
    </row>
    <row r="173" spans="1:41">
      <c r="A173" s="217" t="s">
        <v>34</v>
      </c>
      <c r="B173" s="389">
        <v>2731162000</v>
      </c>
      <c r="C173" s="393">
        <v>18.41</v>
      </c>
      <c r="D173" s="389">
        <v>2794960000</v>
      </c>
      <c r="E173" s="393">
        <v>18.87</v>
      </c>
      <c r="F173" s="24">
        <f>((D173-B173)/B173)</f>
        <v>2.3359288097886542E-2</v>
      </c>
      <c r="G173" s="24">
        <f>((E173-C173)/C173)</f>
        <v>2.4986420423682827E-2</v>
      </c>
      <c r="H173" s="389">
        <v>2794960000</v>
      </c>
      <c r="I173" s="393">
        <v>18.88</v>
      </c>
      <c r="J173" s="24">
        <f t="shared" ref="J173:J184" si="169">((H173-D173)/D173)</f>
        <v>0</v>
      </c>
      <c r="K173" s="24">
        <f t="shared" ref="K173:K184" si="170">((I173-E173)/E173)</f>
        <v>5.2994170641218919E-4</v>
      </c>
      <c r="L173" s="389">
        <v>2869391000</v>
      </c>
      <c r="M173" s="393">
        <v>19.399999999999999</v>
      </c>
      <c r="N173" s="24">
        <f t="shared" ref="N173:N184" si="171">((L173-H173)/H173)</f>
        <v>2.6630434782608695E-2</v>
      </c>
      <c r="O173" s="24">
        <f t="shared" ref="O173:O184" si="172">((M173-I173)/I173)</f>
        <v>2.7542372881355911E-2</v>
      </c>
      <c r="P173" s="389">
        <v>2884581000</v>
      </c>
      <c r="Q173" s="393">
        <v>19.43</v>
      </c>
      <c r="R173" s="24">
        <f t="shared" ref="R173:R184" si="173">((P173-L173)/L173)</f>
        <v>5.2938062466913712E-3</v>
      </c>
      <c r="S173" s="24">
        <f t="shared" ref="S173:S184" si="174">((Q173-M173)/M173)</f>
        <v>1.5463917525773783E-3</v>
      </c>
      <c r="T173" s="389">
        <v>2884581000</v>
      </c>
      <c r="U173" s="393">
        <v>19.420000000000002</v>
      </c>
      <c r="V173" s="24">
        <f t="shared" ref="V173:V184" si="175">((T173-P173)/P173)</f>
        <v>0</v>
      </c>
      <c r="W173" s="24">
        <f t="shared" ref="W173:W184" si="176">((U173-Q173)/Q173)</f>
        <v>-5.1466803911466856E-4</v>
      </c>
      <c r="X173" s="389">
        <v>3208128000</v>
      </c>
      <c r="Y173" s="393">
        <v>19.899999999999999</v>
      </c>
      <c r="Z173" s="24">
        <f t="shared" ref="Z173:Z184" si="177">((X173-T173)/T173)</f>
        <v>0.11216429699842022</v>
      </c>
      <c r="AA173" s="24">
        <f t="shared" ref="AA173:AA184" si="178">((Y173-U173)/U173)</f>
        <v>2.4716786817713533E-2</v>
      </c>
      <c r="AB173" s="389">
        <v>3881045000</v>
      </c>
      <c r="AC173" s="393">
        <v>19.97</v>
      </c>
      <c r="AD173" s="24">
        <f t="shared" ref="AD173:AD184" si="179">((AB173-X173)/X173)</f>
        <v>0.20975378787878787</v>
      </c>
      <c r="AE173" s="24">
        <f t="shared" ref="AE173:AE184" si="180">((AC173-Y173)/Y173)</f>
        <v>3.5175879396985069E-3</v>
      </c>
      <c r="AF173" s="389">
        <v>3144330000</v>
      </c>
      <c r="AG173" s="393">
        <v>19.760000000000002</v>
      </c>
      <c r="AH173" s="24">
        <f t="shared" ref="AH173:AH184" si="181">((AF173-AB173)/AB173)</f>
        <v>-0.18982387475538159</v>
      </c>
      <c r="AI173" s="24">
        <f t="shared" ref="AI173:AI184" si="182">((AG173-AC173)/AC173)</f>
        <v>-1.0515773660490602E-2</v>
      </c>
      <c r="AJ173" s="25">
        <f t="shared" ref="AJ173" si="183">AVERAGE(F173,J173,N173,R173,V173,Z173,AD173,AH173)</f>
        <v>2.3422217406126634E-2</v>
      </c>
      <c r="AK173" s="25">
        <f t="shared" ref="AK173" si="184">AVERAGE(G173,K173,O173,S173,W173,AA173,AE173,AI173)</f>
        <v>8.9761324777293833E-3</v>
      </c>
      <c r="AL173" s="26">
        <f t="shared" ref="AL173" si="185">((AF173-D173)/D173)</f>
        <v>0.125</v>
      </c>
      <c r="AM173" s="26">
        <f t="shared" ref="AM173" si="186">((AG173-E173)/E173)</f>
        <v>4.7164811870694254E-2</v>
      </c>
      <c r="AN173" s="27">
        <f t="shared" ref="AN173" si="187">STDEV(F173,J173,N173,R173,V173,Z173,AD173,AH173)</f>
        <v>0.11307686583771591</v>
      </c>
      <c r="AO173" s="84">
        <f t="shared" ref="AO173" si="188">STDEV(G173,K173,O173,S173,W173,AA173,AE173,AI173)</f>
        <v>1.4516726291234319E-2</v>
      </c>
    </row>
    <row r="174" spans="1:41">
      <c r="A174" s="217" t="s">
        <v>64</v>
      </c>
      <c r="B174" s="80">
        <v>360413736.38999999</v>
      </c>
      <c r="C174" s="393">
        <v>4.28</v>
      </c>
      <c r="D174" s="80">
        <v>360413736.38999999</v>
      </c>
      <c r="E174" s="393">
        <v>4.2300000000000004</v>
      </c>
      <c r="F174" s="24">
        <f>((D174-B174)/B174)</f>
        <v>0</v>
      </c>
      <c r="G174" s="24">
        <f>((E174-C174)/C174)</f>
        <v>-1.1682242990654164E-2</v>
      </c>
      <c r="H174" s="80">
        <v>370638239.55000001</v>
      </c>
      <c r="I174" s="393">
        <v>4.4000000000000004</v>
      </c>
      <c r="J174" s="24">
        <f t="shared" si="169"/>
        <v>2.8368794326241207E-2</v>
      </c>
      <c r="K174" s="24">
        <f t="shared" si="170"/>
        <v>4.0189125295508256E-2</v>
      </c>
      <c r="L174" s="80">
        <v>383418868.5</v>
      </c>
      <c r="M174" s="393">
        <v>4.5599999999999996</v>
      </c>
      <c r="N174" s="24">
        <f t="shared" si="171"/>
        <v>3.448275862068962E-2</v>
      </c>
      <c r="O174" s="24">
        <f t="shared" si="172"/>
        <v>3.6363636363636188E-2</v>
      </c>
      <c r="P174" s="80">
        <v>374046407.26999998</v>
      </c>
      <c r="Q174" s="393">
        <v>4.4400000000000004</v>
      </c>
      <c r="R174" s="24">
        <f t="shared" si="173"/>
        <v>-2.4444444444444494E-2</v>
      </c>
      <c r="S174" s="24">
        <f t="shared" si="174"/>
        <v>-2.6315789473684043E-2</v>
      </c>
      <c r="T174" s="80">
        <v>374046407.26999998</v>
      </c>
      <c r="U174" s="393">
        <v>4.51</v>
      </c>
      <c r="V174" s="24">
        <f t="shared" si="175"/>
        <v>0</v>
      </c>
      <c r="W174" s="24">
        <f t="shared" si="176"/>
        <v>1.5765765765765629E-2</v>
      </c>
      <c r="X174" s="80">
        <v>420056671.49000001</v>
      </c>
      <c r="Y174" s="393">
        <v>4.62</v>
      </c>
      <c r="Z174" s="24">
        <f t="shared" si="177"/>
        <v>0.12300683371298414</v>
      </c>
      <c r="AA174" s="24">
        <f t="shared" si="178"/>
        <v>2.4390243902439098E-2</v>
      </c>
      <c r="AB174" s="80">
        <v>461806726.06</v>
      </c>
      <c r="AC174" s="393">
        <v>4.58</v>
      </c>
      <c r="AD174" s="24">
        <f t="shared" si="179"/>
        <v>9.9391480730223108E-2</v>
      </c>
      <c r="AE174" s="24">
        <f t="shared" si="180"/>
        <v>-8.6580086580086649E-3</v>
      </c>
      <c r="AF174" s="80">
        <v>421760755.35000002</v>
      </c>
      <c r="AG174" s="393">
        <v>4.5199999999999996</v>
      </c>
      <c r="AH174" s="24">
        <f t="shared" si="181"/>
        <v>-8.6715867158671536E-2</v>
      </c>
      <c r="AI174" s="24">
        <f t="shared" si="182"/>
        <v>-1.3100436681222816E-2</v>
      </c>
      <c r="AJ174" s="25">
        <f t="shared" ref="AJ174:AJ186" si="189">AVERAGE(F174,J174,N174,R174,V174,Z174,AD174,AH174)</f>
        <v>2.1761194473377758E-2</v>
      </c>
      <c r="AK174" s="25">
        <f t="shared" ref="AK174:AK186" si="190">AVERAGE(G174,K174,O174,S174,W174,AA174,AE174,AI174)</f>
        <v>7.1190366904724358E-3</v>
      </c>
      <c r="AL174" s="26">
        <f t="shared" ref="AL174:AL186" si="191">((AF174-D174)/D174)</f>
        <v>0.17021276595744692</v>
      </c>
      <c r="AM174" s="26">
        <f t="shared" ref="AM174:AM186" si="192">((AG174-E174)/E174)</f>
        <v>6.8557919621749203E-2</v>
      </c>
      <c r="AN174" s="27">
        <f t="shared" ref="AN174:AN186" si="193">STDEV(F174,J174,N174,R174,V174,Z174,AD174,AH174)</f>
        <v>6.6902885393114966E-2</v>
      </c>
      <c r="AO174" s="84">
        <f t="shared" ref="AO174:AO186" si="194">STDEV(G174,K174,O174,S174,W174,AA174,AE174,AI174)</f>
        <v>2.5216366211198087E-2</v>
      </c>
    </row>
    <row r="175" spans="1:41">
      <c r="A175" s="217" t="s">
        <v>54</v>
      </c>
      <c r="B175" s="389">
        <v>144328433.91999999</v>
      </c>
      <c r="C175" s="393">
        <v>5.67</v>
      </c>
      <c r="D175" s="389">
        <v>151005550.08000001</v>
      </c>
      <c r="E175" s="393">
        <v>5.94</v>
      </c>
      <c r="F175" s="24">
        <f>((D175-B175)/B175)</f>
        <v>4.6263345195729721E-2</v>
      </c>
      <c r="G175" s="24">
        <f>((E175-C175)/C175)</f>
        <v>4.76190476190477E-2</v>
      </c>
      <c r="H175" s="389">
        <v>161021224.31999999</v>
      </c>
      <c r="I175" s="393">
        <v>6.32</v>
      </c>
      <c r="J175" s="24">
        <f t="shared" si="169"/>
        <v>6.6326530612244763E-2</v>
      </c>
      <c r="K175" s="24">
        <f t="shared" si="170"/>
        <v>6.3973063973063946E-2</v>
      </c>
      <c r="L175" s="389">
        <v>162305285.12</v>
      </c>
      <c r="M175" s="393">
        <v>6.36</v>
      </c>
      <c r="N175" s="24">
        <f t="shared" si="171"/>
        <v>7.974481658692259E-3</v>
      </c>
      <c r="O175" s="24">
        <f t="shared" si="172"/>
        <v>6.329113924050638E-3</v>
      </c>
      <c r="P175" s="389">
        <v>162305285.12</v>
      </c>
      <c r="Q175" s="393">
        <v>6.34</v>
      </c>
      <c r="R175" s="24">
        <f t="shared" si="173"/>
        <v>0</v>
      </c>
      <c r="S175" s="24">
        <f t="shared" si="174"/>
        <v>-3.1446540880503871E-3</v>
      </c>
      <c r="T175" s="389">
        <v>162305285.12</v>
      </c>
      <c r="U175" s="393">
        <v>6.27</v>
      </c>
      <c r="V175" s="24">
        <f t="shared" si="175"/>
        <v>0</v>
      </c>
      <c r="W175" s="24">
        <f t="shared" si="176"/>
        <v>-1.1041009463722443E-2</v>
      </c>
      <c r="X175" s="389">
        <v>159737163.52000001</v>
      </c>
      <c r="Y175" s="393">
        <v>6.24</v>
      </c>
      <c r="Z175" s="24">
        <f t="shared" si="177"/>
        <v>-1.5822784810126545E-2</v>
      </c>
      <c r="AA175" s="24">
        <f t="shared" si="178"/>
        <v>-4.7846889952152093E-3</v>
      </c>
      <c r="AB175" s="389">
        <v>159737163.52000001</v>
      </c>
      <c r="AC175" s="393">
        <v>6.2</v>
      </c>
      <c r="AD175" s="24">
        <f t="shared" si="179"/>
        <v>0</v>
      </c>
      <c r="AE175" s="24">
        <f t="shared" si="180"/>
        <v>-6.4102564102564161E-3</v>
      </c>
      <c r="AF175" s="389">
        <v>159737163.52000001</v>
      </c>
      <c r="AG175" s="393">
        <v>6.24</v>
      </c>
      <c r="AH175" s="24">
        <f t="shared" si="181"/>
        <v>0</v>
      </c>
      <c r="AI175" s="24">
        <f t="shared" si="182"/>
        <v>6.4516129032258117E-3</v>
      </c>
      <c r="AJ175" s="25">
        <f t="shared" si="189"/>
        <v>1.3092696582067525E-2</v>
      </c>
      <c r="AK175" s="25">
        <f t="shared" si="190"/>
        <v>1.2374028682767955E-2</v>
      </c>
      <c r="AL175" s="26">
        <f t="shared" si="191"/>
        <v>5.7823129251700661E-2</v>
      </c>
      <c r="AM175" s="26">
        <f t="shared" si="192"/>
        <v>5.0505050505050469E-2</v>
      </c>
      <c r="AN175" s="27">
        <f t="shared" si="193"/>
        <v>2.7984967950434744E-2</v>
      </c>
      <c r="AO175" s="84">
        <f t="shared" si="194"/>
        <v>2.78071221374399E-2</v>
      </c>
    </row>
    <row r="176" spans="1:41">
      <c r="A176" s="217" t="s">
        <v>55</v>
      </c>
      <c r="B176" s="80">
        <v>252531286.77000001</v>
      </c>
      <c r="C176" s="393">
        <v>24.1</v>
      </c>
      <c r="D176" s="80">
        <v>252531286.77000001</v>
      </c>
      <c r="E176" s="393">
        <v>24.13</v>
      </c>
      <c r="F176" s="24">
        <f>((D176-B176)/B176)</f>
        <v>0</v>
      </c>
      <c r="G176" s="24">
        <f>((E176-C176)/C176)</f>
        <v>1.2448132780081985E-3</v>
      </c>
      <c r="H176" s="80">
        <v>251057573.55000001</v>
      </c>
      <c r="I176" s="393">
        <v>23.99</v>
      </c>
      <c r="J176" s="24">
        <f t="shared" si="169"/>
        <v>-5.835764902042513E-3</v>
      </c>
      <c r="K176" s="24">
        <f t="shared" si="170"/>
        <v>-5.8019063406548107E-3</v>
      </c>
      <c r="L176" s="80">
        <v>260005118.09999999</v>
      </c>
      <c r="M176" s="393">
        <v>24.79</v>
      </c>
      <c r="N176" s="24">
        <f t="shared" si="171"/>
        <v>3.5639412997903491E-2</v>
      </c>
      <c r="O176" s="24">
        <f t="shared" si="172"/>
        <v>3.3347228011671559E-2</v>
      </c>
      <c r="P176" s="80">
        <v>257162956.88999999</v>
      </c>
      <c r="Q176" s="393">
        <v>24.53</v>
      </c>
      <c r="R176" s="24">
        <f t="shared" si="173"/>
        <v>-1.0931174089068858E-2</v>
      </c>
      <c r="S176" s="24">
        <f t="shared" si="174"/>
        <v>-1.0488100040338767E-2</v>
      </c>
      <c r="T176" s="80">
        <v>257162956.88999999</v>
      </c>
      <c r="U176" s="393">
        <v>24.62</v>
      </c>
      <c r="V176" s="24">
        <f t="shared" si="175"/>
        <v>0</v>
      </c>
      <c r="W176" s="24">
        <f t="shared" si="176"/>
        <v>3.6689767631471609E-3</v>
      </c>
      <c r="X176" s="80">
        <v>258426139.65000001</v>
      </c>
      <c r="Y176" s="393">
        <v>24.65</v>
      </c>
      <c r="Z176" s="24">
        <f t="shared" si="177"/>
        <v>4.9119934506754778E-3</v>
      </c>
      <c r="AA176" s="24">
        <f t="shared" si="178"/>
        <v>1.2185215272135493E-3</v>
      </c>
      <c r="AB176" s="80">
        <v>258426139.65000001</v>
      </c>
      <c r="AC176" s="393">
        <v>24.65</v>
      </c>
      <c r="AD176" s="24">
        <f t="shared" si="179"/>
        <v>0</v>
      </c>
      <c r="AE176" s="24">
        <f t="shared" si="180"/>
        <v>0</v>
      </c>
      <c r="AF176" s="80">
        <v>258426139.65000001</v>
      </c>
      <c r="AG176" s="393">
        <v>24.82</v>
      </c>
      <c r="AH176" s="24">
        <f t="shared" si="181"/>
        <v>0</v>
      </c>
      <c r="AI176" s="24">
        <f t="shared" si="182"/>
        <v>6.8965517241380003E-3</v>
      </c>
      <c r="AJ176" s="25">
        <f t="shared" si="189"/>
        <v>2.9730584321834494E-3</v>
      </c>
      <c r="AK176" s="25">
        <f t="shared" si="190"/>
        <v>3.7607606153981115E-3</v>
      </c>
      <c r="AL176" s="26">
        <f t="shared" si="191"/>
        <v>2.3343059608170052E-2</v>
      </c>
      <c r="AM176" s="26">
        <f t="shared" si="192"/>
        <v>2.8595109821798644E-2</v>
      </c>
      <c r="AN176" s="27">
        <f t="shared" si="193"/>
        <v>1.4026146736529682E-2</v>
      </c>
      <c r="AO176" s="84">
        <f t="shared" si="194"/>
        <v>1.3129093013148173E-2</v>
      </c>
    </row>
    <row r="177" spans="1:41">
      <c r="A177" s="217" t="s">
        <v>98</v>
      </c>
      <c r="B177" s="389">
        <v>584133168.87</v>
      </c>
      <c r="C177" s="393">
        <v>145.02000000000001</v>
      </c>
      <c r="D177" s="389">
        <v>584133168.87</v>
      </c>
      <c r="E177" s="393">
        <v>145.41999999999999</v>
      </c>
      <c r="F177" s="24">
        <f>((D177-B177)/B177)</f>
        <v>0</v>
      </c>
      <c r="G177" s="24">
        <f>((E177-C177)/C177)</f>
        <v>2.7582402427249846E-3</v>
      </c>
      <c r="H177" s="389">
        <v>584133168.87</v>
      </c>
      <c r="I177" s="393">
        <v>146.47999999999999</v>
      </c>
      <c r="J177" s="24">
        <f t="shared" si="169"/>
        <v>0</v>
      </c>
      <c r="K177" s="24">
        <f t="shared" si="170"/>
        <v>7.2892311924082128E-3</v>
      </c>
      <c r="L177" s="389">
        <v>584133168.87</v>
      </c>
      <c r="M177" s="393">
        <v>145.55000000000001</v>
      </c>
      <c r="N177" s="24">
        <f t="shared" si="171"/>
        <v>0</v>
      </c>
      <c r="O177" s="24">
        <f t="shared" si="172"/>
        <v>-6.3489896231565977E-3</v>
      </c>
      <c r="P177" s="389">
        <v>580612809.87</v>
      </c>
      <c r="Q177" s="393">
        <v>142.26</v>
      </c>
      <c r="R177" s="24">
        <f t="shared" si="173"/>
        <v>-6.0266377388055207E-3</v>
      </c>
      <c r="S177" s="24">
        <f t="shared" si="174"/>
        <v>-2.2603916180007011E-2</v>
      </c>
      <c r="T177" s="389">
        <v>575332271.37</v>
      </c>
      <c r="U177" s="393">
        <v>142.30000000000001</v>
      </c>
      <c r="V177" s="24">
        <f t="shared" si="175"/>
        <v>-9.0947674771115015E-3</v>
      </c>
      <c r="W177" s="24">
        <f t="shared" si="176"/>
        <v>2.8117531280767938E-4</v>
      </c>
      <c r="X177" s="389">
        <v>575332271.37</v>
      </c>
      <c r="Y177" s="393">
        <v>141.9</v>
      </c>
      <c r="Z177" s="24">
        <f t="shared" si="177"/>
        <v>0</v>
      </c>
      <c r="AA177" s="24">
        <f t="shared" si="178"/>
        <v>-2.8109627547435396E-3</v>
      </c>
      <c r="AB177" s="389">
        <v>573572091.87</v>
      </c>
      <c r="AC177" s="393">
        <v>142.15</v>
      </c>
      <c r="AD177" s="24">
        <f t="shared" si="179"/>
        <v>-3.0594138163127942E-3</v>
      </c>
      <c r="AE177" s="24">
        <f t="shared" si="180"/>
        <v>1.7618040873854826E-3</v>
      </c>
      <c r="AF177" s="389">
        <v>571811912.37</v>
      </c>
      <c r="AG177" s="393">
        <v>142.12</v>
      </c>
      <c r="AH177" s="24">
        <f t="shared" si="181"/>
        <v>-3.0688025532437241E-3</v>
      </c>
      <c r="AI177" s="24">
        <f t="shared" si="182"/>
        <v>-2.1104467112206216E-4</v>
      </c>
      <c r="AJ177" s="25">
        <f t="shared" si="189"/>
        <v>-2.6562026981841926E-3</v>
      </c>
      <c r="AK177" s="25">
        <f t="shared" si="190"/>
        <v>-2.4855577992128558E-3</v>
      </c>
      <c r="AL177" s="26">
        <f t="shared" si="191"/>
        <v>-2.109323208581932E-2</v>
      </c>
      <c r="AM177" s="26">
        <f t="shared" si="192"/>
        <v>-2.2692889561270687E-2</v>
      </c>
      <c r="AN177" s="27">
        <f t="shared" si="193"/>
        <v>3.4094284757132986E-3</v>
      </c>
      <c r="AO177" s="84">
        <f t="shared" si="194"/>
        <v>9.052959741712727E-3</v>
      </c>
    </row>
    <row r="178" spans="1:41">
      <c r="A178" s="217" t="s">
        <v>36</v>
      </c>
      <c r="B178" s="389">
        <v>539330479.60000002</v>
      </c>
      <c r="C178" s="393">
        <v>10100.200000000001</v>
      </c>
      <c r="D178" s="389">
        <v>539330479.60000002</v>
      </c>
      <c r="E178" s="393">
        <v>10100.200000000001</v>
      </c>
      <c r="F178" s="24">
        <f>((D178-B178)/B178)</f>
        <v>0</v>
      </c>
      <c r="G178" s="24">
        <f>((E178-C178)/C178)</f>
        <v>0</v>
      </c>
      <c r="H178" s="389">
        <v>619416800</v>
      </c>
      <c r="I178" s="393">
        <v>11600</v>
      </c>
      <c r="J178" s="24">
        <f t="shared" si="169"/>
        <v>0.14849210906714713</v>
      </c>
      <c r="K178" s="24">
        <f t="shared" si="170"/>
        <v>0.1484921090671471</v>
      </c>
      <c r="L178" s="389">
        <v>593251780</v>
      </c>
      <c r="M178" s="393">
        <v>11110</v>
      </c>
      <c r="N178" s="24">
        <f t="shared" si="171"/>
        <v>-4.2241379310344829E-2</v>
      </c>
      <c r="O178" s="24">
        <f t="shared" si="172"/>
        <v>-4.2241379310344829E-2</v>
      </c>
      <c r="P178" s="389">
        <v>592717800</v>
      </c>
      <c r="Q178" s="393">
        <v>11100</v>
      </c>
      <c r="R178" s="24">
        <f t="shared" si="173"/>
        <v>-9.0009000900090005E-4</v>
      </c>
      <c r="S178" s="24">
        <f t="shared" si="174"/>
        <v>-9.0009000900090005E-4</v>
      </c>
      <c r="T178" s="389">
        <v>656544429.39999998</v>
      </c>
      <c r="U178" s="393">
        <v>12295.3</v>
      </c>
      <c r="V178" s="24">
        <f t="shared" si="175"/>
        <v>0.10768468468468465</v>
      </c>
      <c r="W178" s="24">
        <f t="shared" si="176"/>
        <v>0.10768468468468462</v>
      </c>
      <c r="X178" s="389">
        <v>539346499</v>
      </c>
      <c r="Y178" s="393">
        <v>10100</v>
      </c>
      <c r="Z178" s="24">
        <f t="shared" si="177"/>
        <v>-0.17850723447170866</v>
      </c>
      <c r="AA178" s="24">
        <f t="shared" si="178"/>
        <v>-0.17854790041723256</v>
      </c>
      <c r="AB178" s="389">
        <v>655567246</v>
      </c>
      <c r="AC178" s="393">
        <v>12277</v>
      </c>
      <c r="AD178" s="24">
        <f t="shared" si="179"/>
        <v>0.21548438196128905</v>
      </c>
      <c r="AE178" s="24">
        <f t="shared" si="180"/>
        <v>0.21554455445544554</v>
      </c>
      <c r="AF178" s="389">
        <v>640721534.03999996</v>
      </c>
      <c r="AG178" s="393">
        <v>11998.98</v>
      </c>
      <c r="AH178" s="24">
        <f t="shared" si="181"/>
        <v>-2.2645597458662597E-2</v>
      </c>
      <c r="AI178" s="24">
        <f t="shared" si="182"/>
        <v>-2.2645597458662577E-2</v>
      </c>
      <c r="AJ178" s="25">
        <f t="shared" si="189"/>
        <v>2.842085930792548E-2</v>
      </c>
      <c r="AK178" s="25">
        <f t="shared" si="190"/>
        <v>2.842329762650455E-2</v>
      </c>
      <c r="AL178" s="26">
        <f t="shared" si="191"/>
        <v>0.18799429714263072</v>
      </c>
      <c r="AM178" s="26">
        <f t="shared" si="192"/>
        <v>0.18799429714263072</v>
      </c>
      <c r="AN178" s="27">
        <f t="shared" si="193"/>
        <v>0.12408537085452967</v>
      </c>
      <c r="AO178" s="84">
        <f t="shared" si="194"/>
        <v>0.12410801865325315</v>
      </c>
    </row>
    <row r="179" spans="1:41">
      <c r="A179" s="217" t="s">
        <v>51</v>
      </c>
      <c r="B179" s="389">
        <v>505948331.72000003</v>
      </c>
      <c r="C179" s="393">
        <v>15.15</v>
      </c>
      <c r="D179" s="389">
        <v>516665533.60000002</v>
      </c>
      <c r="E179" s="393">
        <v>15.47</v>
      </c>
      <c r="F179" s="24">
        <f>((D179-B179)/B179)</f>
        <v>2.118240383077509E-2</v>
      </c>
      <c r="G179" s="24">
        <f>((E179-C179)/C179)</f>
        <v>2.112211221122114E-2</v>
      </c>
      <c r="H179" s="389">
        <v>527108880.82999998</v>
      </c>
      <c r="I179" s="393">
        <v>15.78</v>
      </c>
      <c r="J179" s="24">
        <f t="shared" si="169"/>
        <v>2.0212974450285567E-2</v>
      </c>
      <c r="K179" s="24">
        <f t="shared" si="170"/>
        <v>2.0038784744667013E-2</v>
      </c>
      <c r="L179" s="389">
        <v>540084815.85000002</v>
      </c>
      <c r="M179" s="393">
        <v>16.170000000000002</v>
      </c>
      <c r="N179" s="24">
        <f t="shared" si="171"/>
        <v>2.4617181557570762E-2</v>
      </c>
      <c r="O179" s="24">
        <f t="shared" si="172"/>
        <v>2.4714828897338552E-2</v>
      </c>
      <c r="P179" s="389">
        <v>542942485.16999996</v>
      </c>
      <c r="Q179" s="393">
        <v>16.260000000000002</v>
      </c>
      <c r="R179" s="24">
        <f t="shared" si="173"/>
        <v>5.2911491605303817E-3</v>
      </c>
      <c r="S179" s="24">
        <f t="shared" si="174"/>
        <v>5.5658627087198419E-3</v>
      </c>
      <c r="T179" s="389">
        <v>542561141.20000005</v>
      </c>
      <c r="U179" s="393">
        <v>16.239999999999998</v>
      </c>
      <c r="V179" s="24">
        <f t="shared" si="175"/>
        <v>-7.0236531569362699E-4</v>
      </c>
      <c r="W179" s="24">
        <f t="shared" si="176"/>
        <v>-1.2300123001231934E-3</v>
      </c>
      <c r="X179" s="389">
        <v>556354073.90999997</v>
      </c>
      <c r="Y179" s="393">
        <v>16.66</v>
      </c>
      <c r="Z179" s="24">
        <f t="shared" si="177"/>
        <v>2.5421895640173647E-2</v>
      </c>
      <c r="AA179" s="24">
        <f t="shared" si="178"/>
        <v>2.5862068965517349E-2</v>
      </c>
      <c r="AB179" s="389">
        <v>558941668.99000001</v>
      </c>
      <c r="AC179" s="393">
        <v>16.73</v>
      </c>
      <c r="AD179" s="24">
        <f t="shared" si="179"/>
        <v>4.6509861279790538E-3</v>
      </c>
      <c r="AE179" s="24">
        <f t="shared" si="180"/>
        <v>4.2016806722689247E-3</v>
      </c>
      <c r="AF179" s="389">
        <v>547986915.36000001</v>
      </c>
      <c r="AG179" s="393">
        <v>16.41</v>
      </c>
      <c r="AH179" s="24">
        <f t="shared" si="181"/>
        <v>-1.9599099937914963E-2</v>
      </c>
      <c r="AI179" s="24">
        <f t="shared" si="182"/>
        <v>-1.9127316198445921E-2</v>
      </c>
      <c r="AJ179" s="25">
        <f t="shared" si="189"/>
        <v>1.0134390689213239E-2</v>
      </c>
      <c r="AK179" s="25">
        <f t="shared" si="190"/>
        <v>1.0143501212645463E-2</v>
      </c>
      <c r="AL179" s="26">
        <f t="shared" si="191"/>
        <v>6.0622162159260376E-2</v>
      </c>
      <c r="AM179" s="26">
        <f t="shared" si="192"/>
        <v>6.0762766645119551E-2</v>
      </c>
      <c r="AN179" s="27">
        <f t="shared" si="193"/>
        <v>1.5685006232696159E-2</v>
      </c>
      <c r="AO179" s="84">
        <f t="shared" si="194"/>
        <v>1.5676374696970488E-2</v>
      </c>
    </row>
    <row r="180" spans="1:41">
      <c r="A180" s="217" t="s">
        <v>44</v>
      </c>
      <c r="B180" s="389">
        <v>437443348.13</v>
      </c>
      <c r="C180" s="393">
        <v>102.53</v>
      </c>
      <c r="D180" s="389">
        <v>446968901.43000001</v>
      </c>
      <c r="E180" s="393">
        <v>104.76</v>
      </c>
      <c r="F180" s="24">
        <f>((D180-B180)/B180)</f>
        <v>2.1775512968068258E-2</v>
      </c>
      <c r="G180" s="24">
        <f>((E180-C180)/C180)</f>
        <v>2.1749731785818825E-2</v>
      </c>
      <c r="H180" s="389">
        <v>445610215.69</v>
      </c>
      <c r="I180" s="393">
        <v>104.43</v>
      </c>
      <c r="J180" s="24">
        <f t="shared" si="169"/>
        <v>-3.0397768964532624E-3</v>
      </c>
      <c r="K180" s="24">
        <f t="shared" si="170"/>
        <v>-3.1500572737685976E-3</v>
      </c>
      <c r="L180" s="389">
        <v>466090081.55000001</v>
      </c>
      <c r="M180" s="393">
        <v>109.25</v>
      </c>
      <c r="N180" s="24">
        <f t="shared" si="171"/>
        <v>4.5959148015240633E-2</v>
      </c>
      <c r="O180" s="24">
        <f t="shared" si="172"/>
        <v>4.6155319352676367E-2</v>
      </c>
      <c r="P180" s="389">
        <v>466627258.92000002</v>
      </c>
      <c r="Q180" s="393">
        <v>109.38</v>
      </c>
      <c r="R180" s="24">
        <f t="shared" si="173"/>
        <v>1.1525183462681749E-3</v>
      </c>
      <c r="S180" s="24">
        <f t="shared" si="174"/>
        <v>1.1899313501143747E-3</v>
      </c>
      <c r="T180" s="389">
        <v>465985818.86000001</v>
      </c>
      <c r="U180" s="393">
        <v>109.23</v>
      </c>
      <c r="V180" s="24">
        <f t="shared" si="175"/>
        <v>-1.3746304951935369E-3</v>
      </c>
      <c r="W180" s="24">
        <f t="shared" si="176"/>
        <v>-1.3713658804168174E-3</v>
      </c>
      <c r="X180" s="389">
        <v>477270455.54000002</v>
      </c>
      <c r="Y180" s="393">
        <v>111.87</v>
      </c>
      <c r="Z180" s="24">
        <f t="shared" si="177"/>
        <v>2.4216695494311477E-2</v>
      </c>
      <c r="AA180" s="24">
        <f t="shared" si="178"/>
        <v>2.4169184290030215E-2</v>
      </c>
      <c r="AB180" s="389">
        <v>478721776.20999998</v>
      </c>
      <c r="AC180" s="393">
        <v>112.21</v>
      </c>
      <c r="AD180" s="24">
        <f t="shared" si="179"/>
        <v>3.0408768302196362E-3</v>
      </c>
      <c r="AE180" s="24">
        <f t="shared" si="180"/>
        <v>3.0392419772949778E-3</v>
      </c>
      <c r="AF180" s="389">
        <v>473423951.35000002</v>
      </c>
      <c r="AG180" s="393">
        <v>191.11</v>
      </c>
      <c r="AH180" s="24">
        <f t="shared" si="181"/>
        <v>-1.1066605120707874E-2</v>
      </c>
      <c r="AI180" s="24">
        <f t="shared" si="182"/>
        <v>0.70314588717583126</v>
      </c>
      <c r="AJ180" s="25">
        <f t="shared" si="189"/>
        <v>1.0082967392719189E-2</v>
      </c>
      <c r="AK180" s="25">
        <f t="shared" si="190"/>
        <v>9.9365984097197574E-2</v>
      </c>
      <c r="AL180" s="26">
        <f t="shared" si="191"/>
        <v>5.9187674657815437E-2</v>
      </c>
      <c r="AM180" s="26">
        <f t="shared" si="192"/>
        <v>0.82426498663612069</v>
      </c>
      <c r="AN180" s="27">
        <f t="shared" si="193"/>
        <v>1.8912239318734692E-2</v>
      </c>
      <c r="AO180" s="84">
        <f t="shared" si="194"/>
        <v>0.24455070129514167</v>
      </c>
    </row>
    <row r="181" spans="1:41">
      <c r="A181" s="217" t="s">
        <v>100</v>
      </c>
      <c r="B181" s="389">
        <v>611428907.62</v>
      </c>
      <c r="C181" s="393">
        <v>133.71</v>
      </c>
      <c r="D181" s="389">
        <v>615023515.02999997</v>
      </c>
      <c r="E181" s="393">
        <v>134.49</v>
      </c>
      <c r="F181" s="24">
        <f>((D181-B181)/B181)</f>
        <v>5.8790275781890203E-3</v>
      </c>
      <c r="G181" s="24">
        <f>((E181-C181)/C181)</f>
        <v>5.833520305137993E-3</v>
      </c>
      <c r="H181" s="389">
        <v>627940398.79999995</v>
      </c>
      <c r="I181" s="393">
        <v>137.21</v>
      </c>
      <c r="J181" s="24">
        <f t="shared" si="169"/>
        <v>2.1002260001993442E-2</v>
      </c>
      <c r="K181" s="24">
        <f t="shared" si="170"/>
        <v>2.0224552011301945E-2</v>
      </c>
      <c r="L181" s="389">
        <v>643339180.24000001</v>
      </c>
      <c r="M181" s="393">
        <v>140.66999999999999</v>
      </c>
      <c r="N181" s="24">
        <f t="shared" si="171"/>
        <v>2.4522679969989625E-2</v>
      </c>
      <c r="O181" s="24">
        <f t="shared" si="172"/>
        <v>2.5216820931418842E-2</v>
      </c>
      <c r="P181" s="389">
        <v>638984796.32000005</v>
      </c>
      <c r="Q181" s="393">
        <v>139.72</v>
      </c>
      <c r="R181" s="24">
        <f t="shared" si="173"/>
        <v>-6.7684109001033303E-3</v>
      </c>
      <c r="S181" s="24">
        <f t="shared" si="174"/>
        <v>-6.7533944693252915E-3</v>
      </c>
      <c r="T181" s="389">
        <v>640673529.03999996</v>
      </c>
      <c r="U181" s="393">
        <v>137.69</v>
      </c>
      <c r="V181" s="24">
        <f t="shared" si="175"/>
        <v>2.6428370905310261E-3</v>
      </c>
      <c r="W181" s="24">
        <f t="shared" si="176"/>
        <v>-1.4529058116232473E-2</v>
      </c>
      <c r="X181" s="389">
        <v>661972389.97000003</v>
      </c>
      <c r="Y181" s="393">
        <v>144.75</v>
      </c>
      <c r="Z181" s="24">
        <f t="shared" si="177"/>
        <v>3.3244484069623999E-2</v>
      </c>
      <c r="AA181" s="24">
        <f t="shared" si="178"/>
        <v>5.1274602367637465E-2</v>
      </c>
      <c r="AB181" s="389">
        <v>659082179.95000005</v>
      </c>
      <c r="AC181" s="393">
        <v>144.12</v>
      </c>
      <c r="AD181" s="24">
        <f t="shared" si="179"/>
        <v>-4.3660582583073633E-3</v>
      </c>
      <c r="AE181" s="24">
        <f t="shared" si="180"/>
        <v>-4.3523316062175849E-3</v>
      </c>
      <c r="AF181" s="389">
        <v>652097907.47000003</v>
      </c>
      <c r="AG181" s="393">
        <v>69.849999999999994</v>
      </c>
      <c r="AH181" s="24">
        <f t="shared" si="181"/>
        <v>-1.0596967559538428E-2</v>
      </c>
      <c r="AI181" s="24">
        <f t="shared" si="182"/>
        <v>-0.51533444351928959</v>
      </c>
      <c r="AJ181" s="25">
        <f t="shared" si="189"/>
        <v>8.1949814990472485E-3</v>
      </c>
      <c r="AK181" s="25">
        <f t="shared" si="190"/>
        <v>-5.4802466511946091E-2</v>
      </c>
      <c r="AL181" s="26">
        <f t="shared" si="191"/>
        <v>6.0281260039612664E-2</v>
      </c>
      <c r="AM181" s="26">
        <f t="shared" si="192"/>
        <v>-0.48063053015094065</v>
      </c>
      <c r="AN181" s="27">
        <f t="shared" si="193"/>
        <v>1.6164811122740874E-2</v>
      </c>
      <c r="AO181" s="84">
        <f t="shared" si="194"/>
        <v>0.18728388917708425</v>
      </c>
    </row>
    <row r="182" spans="1:41">
      <c r="A182" s="217" t="s">
        <v>151</v>
      </c>
      <c r="B182" s="389">
        <v>519860990.44</v>
      </c>
      <c r="C182" s="393">
        <v>122.59</v>
      </c>
      <c r="D182" s="389">
        <v>532073335.14999998</v>
      </c>
      <c r="E182" s="393">
        <v>125.46</v>
      </c>
      <c r="F182" s="24">
        <f>((D182-B182)/B182)</f>
        <v>2.3491558194554459E-2</v>
      </c>
      <c r="G182" s="24">
        <f>((E182-C182)/C182)</f>
        <v>2.3411371237458116E-2</v>
      </c>
      <c r="H182" s="389">
        <v>761457944.21000004</v>
      </c>
      <c r="I182" s="393">
        <v>178.29</v>
      </c>
      <c r="J182" s="24">
        <f t="shared" si="169"/>
        <v>0.43111464887698775</v>
      </c>
      <c r="K182" s="24">
        <f t="shared" si="170"/>
        <v>0.42109038737446197</v>
      </c>
      <c r="L182" s="389">
        <v>541441317.00999999</v>
      </c>
      <c r="M182" s="393">
        <v>127.62</v>
      </c>
      <c r="N182" s="24">
        <f t="shared" si="171"/>
        <v>-0.28894127229608674</v>
      </c>
      <c r="O182" s="24">
        <f t="shared" si="172"/>
        <v>-0.28419989904088838</v>
      </c>
      <c r="P182" s="389">
        <v>541495574.71000004</v>
      </c>
      <c r="Q182" s="393">
        <v>127.64</v>
      </c>
      <c r="R182" s="24">
        <f t="shared" si="173"/>
        <v>1.0020975181516409E-4</v>
      </c>
      <c r="S182" s="24">
        <f t="shared" si="174"/>
        <v>1.5671524839363751E-4</v>
      </c>
      <c r="T182" s="389">
        <v>541250290.91999996</v>
      </c>
      <c r="U182" s="393">
        <v>127.58</v>
      </c>
      <c r="V182" s="24">
        <f t="shared" si="175"/>
        <v>-4.5297468983277232E-4</v>
      </c>
      <c r="W182" s="24">
        <f t="shared" si="176"/>
        <v>-4.7007207771860134E-4</v>
      </c>
      <c r="X182" s="389">
        <v>549775340.68957698</v>
      </c>
      <c r="Y182" s="393">
        <v>129.54</v>
      </c>
      <c r="Z182" s="24">
        <f t="shared" si="177"/>
        <v>1.5750660854309047E-2</v>
      </c>
      <c r="AA182" s="24">
        <f t="shared" si="178"/>
        <v>1.5362909546950883E-2</v>
      </c>
      <c r="AB182" s="389">
        <v>551574995.07993412</v>
      </c>
      <c r="AC182" s="393">
        <v>129.96</v>
      </c>
      <c r="AD182" s="24">
        <f t="shared" si="179"/>
        <v>3.2734359967834326E-3</v>
      </c>
      <c r="AE182" s="24">
        <f t="shared" si="180"/>
        <v>3.2422417786013274E-3</v>
      </c>
      <c r="AF182" s="389">
        <v>545831609.86000001</v>
      </c>
      <c r="AG182" s="393">
        <v>128.63999999999999</v>
      </c>
      <c r="AH182" s="24">
        <f t="shared" si="181"/>
        <v>-1.0412700487087482E-2</v>
      </c>
      <c r="AI182" s="24">
        <f t="shared" si="182"/>
        <v>-1.0156971375808106E-2</v>
      </c>
      <c r="AJ182" s="25">
        <f t="shared" si="189"/>
        <v>2.1740445775180355E-2</v>
      </c>
      <c r="AK182" s="25">
        <f t="shared" si="190"/>
        <v>2.1054585336431359E-2</v>
      </c>
      <c r="AL182" s="26">
        <f t="shared" si="191"/>
        <v>2.5857854173657022E-2</v>
      </c>
      <c r="AM182" s="26">
        <f t="shared" si="192"/>
        <v>2.5346724055475792E-2</v>
      </c>
      <c r="AN182" s="27">
        <f t="shared" si="193"/>
        <v>0.1951135255686727</v>
      </c>
      <c r="AO182" s="84">
        <f t="shared" si="194"/>
        <v>0.19102668679090967</v>
      </c>
    </row>
    <row r="183" spans="1:41">
      <c r="A183" s="217" t="s">
        <v>199</v>
      </c>
      <c r="B183" s="389">
        <v>229986231.66</v>
      </c>
      <c r="C183" s="393">
        <v>17.62</v>
      </c>
      <c r="D183" s="389">
        <v>232394121.97</v>
      </c>
      <c r="E183" s="393">
        <v>17.82</v>
      </c>
      <c r="F183" s="24">
        <f>((D183-B183)/B183)</f>
        <v>1.0469715046071564E-2</v>
      </c>
      <c r="G183" s="24">
        <f>((E183-C183)/C183)</f>
        <v>1.1350737797956827E-2</v>
      </c>
      <c r="H183" s="389">
        <v>231547010.15000001</v>
      </c>
      <c r="I183" s="393">
        <v>16.5</v>
      </c>
      <c r="J183" s="24">
        <f t="shared" si="169"/>
        <v>-3.64515166226686E-3</v>
      </c>
      <c r="K183" s="24">
        <f t="shared" si="170"/>
        <v>-7.4074074074074084E-2</v>
      </c>
      <c r="L183" s="389">
        <v>243315386.49000001</v>
      </c>
      <c r="M183" s="393">
        <v>16.5</v>
      </c>
      <c r="N183" s="24">
        <f t="shared" si="171"/>
        <v>5.082499805277664E-2</v>
      </c>
      <c r="O183" s="24">
        <f t="shared" si="172"/>
        <v>0</v>
      </c>
      <c r="P183" s="389">
        <v>242160896.10999998</v>
      </c>
      <c r="Q183" s="393">
        <v>16.5</v>
      </c>
      <c r="R183" s="24">
        <f t="shared" si="173"/>
        <v>-4.7448309646766764E-3</v>
      </c>
      <c r="S183" s="24">
        <f t="shared" si="174"/>
        <v>0</v>
      </c>
      <c r="T183" s="389">
        <v>244737027.19</v>
      </c>
      <c r="U183" s="393">
        <v>16.5</v>
      </c>
      <c r="V183" s="24">
        <f t="shared" si="175"/>
        <v>1.063809690739591E-2</v>
      </c>
      <c r="W183" s="24">
        <f t="shared" si="176"/>
        <v>0</v>
      </c>
      <c r="X183" s="389">
        <v>239091543.55000001</v>
      </c>
      <c r="Y183" s="393">
        <v>16.5</v>
      </c>
      <c r="Z183" s="24">
        <f t="shared" si="177"/>
        <v>-2.3067550116219852E-2</v>
      </c>
      <c r="AA183" s="24">
        <f t="shared" si="178"/>
        <v>0</v>
      </c>
      <c r="AB183" s="389">
        <v>236249253.47</v>
      </c>
      <c r="AC183" s="393">
        <v>16.5</v>
      </c>
      <c r="AD183" s="24">
        <f t="shared" si="179"/>
        <v>-1.1887873731534212E-2</v>
      </c>
      <c r="AE183" s="24">
        <f t="shared" si="180"/>
        <v>0</v>
      </c>
      <c r="AF183" s="389">
        <v>246168263.31</v>
      </c>
      <c r="AG183" s="393">
        <v>16.5</v>
      </c>
      <c r="AH183" s="24">
        <f t="shared" si="181"/>
        <v>4.1985359506160572E-2</v>
      </c>
      <c r="AI183" s="24">
        <f t="shared" si="182"/>
        <v>0</v>
      </c>
      <c r="AJ183" s="25">
        <f t="shared" si="189"/>
        <v>8.8215953797133855E-3</v>
      </c>
      <c r="AK183" s="25">
        <f t="shared" si="190"/>
        <v>-7.8404170345146573E-3</v>
      </c>
      <c r="AL183" s="26">
        <f t="shared" si="191"/>
        <v>5.9270609872732159E-2</v>
      </c>
      <c r="AM183" s="26">
        <f t="shared" si="192"/>
        <v>-7.4074074074074084E-2</v>
      </c>
      <c r="AN183" s="27">
        <f t="shared" si="193"/>
        <v>2.5788714254444806E-2</v>
      </c>
      <c r="AO183" s="84">
        <f t="shared" si="194"/>
        <v>2.7055579261661987E-2</v>
      </c>
    </row>
    <row r="184" spans="1:41">
      <c r="A184" s="217" t="s">
        <v>200</v>
      </c>
      <c r="B184" s="389">
        <v>189002517.96000001</v>
      </c>
      <c r="C184" s="393">
        <v>14.45</v>
      </c>
      <c r="D184" s="389">
        <v>189763518.83000001</v>
      </c>
      <c r="E184" s="393">
        <v>14.53</v>
      </c>
      <c r="F184" s="24">
        <f>((D184-B184)/B184)</f>
        <v>4.0264059876761061E-3</v>
      </c>
      <c r="G184" s="24">
        <f>((E184-C184)/C184)</f>
        <v>5.5363321799308009E-3</v>
      </c>
      <c r="H184" s="389">
        <v>192784493.38</v>
      </c>
      <c r="I184" s="393">
        <v>17.5</v>
      </c>
      <c r="J184" s="24">
        <f t="shared" si="169"/>
        <v>1.5919680287475736E-2</v>
      </c>
      <c r="K184" s="24">
        <f t="shared" si="170"/>
        <v>0.2044046799724708</v>
      </c>
      <c r="L184" s="389">
        <v>193700593.5</v>
      </c>
      <c r="M184" s="393">
        <v>17.5</v>
      </c>
      <c r="N184" s="24">
        <f t="shared" si="171"/>
        <v>4.7519388304445628E-3</v>
      </c>
      <c r="O184" s="24">
        <f t="shared" si="172"/>
        <v>0</v>
      </c>
      <c r="P184" s="389">
        <v>195763260.58000001</v>
      </c>
      <c r="Q184" s="393">
        <v>17.5</v>
      </c>
      <c r="R184" s="24">
        <f t="shared" si="173"/>
        <v>1.0648739080915686E-2</v>
      </c>
      <c r="S184" s="24">
        <f t="shared" si="174"/>
        <v>0</v>
      </c>
      <c r="T184" s="389">
        <v>191830417.69</v>
      </c>
      <c r="U184" s="393">
        <v>17.5</v>
      </c>
      <c r="V184" s="24">
        <f t="shared" si="175"/>
        <v>-2.0089790486467873E-2</v>
      </c>
      <c r="W184" s="24">
        <f t="shared" si="176"/>
        <v>0</v>
      </c>
      <c r="X184" s="389">
        <v>191944395.91999999</v>
      </c>
      <c r="Y184" s="393">
        <v>17.5</v>
      </c>
      <c r="Z184" s="24">
        <f t="shared" si="177"/>
        <v>5.941614024120998E-4</v>
      </c>
      <c r="AA184" s="24">
        <f t="shared" si="178"/>
        <v>0</v>
      </c>
      <c r="AB184" s="389">
        <v>184972621.69999999</v>
      </c>
      <c r="AC184" s="393">
        <v>17.5</v>
      </c>
      <c r="AD184" s="24">
        <f t="shared" si="179"/>
        <v>-3.6321843034717964E-2</v>
      </c>
      <c r="AE184" s="24">
        <f t="shared" si="180"/>
        <v>0</v>
      </c>
      <c r="AF184" s="389">
        <v>189960009.93000001</v>
      </c>
      <c r="AG184" s="393">
        <v>17.5</v>
      </c>
      <c r="AH184" s="24">
        <f t="shared" si="181"/>
        <v>2.6962845550672212E-2</v>
      </c>
      <c r="AI184" s="24">
        <f t="shared" si="182"/>
        <v>0</v>
      </c>
      <c r="AJ184" s="25">
        <f t="shared" si="189"/>
        <v>8.1151720230132098E-4</v>
      </c>
      <c r="AK184" s="25">
        <f t="shared" si="190"/>
        <v>2.62426265190502E-2</v>
      </c>
      <c r="AL184" s="26">
        <f t="shared" si="191"/>
        <v>1.0354524474012359E-3</v>
      </c>
      <c r="AM184" s="26">
        <f t="shared" si="192"/>
        <v>0.2044046799724708</v>
      </c>
      <c r="AN184" s="27">
        <f t="shared" si="193"/>
        <v>2.0179835345951812E-2</v>
      </c>
      <c r="AO184" s="84">
        <f t="shared" si="194"/>
        <v>7.2014403912102287E-2</v>
      </c>
    </row>
    <row r="185" spans="1:41" ht="15.75" thickBot="1">
      <c r="A185" s="218" t="s">
        <v>37</v>
      </c>
      <c r="B185" s="82">
        <f>SUM(B173:B184)</f>
        <v>7105569433.0799999</v>
      </c>
      <c r="C185" s="336"/>
      <c r="D185" s="82">
        <f>SUM(D173:D184)</f>
        <v>7215263147.7200003</v>
      </c>
      <c r="E185" s="336"/>
      <c r="F185" s="24">
        <f>((D185-B185)/B185)</f>
        <v>1.5437709204461633E-2</v>
      </c>
      <c r="G185" s="224"/>
      <c r="H185" s="82">
        <f>SUM(H173:H184)</f>
        <v>7567675949.3500004</v>
      </c>
      <c r="I185" s="336"/>
      <c r="J185" s="24">
        <f>((H185-D185)/D185)</f>
        <v>4.8842681744928652E-2</v>
      </c>
      <c r="K185" s="224"/>
      <c r="L185" s="82">
        <f>SUM(L173:L184)</f>
        <v>7480476595.2300005</v>
      </c>
      <c r="M185" s="336"/>
      <c r="N185" s="24">
        <f>((L185-H185)/H185)</f>
        <v>-1.152260676905564E-2</v>
      </c>
      <c r="O185" s="224"/>
      <c r="P185" s="82">
        <f>SUM(P173:P184)</f>
        <v>7479400530.9599991</v>
      </c>
      <c r="Q185" s="336"/>
      <c r="R185" s="24">
        <f>((P185-L185)/L185)</f>
        <v>-1.4384969410740145E-4</v>
      </c>
      <c r="S185" s="224"/>
      <c r="T185" s="82">
        <f>SUM(T173:T184)</f>
        <v>7537010574.9499979</v>
      </c>
      <c r="U185" s="336"/>
      <c r="V185" s="24">
        <f>((T185-P185)/P185)</f>
        <v>7.7024948391959469E-3</v>
      </c>
      <c r="W185" s="224"/>
      <c r="X185" s="82">
        <f>SUM(X173:X184)</f>
        <v>7837434944.6095772</v>
      </c>
      <c r="Y185" s="336"/>
      <c r="Z185" s="24">
        <f>((X185-T185)/T185)</f>
        <v>3.9859884323112063E-2</v>
      </c>
      <c r="AA185" s="224"/>
      <c r="AB185" s="82">
        <f>SUM(AB173:AB184)</f>
        <v>8659696862.4999352</v>
      </c>
      <c r="AC185" s="336"/>
      <c r="AD185" s="24">
        <f>((AB185-X185)/X185)</f>
        <v>0.10491467217292724</v>
      </c>
      <c r="AE185" s="224"/>
      <c r="AF185" s="82">
        <f>SUM(AF173:AF184)</f>
        <v>7852256162.210001</v>
      </c>
      <c r="AG185" s="336"/>
      <c r="AH185" s="24">
        <f>((AF185-AB185)/AB185)</f>
        <v>-9.3241220000030947E-2</v>
      </c>
      <c r="AI185" s="224"/>
      <c r="AJ185" s="25">
        <f t="shared" si="189"/>
        <v>1.3981220727678942E-2</v>
      </c>
      <c r="AK185" s="25"/>
      <c r="AL185" s="26">
        <f t="shared" si="191"/>
        <v>8.8284100170523711E-2</v>
      </c>
      <c r="AM185" s="26"/>
      <c r="AN185" s="27">
        <f t="shared" si="193"/>
        <v>5.6747659070616838E-2</v>
      </c>
      <c r="AO185" s="84"/>
    </row>
    <row r="186" spans="1:41" ht="15.75" thickBot="1">
      <c r="A186" s="64" t="s">
        <v>47</v>
      </c>
      <c r="B186" s="239">
        <f>SUM(B165,B170,B185)</f>
        <v>1483096025538.9946</v>
      </c>
      <c r="C186" s="337"/>
      <c r="D186" s="239">
        <f>SUM(D165,D170,D185)</f>
        <v>1511041577121.8508</v>
      </c>
      <c r="E186" s="337"/>
      <c r="F186" s="224">
        <f>((D186-B186)/B186)</f>
        <v>1.884271220583986E-2</v>
      </c>
      <c r="G186" s="335"/>
      <c r="H186" s="239">
        <f>SUM(H165,H170,H185)</f>
        <v>1523473791596.8875</v>
      </c>
      <c r="I186" s="337"/>
      <c r="J186" s="224">
        <f>((H186-D186)/D186)</f>
        <v>8.2275793487541372E-3</v>
      </c>
      <c r="K186" s="335"/>
      <c r="L186" s="239">
        <f>SUM(L165,L170,L185)</f>
        <v>1538347648924.6409</v>
      </c>
      <c r="M186" s="337"/>
      <c r="N186" s="224">
        <f>((L186-H186)/H186)</f>
        <v>9.7631199235549797E-3</v>
      </c>
      <c r="O186" s="335"/>
      <c r="P186" s="239">
        <f>SUM(P165,P170,P185)</f>
        <v>1549927193417.6155</v>
      </c>
      <c r="Q186" s="337"/>
      <c r="R186" s="224">
        <f>((P186-L186)/L186)</f>
        <v>7.5272611500197097E-3</v>
      </c>
      <c r="S186" s="335"/>
      <c r="T186" s="239">
        <f>SUM(T165,T170,T185)</f>
        <v>1570616428718.3882</v>
      </c>
      <c r="U186" s="337"/>
      <c r="V186" s="224">
        <f>((T186-P186)/P186)</f>
        <v>1.3348520748998921E-2</v>
      </c>
      <c r="W186" s="335"/>
      <c r="X186" s="239">
        <f>SUM(X165,X170,X185)</f>
        <v>1592021939668.0723</v>
      </c>
      <c r="Y186" s="337"/>
      <c r="Z186" s="224">
        <f>((X186-T186)/T186)</f>
        <v>1.3628732361567635E-2</v>
      </c>
      <c r="AA186" s="335"/>
      <c r="AB186" s="239">
        <f>SUM(AB165,AB170,AB185)</f>
        <v>1614778223107.3408</v>
      </c>
      <c r="AC186" s="337"/>
      <c r="AD186" s="224">
        <f>((AB186-X186)/X186)</f>
        <v>1.4293950901212526E-2</v>
      </c>
      <c r="AE186" s="335"/>
      <c r="AF186" s="239">
        <f>SUM(AF165,AF170,AF185)</f>
        <v>1624285350689.9875</v>
      </c>
      <c r="AG186" s="337"/>
      <c r="AH186" s="224">
        <f>((AF186-AB186)/AB186)</f>
        <v>5.8875748053822691E-3</v>
      </c>
      <c r="AI186" s="335"/>
      <c r="AJ186" s="25">
        <f t="shared" si="189"/>
        <v>1.1439931430666253E-2</v>
      </c>
      <c r="AK186" s="25"/>
      <c r="AL186" s="26">
        <f t="shared" si="191"/>
        <v>7.494418107530651E-2</v>
      </c>
      <c r="AM186" s="26"/>
      <c r="AN186" s="27">
        <f t="shared" si="193"/>
        <v>4.3201968968462788E-3</v>
      </c>
      <c r="AO186" s="84"/>
    </row>
  </sheetData>
  <protectedRanges>
    <protectedRange password="CADF" sqref="B18" name="Fund Name_1_1_1_3_1_1_7"/>
    <protectedRange password="CADF" sqref="C18" name="Fund Name_1_1_1_1_1_1_8"/>
    <protectedRange password="CADF" sqref="B46" name="Yield_2_1_2_3_1_7"/>
    <protectedRange password="CADF" sqref="B51" name="Yield_2_1_2_4_1_7"/>
    <protectedRange password="CADF" sqref="B76" name="Yield_2_1_2_1_1_7"/>
    <protectedRange password="CADF" sqref="C76" name="Fund Name_2_2_1_1_1"/>
    <protectedRange password="CADF" sqref="C75" name="BidOffer Prices_2_1_1_1_1_1_1_1_1_1_7"/>
    <protectedRange password="CADF" sqref="B140:B142" name="Fund Name_1_1_1_2_7"/>
    <protectedRange password="CADF" sqref="C140:C142" name="Fund Name_1_1_1_1_2_1"/>
    <protectedRange password="CADF" sqref="D18" name="Fund Name_1_1_1_3_1_1_2"/>
    <protectedRange password="CADF" sqref="E18" name="Fund Name_1_1_1_1_1_1_2"/>
    <protectedRange password="CADF" sqref="D46" name="Yield_2_1_2_3_1"/>
    <protectedRange password="CADF" sqref="D51" name="Yield_2_1_2_4_1"/>
    <protectedRange password="CADF" sqref="D76" name="Yield_2_1_2_1_1"/>
    <protectedRange password="CADF" sqref="E76" name="Fund Name_2_2_1_1_2"/>
    <protectedRange password="CADF" sqref="E75" name="BidOffer Prices_2_1_1_1_1_1_1_1_1_1_2"/>
    <protectedRange password="CADF" sqref="D140:D142" name="Fund Name_1_1_1_2_2"/>
    <protectedRange password="CADF" sqref="E140:E142" name="Fund Name_1_1_1_1_2_2"/>
    <protectedRange password="CADF" sqref="H18" name="Fund Name_1_1_1_3_1_1_8"/>
    <protectedRange password="CADF" sqref="I18" name="Fund Name_1_1_1_1_1_1_7"/>
    <protectedRange password="CADF" sqref="H46" name="Yield_2_1_2_3_1_9"/>
    <protectedRange password="CADF" sqref="H51" name="Yield_2_1_2_4_1_9"/>
    <protectedRange password="CADF" sqref="H76" name="Yield_2_1_2_1_1_8"/>
    <protectedRange password="CADF" sqref="I76" name="Fund Name_2_2_1_1_8"/>
    <protectedRange password="CADF" sqref="I75" name="BidOffer Prices_2_1_1_1_1_1_1_1_1_1_8"/>
    <protectedRange password="CADF" sqref="H140:H142" name="Fund Name_1_1_1_2_8"/>
    <protectedRange password="CADF" sqref="I140:I142" name="Fund Name_1_1_1_1_2_8"/>
    <protectedRange password="CADF" sqref="L18" name="Fund Name_1_1_1_3_1_1_3"/>
    <protectedRange password="CADF" sqref="M18" name="Fund Name_1_1_1_1_1_1_3"/>
    <protectedRange password="CADF" sqref="L46" name="Yield_2_1_2_3_1_2"/>
    <protectedRange password="CADF" sqref="L51" name="Yield_2_1_2_4_1_2"/>
    <protectedRange password="CADF" sqref="L140:L142" name="Fund Name_1_1_1_2_3"/>
    <protectedRange password="CADF" sqref="M140:M142" name="Fund Name_1_1_1_1_2_3"/>
    <protectedRange password="CADF" sqref="L76" name="Yield_2_1_2_1_1_10"/>
    <protectedRange password="CADF" sqref="M76" name="Fund Name_2_2_1_1_10"/>
    <protectedRange password="CADF" sqref="M75" name="BidOffer Prices_2_1_1_1_1_1_1_1_1_1_10"/>
    <protectedRange password="CADF" sqref="P18" name="Fund Name_1_1_1_3_1_1_4"/>
    <protectedRange password="CADF" sqref="Q18" name="Fund Name_1_1_1_1_1_1_4"/>
    <protectedRange password="CADF" sqref="P46" name="Yield_2_1_2_3_1_3"/>
    <protectedRange password="CADF" sqref="P51" name="Yield_2_1_2_4_1_3"/>
    <protectedRange password="CADF" sqref="P76" name="Yield_2_1_2_1_1_2"/>
    <protectedRange password="CADF" sqref="Q76" name="Fund Name_2_2_1_1_3"/>
    <protectedRange password="CADF" sqref="Q75" name="BidOffer Prices_2_1_1_1_1_1_1_1_1_1_3"/>
    <protectedRange password="CADF" sqref="P140:P142" name="Fund Name_1_1_1_2_4"/>
    <protectedRange password="CADF" sqref="Q140:Q142" name="Fund Name_1_1_1_1_2_4"/>
    <protectedRange password="CADF" sqref="T18" name="Fund Name_1_1_1_3_1_1"/>
    <protectedRange password="CADF" sqref="U18" name="Fund Name_1_1_1_1_1_1"/>
    <protectedRange password="CADF" sqref="T46" name="Yield_2_1_2_3_1_4"/>
    <protectedRange password="CADF" sqref="T51" name="Yield_2_1_2_4_1_4"/>
    <protectedRange password="CADF" sqref="T76" name="Yield_2_1_2_1_1_3"/>
    <protectedRange password="CADF" sqref="U76" name="Fund Name_2_2_1_1_4"/>
    <protectedRange password="CADF" sqref="U75" name="BidOffer Prices_2_1_1_1_1_1_1_1_1_1"/>
    <protectedRange password="CADF" sqref="T93" name="Yield_2_1_2_6_3"/>
    <protectedRange password="CADF" sqref="T140:T142" name="Fund Name_1_1_1_2"/>
    <protectedRange password="CADF" sqref="U140:U142" name="Fund Name_1_1_1_1_2_5"/>
    <protectedRange password="CADF" sqref="X18" name="Fund Name_1_1_1_3_1_1_5"/>
    <protectedRange password="CADF" sqref="Y18" name="Fund Name_1_1_1_1_1_1_5"/>
    <protectedRange password="CADF" sqref="X46" name="Yield_2_1_2_3_1_5"/>
    <protectedRange password="CADF" sqref="X51" name="Yield_2_1_2_4_1_5"/>
    <protectedRange password="CADF" sqref="X76" name="Yield_2_1_2_1_1_4"/>
    <protectedRange password="CADF" sqref="Y76" name="Fund Name_2_2_1_1_5"/>
    <protectedRange password="CADF" sqref="Y75" name="BidOffer Prices_2_1_1_1_1_1_1_1_1_1_4"/>
    <protectedRange password="CADF" sqref="X93" name="Yield_2_1_2_6_3_1"/>
    <protectedRange password="CADF" sqref="X140:X142" name="Fund Name_1_1_1_2_5"/>
    <protectedRange password="CADF" sqref="Y140:Y142" name="Fund Name_1_1_1_1_2_6"/>
    <protectedRange password="CADF" sqref="AB18" name="Fund Name_1_1_1_3_1_1_6"/>
    <protectedRange password="CADF" sqref="AC18" name="Fund Name_1_1_1_1_1_1_6"/>
    <protectedRange password="CADF" sqref="AB46" name="Yield_2_1_2_3_1_6"/>
    <protectedRange password="CADF" sqref="AB51" name="Yield_2_1_2_4_1_6"/>
    <protectedRange password="CADF" sqref="AB76" name="Yield_2_1_2_1_1_5"/>
    <protectedRange password="CADF" sqref="AC76" name="Fund Name_2_2_1_1_6"/>
    <protectedRange password="CADF" sqref="AC75" name="BidOffer Prices_2_1_1_1_1_1_1_1_1_1_5"/>
    <protectedRange password="CADF" sqref="AB93" name="Yield_2_1_2_6_3_2"/>
    <protectedRange password="CADF" sqref="AB140:AB142" name="Fund Name_1_1_1_2_6"/>
    <protectedRange password="CADF" sqref="AC140:AC142" name="Fund Name_1_1_1_1_2_7"/>
    <protectedRange password="CADF" sqref="AF18" name="Fund Name_1_1_1_3_1_1_9"/>
    <protectedRange password="CADF" sqref="AG18" name="Fund Name_1_1_1_1_1_1_9"/>
    <protectedRange password="CADF" sqref="AF46" name="Yield_2_1_2_3_1_8"/>
    <protectedRange password="CADF" sqref="AF51" name="Yield_2_1_2_4_1_8"/>
    <protectedRange password="CADF" sqref="AF76" name="Yield_2_1_2_1_1_6"/>
    <protectedRange password="CADF" sqref="AG76" name="Fund Name_2_2_1_1_7"/>
    <protectedRange password="CADF" sqref="AG75" name="BidOffer Prices_2_1_1_1_1_1_1_1_1_1_6"/>
    <protectedRange password="CADF" sqref="AF93" name="Yield_2_1_2_6_3_3"/>
    <protectedRange password="CADF" sqref="AF140:AF142" name="Fund Name_1_1_1_2_9"/>
    <protectedRange password="CADF" sqref="AG140:AG142" name="Fund Name_1_1_1_1_2_9"/>
  </protectedRanges>
  <mergeCells count="23">
    <mergeCell ref="AQ2:AR2"/>
    <mergeCell ref="AQ125:AR125"/>
    <mergeCell ref="B2:C2"/>
    <mergeCell ref="J2:K2"/>
    <mergeCell ref="H2:I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1:AO1"/>
    <mergeCell ref="AN2:AO2"/>
    <mergeCell ref="AL2:AM2"/>
    <mergeCell ref="AJ2:AK2"/>
    <mergeCell ref="D2:E2"/>
    <mergeCell ref="F2:G2"/>
    <mergeCell ref="N2:O2"/>
    <mergeCell ref="L2:M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2023-02-24T16:46:44Z</dcterms:modified>
</cp:coreProperties>
</file>