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Data!$A$1:$AO$193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75" i="11" l="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L186" i="11"/>
  <c r="AN186" i="11"/>
  <c r="AJ187" i="11"/>
  <c r="AL187" i="11"/>
  <c r="AN187" i="11"/>
  <c r="AO174" i="11"/>
  <c r="AN174" i="11"/>
  <c r="AM174" i="11"/>
  <c r="AL174" i="11"/>
  <c r="AK174" i="11"/>
  <c r="AJ174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L142" i="11"/>
  <c r="AN142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L148" i="11"/>
  <c r="AN148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L163" i="11"/>
  <c r="AN163" i="11"/>
  <c r="AJ164" i="11"/>
  <c r="AL164" i="11"/>
  <c r="AN164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O5" i="11"/>
  <c r="AN5" i="11"/>
  <c r="AM5" i="11"/>
  <c r="AL5" i="11"/>
  <c r="AK5" i="11"/>
  <c r="AJ5" i="11"/>
  <c r="AF187" i="11"/>
  <c r="AF186" i="11"/>
  <c r="AH186" i="11" s="1"/>
  <c r="AF171" i="11"/>
  <c r="AF164" i="11"/>
  <c r="AH164" i="11" s="1"/>
  <c r="AF163" i="11"/>
  <c r="AF148" i="11"/>
  <c r="AF142" i="11"/>
  <c r="AH142" i="11" s="1"/>
  <c r="AF116" i="11"/>
  <c r="AH116" i="11" s="1"/>
  <c r="AG108" i="11"/>
  <c r="AG107" i="11"/>
  <c r="AI107" i="11" s="1"/>
  <c r="AF108" i="11"/>
  <c r="AF109" i="11" s="1"/>
  <c r="AG98" i="11"/>
  <c r="AG97" i="11"/>
  <c r="AI97" i="11" s="1"/>
  <c r="AG95" i="11"/>
  <c r="AG94" i="11"/>
  <c r="AG93" i="11"/>
  <c r="AI93" i="11" s="1"/>
  <c r="AF98" i="11"/>
  <c r="AF97" i="11"/>
  <c r="AF95" i="11"/>
  <c r="AF93" i="11"/>
  <c r="L98" i="9"/>
  <c r="K98" i="9"/>
  <c r="I98" i="9"/>
  <c r="AF86" i="11"/>
  <c r="AF53" i="11"/>
  <c r="AH53" i="11" s="1"/>
  <c r="AF21" i="11"/>
  <c r="AH21" i="11" s="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0" i="11"/>
  <c r="AH170" i="11"/>
  <c r="AI168" i="11"/>
  <c r="AH168" i="11"/>
  <c r="AI167" i="11"/>
  <c r="AH167" i="11"/>
  <c r="AH163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6" i="11"/>
  <c r="AH156" i="11"/>
  <c r="AI153" i="11"/>
  <c r="AH153" i="11"/>
  <c r="AI152" i="11"/>
  <c r="AH152" i="11"/>
  <c r="AH148" i="11"/>
  <c r="AI147" i="11"/>
  <c r="AH147" i="11"/>
  <c r="AI146" i="11"/>
  <c r="AH146" i="11"/>
  <c r="AI145" i="11"/>
  <c r="AH145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K125" i="11" s="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5" i="11"/>
  <c r="AH115" i="11"/>
  <c r="AI114" i="11"/>
  <c r="AH114" i="11"/>
  <c r="AI113" i="11"/>
  <c r="AH113" i="11"/>
  <c r="AI112" i="11"/>
  <c r="AH112" i="11"/>
  <c r="AI108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8" i="11"/>
  <c r="AH98" i="11"/>
  <c r="AH97" i="11"/>
  <c r="AI96" i="11"/>
  <c r="AH96" i="11"/>
  <c r="AI95" i="11"/>
  <c r="AI94" i="11"/>
  <c r="AH94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I22" i="9"/>
  <c r="AH187" i="11" l="1"/>
  <c r="AH108" i="11"/>
  <c r="AH95" i="11"/>
  <c r="L108" i="9"/>
  <c r="K108" i="9"/>
  <c r="L95" i="9" l="1"/>
  <c r="K95" i="9"/>
  <c r="L96" i="9" l="1"/>
  <c r="K96" i="9"/>
  <c r="I96" i="9"/>
  <c r="L109" i="9" l="1"/>
  <c r="K109" i="9"/>
  <c r="I109" i="9"/>
  <c r="L94" i="9" l="1"/>
  <c r="K94" i="9"/>
  <c r="I94" i="9"/>
  <c r="L99" i="9" l="1"/>
  <c r="K99" i="9"/>
  <c r="I99" i="9"/>
  <c r="D87" i="9" l="1"/>
  <c r="D166" i="9" s="1"/>
  <c r="D193" i="9" s="1"/>
  <c r="D192" i="9"/>
  <c r="D175" i="9"/>
  <c r="D165" i="9"/>
  <c r="D150" i="9"/>
  <c r="D144" i="9"/>
  <c r="D117" i="9"/>
  <c r="G108" i="9"/>
  <c r="F108" i="9"/>
  <c r="D110" i="9"/>
  <c r="G99" i="9"/>
  <c r="F99" i="9"/>
  <c r="G98" i="9"/>
  <c r="F98" i="9"/>
  <c r="G96" i="9"/>
  <c r="F96" i="9"/>
  <c r="G95" i="9"/>
  <c r="F95" i="9"/>
  <c r="G94" i="9"/>
  <c r="F94" i="9"/>
  <c r="D99" i="9"/>
  <c r="D98" i="9"/>
  <c r="D96" i="9"/>
  <c r="D94" i="9"/>
  <c r="D22" i="9"/>
  <c r="AB186" i="11" l="1"/>
  <c r="AB171" i="11"/>
  <c r="AB163" i="11"/>
  <c r="AB148" i="11"/>
  <c r="AB142" i="11"/>
  <c r="AB116" i="11"/>
  <c r="AC107" i="11"/>
  <c r="AC98" i="11"/>
  <c r="AC97" i="11"/>
  <c r="AC95" i="11"/>
  <c r="AC94" i="11"/>
  <c r="AC93" i="11"/>
  <c r="AB98" i="11"/>
  <c r="AB97" i="11"/>
  <c r="AB95" i="11"/>
  <c r="AB93" i="11"/>
  <c r="AB86" i="11"/>
  <c r="AB53" i="11"/>
  <c r="AB21" i="11"/>
  <c r="AB109" i="11" l="1"/>
  <c r="AB164" i="11" s="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0" i="11"/>
  <c r="AD170" i="11"/>
  <c r="AE168" i="11"/>
  <c r="AD168" i="11"/>
  <c r="AE167" i="11"/>
  <c r="AD167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6" i="11"/>
  <c r="AD156" i="11"/>
  <c r="AE153" i="11"/>
  <c r="AD153" i="11"/>
  <c r="AE152" i="11"/>
  <c r="AD152" i="11"/>
  <c r="AE147" i="11"/>
  <c r="AD147" i="11"/>
  <c r="AE146" i="11"/>
  <c r="AD146" i="11"/>
  <c r="AE145" i="11"/>
  <c r="AD145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08" i="11"/>
  <c r="AD108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D93" i="11"/>
  <c r="AE92" i="11"/>
  <c r="AD92" i="11"/>
  <c r="AE91" i="11"/>
  <c r="AD91" i="11"/>
  <c r="AE90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87" i="11" l="1"/>
  <c r="D54" i="9" l="1"/>
  <c r="X186" i="11" l="1"/>
  <c r="AD186" i="11" s="1"/>
  <c r="X171" i="11"/>
  <c r="X163" i="11"/>
  <c r="AD163" i="11" s="1"/>
  <c r="X148" i="11"/>
  <c r="AD148" i="11" s="1"/>
  <c r="X142" i="11"/>
  <c r="AD142" i="11" s="1"/>
  <c r="X116" i="11"/>
  <c r="AD116" i="11" s="1"/>
  <c r="Y107" i="11"/>
  <c r="AE107" i="11" s="1"/>
  <c r="Y98" i="11"/>
  <c r="AE98" i="11" s="1"/>
  <c r="Y97" i="11"/>
  <c r="AE97" i="11" s="1"/>
  <c r="Y95" i="11"/>
  <c r="AE95" i="11" s="1"/>
  <c r="Y94" i="11"/>
  <c r="AE94" i="11" s="1"/>
  <c r="Y93" i="11"/>
  <c r="AE93" i="11" s="1"/>
  <c r="X98" i="11"/>
  <c r="AD98" i="11" s="1"/>
  <c r="X97" i="11"/>
  <c r="AD97" i="11" s="1"/>
  <c r="X95" i="11"/>
  <c r="AD95" i="11" s="1"/>
  <c r="X86" i="11"/>
  <c r="AD86" i="11" s="1"/>
  <c r="X53" i="11"/>
  <c r="AD53" i="11" s="1"/>
  <c r="X21" i="11"/>
  <c r="AD21" i="11" s="1"/>
  <c r="X109" i="11" l="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0" i="11"/>
  <c r="Z170" i="11"/>
  <c r="AA168" i="11"/>
  <c r="Z168" i="11"/>
  <c r="AA167" i="11"/>
  <c r="Z167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3" i="11"/>
  <c r="Z153" i="11"/>
  <c r="AA152" i="11"/>
  <c r="Z152" i="11"/>
  <c r="AA147" i="11"/>
  <c r="Z147" i="11"/>
  <c r="AA146" i="11"/>
  <c r="Z146" i="11"/>
  <c r="AA145" i="11"/>
  <c r="Z145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08" i="11"/>
  <c r="Z108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3" i="11"/>
  <c r="Z93" i="11"/>
  <c r="AA92" i="11"/>
  <c r="Z92" i="11"/>
  <c r="AA91" i="11"/>
  <c r="Z91" i="11"/>
  <c r="AA90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64" i="11" l="1"/>
  <c r="V84" i="11"/>
  <c r="R84" i="11"/>
  <c r="N84" i="11"/>
  <c r="J84" i="11"/>
  <c r="F84" i="11"/>
  <c r="T86" i="11"/>
  <c r="Z86" i="11" s="1"/>
  <c r="T186" i="11"/>
  <c r="Z186" i="11" s="1"/>
  <c r="T171" i="11"/>
  <c r="T163" i="11"/>
  <c r="Z163" i="11" s="1"/>
  <c r="T148" i="11"/>
  <c r="Z148" i="11" s="1"/>
  <c r="T142" i="11"/>
  <c r="Z142" i="11" s="1"/>
  <c r="T116" i="11"/>
  <c r="Z116" i="11" s="1"/>
  <c r="U107" i="11"/>
  <c r="AA107" i="11" s="1"/>
  <c r="U98" i="11"/>
  <c r="U97" i="11"/>
  <c r="AA97" i="11" s="1"/>
  <c r="U95" i="11"/>
  <c r="AA95" i="11" s="1"/>
  <c r="U94" i="11"/>
  <c r="AA94" i="11" s="1"/>
  <c r="T98" i="11"/>
  <c r="Z98" i="11" s="1"/>
  <c r="T97" i="11"/>
  <c r="Z97" i="11" s="1"/>
  <c r="T95" i="11"/>
  <c r="Z95" i="11" s="1"/>
  <c r="T53" i="11"/>
  <c r="Z53" i="11" s="1"/>
  <c r="T21" i="11"/>
  <c r="Z21" i="11" s="1"/>
  <c r="I150" i="9"/>
  <c r="Q97" i="11"/>
  <c r="P97" i="11"/>
  <c r="M97" i="11"/>
  <c r="L97" i="11"/>
  <c r="I97" i="11"/>
  <c r="H97" i="11"/>
  <c r="E97" i="11"/>
  <c r="D97" i="11"/>
  <c r="C97" i="11"/>
  <c r="B97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0" i="11"/>
  <c r="V170" i="11"/>
  <c r="W168" i="11"/>
  <c r="V168" i="11"/>
  <c r="W167" i="11"/>
  <c r="V167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6" i="11"/>
  <c r="V156" i="11"/>
  <c r="W153" i="11"/>
  <c r="V153" i="11"/>
  <c r="W152" i="11"/>
  <c r="V152" i="11"/>
  <c r="W147" i="11"/>
  <c r="V147" i="11"/>
  <c r="W146" i="11"/>
  <c r="V146" i="11"/>
  <c r="W145" i="11"/>
  <c r="V145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08" i="11"/>
  <c r="V108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3" i="11"/>
  <c r="V93" i="11"/>
  <c r="W92" i="11"/>
  <c r="V92" i="11"/>
  <c r="W91" i="11"/>
  <c r="V91" i="11"/>
  <c r="W90" i="11"/>
  <c r="V90" i="11"/>
  <c r="W85" i="11"/>
  <c r="V85" i="11"/>
  <c r="W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X187" i="11" l="1"/>
  <c r="AD187" i="11" s="1"/>
  <c r="AD164" i="11"/>
  <c r="V97" i="11"/>
  <c r="W98" i="11"/>
  <c r="AA98" i="11"/>
  <c r="O97" i="11"/>
  <c r="S97" i="11"/>
  <c r="K97" i="11"/>
  <c r="G97" i="11"/>
  <c r="W97" i="11"/>
  <c r="R97" i="11"/>
  <c r="N97" i="11"/>
  <c r="V98" i="11"/>
  <c r="J97" i="11"/>
  <c r="F97" i="11"/>
  <c r="T109" i="11"/>
  <c r="T164" i="11" s="1"/>
  <c r="T187" i="11" s="1"/>
  <c r="Z187" i="11" l="1"/>
  <c r="Z164" i="11"/>
  <c r="P98" i="9"/>
  <c r="N98" i="9"/>
  <c r="O98" i="9"/>
  <c r="E98" i="9" l="1"/>
  <c r="P186" i="11" l="1"/>
  <c r="V186" i="11" s="1"/>
  <c r="P171" i="11"/>
  <c r="P163" i="11"/>
  <c r="V163" i="11" s="1"/>
  <c r="P148" i="11"/>
  <c r="V148" i="11" s="1"/>
  <c r="P142" i="11"/>
  <c r="V142" i="11" s="1"/>
  <c r="P116" i="11"/>
  <c r="V116" i="11" s="1"/>
  <c r="Q107" i="11"/>
  <c r="W107" i="11" s="1"/>
  <c r="Q95" i="11"/>
  <c r="W95" i="11" s="1"/>
  <c r="Q94" i="11"/>
  <c r="W94" i="11" s="1"/>
  <c r="P95" i="11"/>
  <c r="V95" i="11" s="1"/>
  <c r="P86" i="11"/>
  <c r="V86" i="11" s="1"/>
  <c r="P53" i="11"/>
  <c r="V53" i="11" s="1"/>
  <c r="P21" i="11"/>
  <c r="V21" i="11" s="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0" i="11"/>
  <c r="R170" i="11"/>
  <c r="S168" i="11"/>
  <c r="R168" i="11"/>
  <c r="S167" i="11"/>
  <c r="R167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6" i="11"/>
  <c r="R156" i="11"/>
  <c r="S153" i="11"/>
  <c r="R153" i="11"/>
  <c r="S152" i="11"/>
  <c r="R152" i="11"/>
  <c r="S147" i="11"/>
  <c r="R147" i="11"/>
  <c r="S146" i="11"/>
  <c r="R146" i="11"/>
  <c r="S145" i="11"/>
  <c r="R145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08" i="11"/>
  <c r="R108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3" i="11"/>
  <c r="R93" i="11"/>
  <c r="S92" i="11"/>
  <c r="R92" i="11"/>
  <c r="S91" i="11"/>
  <c r="R91" i="11"/>
  <c r="S90" i="11"/>
  <c r="R90" i="11"/>
  <c r="S85" i="11"/>
  <c r="R85" i="11"/>
  <c r="S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09" i="11" l="1"/>
  <c r="P164" i="11" s="1"/>
  <c r="V164" i="11" s="1"/>
  <c r="P187" i="11" l="1"/>
  <c r="V187" i="11" s="1"/>
  <c r="P192" i="9"/>
  <c r="O94" i="9"/>
  <c r="O6" i="9"/>
  <c r="L186" i="11"/>
  <c r="R186" i="11" s="1"/>
  <c r="L171" i="11"/>
  <c r="L163" i="11"/>
  <c r="R163" i="11" s="1"/>
  <c r="L148" i="11"/>
  <c r="R148" i="11" s="1"/>
  <c r="L142" i="11"/>
  <c r="L116" i="11"/>
  <c r="R116" i="11" s="1"/>
  <c r="M107" i="11"/>
  <c r="S107" i="11" s="1"/>
  <c r="S98" i="11"/>
  <c r="M95" i="11"/>
  <c r="S95" i="11" s="1"/>
  <c r="M94" i="11"/>
  <c r="S94" i="11" s="1"/>
  <c r="R98" i="11"/>
  <c r="L95" i="11"/>
  <c r="L86" i="11"/>
  <c r="R86" i="11" s="1"/>
  <c r="L53" i="11"/>
  <c r="R53" i="11" s="1"/>
  <c r="L21" i="11"/>
  <c r="R21" i="11" s="1"/>
  <c r="R142" i="11" l="1"/>
  <c r="R95" i="11"/>
  <c r="L109" i="11"/>
  <c r="L164" i="11" s="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0" i="11"/>
  <c r="N170" i="11"/>
  <c r="O168" i="11"/>
  <c r="N168" i="11"/>
  <c r="O167" i="11"/>
  <c r="N167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6" i="11"/>
  <c r="N156" i="11"/>
  <c r="O153" i="11"/>
  <c r="N153" i="11"/>
  <c r="O152" i="11"/>
  <c r="N152" i="11"/>
  <c r="O147" i="11"/>
  <c r="N147" i="11"/>
  <c r="O146" i="11"/>
  <c r="N146" i="11"/>
  <c r="O145" i="11"/>
  <c r="N145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08" i="11"/>
  <c r="N108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O93" i="11"/>
  <c r="N93" i="11"/>
  <c r="O92" i="11"/>
  <c r="N92" i="11"/>
  <c r="O91" i="11"/>
  <c r="N91" i="11"/>
  <c r="O90" i="11"/>
  <c r="N90" i="11"/>
  <c r="O85" i="11"/>
  <c r="N85" i="11"/>
  <c r="O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J10" i="1"/>
  <c r="I10" i="1"/>
  <c r="H10" i="1"/>
  <c r="G10" i="1"/>
  <c r="F10" i="1"/>
  <c r="E10" i="1"/>
  <c r="D10" i="1"/>
  <c r="C10" i="1"/>
  <c r="R164" i="11" l="1"/>
  <c r="L187" i="11"/>
  <c r="R187" i="11" l="1"/>
  <c r="H186" i="11"/>
  <c r="N186" i="11" s="1"/>
  <c r="H171" i="11"/>
  <c r="H163" i="11"/>
  <c r="N163" i="11" s="1"/>
  <c r="H148" i="11"/>
  <c r="N148" i="11" s="1"/>
  <c r="H142" i="11"/>
  <c r="N142" i="11" s="1"/>
  <c r="H116" i="11"/>
  <c r="N116" i="11" s="1"/>
  <c r="I107" i="11"/>
  <c r="O107" i="11" s="1"/>
  <c r="O98" i="11"/>
  <c r="I95" i="11"/>
  <c r="O95" i="11" s="1"/>
  <c r="I94" i="11"/>
  <c r="O94" i="11" s="1"/>
  <c r="N98" i="11"/>
  <c r="H95" i="11"/>
  <c r="N95" i="11" s="1"/>
  <c r="H86" i="11"/>
  <c r="N86" i="11" s="1"/>
  <c r="H53" i="11"/>
  <c r="N53" i="11" s="1"/>
  <c r="H21" i="11"/>
  <c r="N21" i="11" s="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0" i="11"/>
  <c r="J170" i="11"/>
  <c r="K168" i="11"/>
  <c r="J168" i="11"/>
  <c r="K167" i="11"/>
  <c r="J167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6" i="11"/>
  <c r="J156" i="11"/>
  <c r="K153" i="11"/>
  <c r="J153" i="11"/>
  <c r="K152" i="11"/>
  <c r="J152" i="11"/>
  <c r="K147" i="11"/>
  <c r="J147" i="11"/>
  <c r="K146" i="11"/>
  <c r="J146" i="11"/>
  <c r="K145" i="11"/>
  <c r="J145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08" i="11"/>
  <c r="J108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K93" i="11"/>
  <c r="J93" i="11"/>
  <c r="K92" i="11"/>
  <c r="J92" i="11"/>
  <c r="K91" i="11"/>
  <c r="J91" i="11"/>
  <c r="K90" i="11"/>
  <c r="J90" i="11"/>
  <c r="K85" i="11"/>
  <c r="J85" i="11"/>
  <c r="K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G140" i="11"/>
  <c r="F140" i="11"/>
  <c r="G84" i="11"/>
  <c r="G19" i="11"/>
  <c r="F19" i="11"/>
  <c r="H109" i="11" l="1"/>
  <c r="H164" i="11" s="1"/>
  <c r="P142" i="9"/>
  <c r="O142" i="9"/>
  <c r="N142" i="9"/>
  <c r="P85" i="9"/>
  <c r="O85" i="9"/>
  <c r="N85" i="9"/>
  <c r="P20" i="9"/>
  <c r="O20" i="9"/>
  <c r="N20" i="9"/>
  <c r="H187" i="11" l="1"/>
  <c r="N187" i="11" s="1"/>
  <c r="N164" i="11"/>
  <c r="E142" i="9"/>
  <c r="E85" i="9"/>
  <c r="E20" i="9"/>
  <c r="D142" i="11" l="1"/>
  <c r="J142" i="11" s="1"/>
  <c r="D53" i="11"/>
  <c r="J53" i="11" s="1"/>
  <c r="D186" i="11" l="1"/>
  <c r="J186" i="11" s="1"/>
  <c r="D171" i="11"/>
  <c r="D163" i="11"/>
  <c r="J163" i="11" s="1"/>
  <c r="D148" i="11"/>
  <c r="J148" i="11" s="1"/>
  <c r="D116" i="11"/>
  <c r="J116" i="11" s="1"/>
  <c r="E107" i="11"/>
  <c r="K107" i="11" s="1"/>
  <c r="K98" i="11"/>
  <c r="E95" i="11"/>
  <c r="K95" i="11" s="1"/>
  <c r="E94" i="11"/>
  <c r="K94" i="11" s="1"/>
  <c r="J98" i="11"/>
  <c r="D95" i="11"/>
  <c r="J95" i="11" s="1"/>
  <c r="D86" i="11"/>
  <c r="J86" i="11" s="1"/>
  <c r="D21" i="11"/>
  <c r="J21" i="11" s="1"/>
  <c r="D109" i="11" l="1"/>
  <c r="D164" i="11" s="1"/>
  <c r="D187" i="11" l="1"/>
  <c r="J187" i="11" s="1"/>
  <c r="J164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0" i="11"/>
  <c r="F170" i="11"/>
  <c r="G168" i="11"/>
  <c r="F168" i="11"/>
  <c r="G167" i="11"/>
  <c r="F167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3" i="11"/>
  <c r="F153" i="11"/>
  <c r="G152" i="11"/>
  <c r="F152" i="11"/>
  <c r="G147" i="11"/>
  <c r="F147" i="11"/>
  <c r="G146" i="11"/>
  <c r="F146" i="11"/>
  <c r="G145" i="11"/>
  <c r="F145" i="11"/>
  <c r="G141" i="11"/>
  <c r="F141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08" i="11"/>
  <c r="F108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F94" i="11"/>
  <c r="G92" i="11"/>
  <c r="F92" i="11"/>
  <c r="G91" i="11"/>
  <c r="F91" i="11"/>
  <c r="G90" i="11"/>
  <c r="F90" i="11"/>
  <c r="G85" i="11"/>
  <c r="F85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B186" i="11" l="1"/>
  <c r="B171" i="11"/>
  <c r="B163" i="11"/>
  <c r="B148" i="11"/>
  <c r="B142" i="11"/>
  <c r="B116" i="11"/>
  <c r="C107" i="11"/>
  <c r="C95" i="11"/>
  <c r="C94" i="11"/>
  <c r="C93" i="11"/>
  <c r="F98" i="11"/>
  <c r="B95" i="11"/>
  <c r="B93" i="11"/>
  <c r="B86" i="11"/>
  <c r="B53" i="11"/>
  <c r="B21" i="11"/>
  <c r="F86" i="11" l="1"/>
  <c r="G95" i="11"/>
  <c r="G107" i="11"/>
  <c r="F95" i="11"/>
  <c r="F148" i="11"/>
  <c r="F116" i="11"/>
  <c r="F93" i="11"/>
  <c r="F142" i="11"/>
  <c r="G93" i="11"/>
  <c r="F53" i="11"/>
  <c r="G98" i="11"/>
  <c r="G94" i="11"/>
  <c r="F163" i="11"/>
  <c r="F21" i="11"/>
  <c r="B109" i="11"/>
  <c r="F186" i="11"/>
  <c r="B164" i="11" l="1"/>
  <c r="F164" i="11" l="1"/>
  <c r="B187" i="11"/>
  <c r="F187" i="11" l="1"/>
  <c r="P172" i="9" l="1"/>
  <c r="O172" i="9"/>
  <c r="N172" i="9"/>
  <c r="E172" i="9" l="1"/>
  <c r="P84" i="9" l="1"/>
  <c r="O84" i="9"/>
  <c r="N84" i="9"/>
  <c r="E84" i="9" l="1"/>
  <c r="I144" i="9" l="1"/>
  <c r="J141" i="9" s="1"/>
  <c r="I117" i="9"/>
  <c r="I110" i="9"/>
  <c r="J98" i="9" s="1"/>
  <c r="I87" i="9"/>
  <c r="I54" i="9"/>
  <c r="J44" i="9" l="1"/>
  <c r="J30" i="9"/>
  <c r="J85" i="9"/>
  <c r="J80" i="9"/>
  <c r="J142" i="9"/>
  <c r="J124" i="9"/>
  <c r="J42" i="9"/>
  <c r="J50" i="9"/>
  <c r="J47" i="9"/>
  <c r="J43" i="9"/>
  <c r="J51" i="9"/>
  <c r="J49" i="9"/>
  <c r="J52" i="9"/>
  <c r="J46" i="9"/>
  <c r="J48" i="9"/>
  <c r="J45" i="9"/>
  <c r="J53" i="9"/>
  <c r="J129" i="9"/>
  <c r="J138" i="9"/>
  <c r="J84" i="9"/>
  <c r="J72" i="9"/>
  <c r="P97" i="9"/>
  <c r="O97" i="9"/>
  <c r="N97" i="9"/>
  <c r="J97" i="9"/>
  <c r="P163" i="9"/>
  <c r="O163" i="9"/>
  <c r="N163" i="9"/>
  <c r="P141" i="9"/>
  <c r="O141" i="9"/>
  <c r="N141" i="9"/>
  <c r="E141" i="9"/>
  <c r="E97" i="9"/>
  <c r="E163" i="9" l="1"/>
  <c r="I192" i="9" l="1"/>
  <c r="J180" i="9" s="1"/>
  <c r="I175" i="9"/>
  <c r="J172" i="9" s="1"/>
  <c r="I165" i="9"/>
  <c r="J163" i="9" l="1"/>
  <c r="I166" i="9"/>
  <c r="I193" i="9" s="1"/>
  <c r="J190" i="9" l="1"/>
  <c r="P191" i="9"/>
  <c r="O191" i="9"/>
  <c r="N191" i="9"/>
  <c r="E191" i="9"/>
  <c r="P190" i="9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5" i="9"/>
  <c r="N175" i="9"/>
  <c r="P174" i="9"/>
  <c r="O174" i="9"/>
  <c r="N174" i="9"/>
  <c r="J174" i="9"/>
  <c r="E174" i="9"/>
  <c r="P171" i="9"/>
  <c r="O171" i="9"/>
  <c r="N171" i="9"/>
  <c r="J171" i="9"/>
  <c r="E171" i="9"/>
  <c r="P165" i="9"/>
  <c r="J158" i="9"/>
  <c r="E155" i="9"/>
  <c r="P164" i="9"/>
  <c r="O164" i="9"/>
  <c r="N164" i="9"/>
  <c r="P162" i="9"/>
  <c r="O162" i="9"/>
  <c r="N162" i="9"/>
  <c r="P161" i="9"/>
  <c r="O161" i="9"/>
  <c r="N161" i="9"/>
  <c r="P160" i="9"/>
  <c r="O160" i="9"/>
  <c r="N160" i="9"/>
  <c r="P159" i="9"/>
  <c r="O159" i="9"/>
  <c r="N159" i="9"/>
  <c r="E159" i="9"/>
  <c r="P158" i="9"/>
  <c r="O158" i="9"/>
  <c r="N158" i="9"/>
  <c r="P155" i="9"/>
  <c r="O155" i="9"/>
  <c r="N155" i="9"/>
  <c r="J155" i="9"/>
  <c r="P154" i="9"/>
  <c r="O154" i="9"/>
  <c r="N154" i="9"/>
  <c r="P150" i="9"/>
  <c r="N150" i="9"/>
  <c r="P149" i="9"/>
  <c r="O149" i="9"/>
  <c r="N149" i="9"/>
  <c r="J149" i="9"/>
  <c r="E149" i="9"/>
  <c r="P148" i="9"/>
  <c r="O148" i="9"/>
  <c r="N148" i="9"/>
  <c r="J148" i="9"/>
  <c r="E148" i="9"/>
  <c r="P147" i="9"/>
  <c r="O147" i="9"/>
  <c r="N147" i="9"/>
  <c r="J147" i="9"/>
  <c r="E147" i="9"/>
  <c r="P144" i="9"/>
  <c r="E137" i="9"/>
  <c r="P143" i="9"/>
  <c r="O143" i="9"/>
  <c r="N143" i="9"/>
  <c r="E143" i="9"/>
  <c r="P140" i="9"/>
  <c r="O140" i="9"/>
  <c r="N140" i="9"/>
  <c r="P139" i="9"/>
  <c r="O139" i="9"/>
  <c r="N139" i="9"/>
  <c r="E139" i="9"/>
  <c r="P138" i="9"/>
  <c r="O138" i="9"/>
  <c r="N138" i="9"/>
  <c r="P137" i="9"/>
  <c r="O137" i="9"/>
  <c r="N137" i="9"/>
  <c r="P136" i="9"/>
  <c r="O136" i="9"/>
  <c r="N136" i="9"/>
  <c r="E136" i="9"/>
  <c r="P135" i="9"/>
  <c r="O135" i="9"/>
  <c r="N135" i="9"/>
  <c r="P134" i="9"/>
  <c r="O134" i="9"/>
  <c r="N134" i="9"/>
  <c r="E134" i="9"/>
  <c r="P133" i="9"/>
  <c r="O133" i="9"/>
  <c r="N133" i="9"/>
  <c r="E133" i="9"/>
  <c r="P132" i="9"/>
  <c r="O132" i="9"/>
  <c r="N132" i="9"/>
  <c r="P131" i="9"/>
  <c r="O131" i="9"/>
  <c r="N131" i="9"/>
  <c r="E131" i="9"/>
  <c r="P130" i="9"/>
  <c r="O130" i="9"/>
  <c r="N130" i="9"/>
  <c r="P129" i="9"/>
  <c r="O129" i="9"/>
  <c r="N129" i="9"/>
  <c r="P128" i="9"/>
  <c r="O128" i="9"/>
  <c r="N128" i="9"/>
  <c r="E128" i="9"/>
  <c r="P127" i="9"/>
  <c r="O127" i="9"/>
  <c r="N127" i="9"/>
  <c r="P126" i="9"/>
  <c r="O126" i="9"/>
  <c r="N126" i="9"/>
  <c r="E126" i="9"/>
  <c r="P125" i="9"/>
  <c r="O125" i="9"/>
  <c r="N125" i="9"/>
  <c r="E125" i="9"/>
  <c r="P124" i="9"/>
  <c r="O124" i="9"/>
  <c r="N124" i="9"/>
  <c r="P123" i="9"/>
  <c r="O123" i="9"/>
  <c r="N123" i="9"/>
  <c r="E123" i="9"/>
  <c r="P122" i="9"/>
  <c r="O122" i="9"/>
  <c r="N122" i="9"/>
  <c r="P121" i="9"/>
  <c r="O121" i="9"/>
  <c r="N121" i="9"/>
  <c r="P120" i="9"/>
  <c r="O120" i="9"/>
  <c r="N120" i="9"/>
  <c r="E120" i="9"/>
  <c r="P117" i="9"/>
  <c r="N117" i="9"/>
  <c r="E116" i="9"/>
  <c r="P116" i="9"/>
  <c r="O116" i="9"/>
  <c r="N116" i="9"/>
  <c r="P115" i="9"/>
  <c r="O115" i="9"/>
  <c r="N115" i="9"/>
  <c r="E115" i="9"/>
  <c r="P114" i="9"/>
  <c r="O114" i="9"/>
  <c r="N114" i="9"/>
  <c r="P113" i="9"/>
  <c r="O113" i="9"/>
  <c r="N113" i="9"/>
  <c r="E113" i="9"/>
  <c r="P110" i="9"/>
  <c r="P109" i="9"/>
  <c r="O109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9" i="9"/>
  <c r="O99" i="9"/>
  <c r="N99" i="9"/>
  <c r="P96" i="9"/>
  <c r="O96" i="9"/>
  <c r="P95" i="9"/>
  <c r="N95" i="9"/>
  <c r="O95" i="9"/>
  <c r="P94" i="9"/>
  <c r="N94" i="9"/>
  <c r="P93" i="9"/>
  <c r="O93" i="9"/>
  <c r="N93" i="9"/>
  <c r="P92" i="9"/>
  <c r="O92" i="9"/>
  <c r="N92" i="9"/>
  <c r="P91" i="9"/>
  <c r="O91" i="9"/>
  <c r="N91" i="9"/>
  <c r="P87" i="9"/>
  <c r="N87" i="9"/>
  <c r="E86" i="9"/>
  <c r="P86" i="9"/>
  <c r="O86" i="9"/>
  <c r="N86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N6" i="9"/>
  <c r="E6" i="9"/>
  <c r="J189" i="9" l="1"/>
  <c r="J182" i="9"/>
  <c r="J184" i="9"/>
  <c r="J186" i="9"/>
  <c r="J181" i="9"/>
  <c r="J183" i="9"/>
  <c r="J188" i="9"/>
  <c r="N192" i="9"/>
  <c r="J187" i="9"/>
  <c r="J191" i="9"/>
  <c r="J185" i="9"/>
  <c r="J160" i="9"/>
  <c r="J154" i="9"/>
  <c r="J159" i="9"/>
  <c r="J161" i="9"/>
  <c r="J162" i="9"/>
  <c r="J164" i="9"/>
  <c r="J123" i="9"/>
  <c r="J74" i="9"/>
  <c r="J58" i="9"/>
  <c r="J63" i="9"/>
  <c r="J69" i="9"/>
  <c r="J83" i="9"/>
  <c r="J62" i="9"/>
  <c r="J71" i="9"/>
  <c r="J61" i="9"/>
  <c r="J76" i="9"/>
  <c r="J78" i="9"/>
  <c r="J81" i="9"/>
  <c r="J66" i="9"/>
  <c r="J70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6" i="9"/>
  <c r="J139" i="9"/>
  <c r="J131" i="9"/>
  <c r="J134" i="9"/>
  <c r="J114" i="9"/>
  <c r="J115" i="9"/>
  <c r="J113" i="9"/>
  <c r="J19" i="9"/>
  <c r="J10" i="9"/>
  <c r="J12" i="9"/>
  <c r="J16" i="9"/>
  <c r="E154" i="9"/>
  <c r="E162" i="9"/>
  <c r="N165" i="9"/>
  <c r="E19" i="9"/>
  <c r="J60" i="9"/>
  <c r="J68" i="9"/>
  <c r="J75" i="9"/>
  <c r="E122" i="9"/>
  <c r="J125" i="9"/>
  <c r="E130" i="9"/>
  <c r="J133" i="9"/>
  <c r="E138" i="9"/>
  <c r="J143" i="9"/>
  <c r="N144" i="9"/>
  <c r="E161" i="9"/>
  <c r="E8" i="9"/>
  <c r="E16" i="9"/>
  <c r="E13" i="9"/>
  <c r="J26" i="9"/>
  <c r="J28" i="9"/>
  <c r="J32" i="9"/>
  <c r="J34" i="9"/>
  <c r="J36" i="9"/>
  <c r="J38" i="9"/>
  <c r="J40" i="9"/>
  <c r="J57" i="9"/>
  <c r="J65" i="9"/>
  <c r="J73" i="9"/>
  <c r="E82" i="9"/>
  <c r="E114" i="9"/>
  <c r="J122" i="9"/>
  <c r="E127" i="9"/>
  <c r="J130" i="9"/>
  <c r="E135" i="9"/>
  <c r="E158" i="9"/>
  <c r="N96" i="9"/>
  <c r="J128" i="9"/>
  <c r="J136" i="9"/>
  <c r="J77" i="9"/>
  <c r="J82" i="9"/>
  <c r="E124" i="9"/>
  <c r="J127" i="9"/>
  <c r="E132" i="9"/>
  <c r="J135" i="9"/>
  <c r="E140" i="9"/>
  <c r="E164" i="9"/>
  <c r="J120" i="9"/>
  <c r="E7" i="9"/>
  <c r="E15" i="9"/>
  <c r="E21" i="9"/>
  <c r="J59" i="9"/>
  <c r="J67" i="9"/>
  <c r="J79" i="9"/>
  <c r="E121" i="9"/>
  <c r="E129" i="9"/>
  <c r="J132" i="9"/>
  <c r="J140" i="9"/>
  <c r="E160" i="9"/>
  <c r="E96" i="9"/>
  <c r="E10" i="9"/>
  <c r="E18" i="9"/>
  <c r="J64" i="9"/>
  <c r="E81" i="9"/>
  <c r="J86" i="9"/>
  <c r="J116" i="9"/>
  <c r="J121" i="9"/>
  <c r="E102" i="9" l="1"/>
  <c r="E105" i="9"/>
  <c r="E108" i="9"/>
  <c r="E103" i="9"/>
  <c r="E93" i="9"/>
  <c r="E106" i="9"/>
  <c r="E94" i="9"/>
  <c r="E107" i="9"/>
  <c r="E91" i="9"/>
  <c r="E99" i="9"/>
  <c r="E95" i="9"/>
  <c r="E104" i="9"/>
  <c r="E92" i="9"/>
  <c r="E144" i="9" l="1"/>
  <c r="E117" i="9"/>
  <c r="E150" i="9"/>
  <c r="E165" i="9"/>
  <c r="E54" i="9"/>
  <c r="E22" i="9"/>
  <c r="E87" i="9"/>
  <c r="E110" i="9"/>
  <c r="K10" i="1" l="1"/>
  <c r="K12" i="1" s="1"/>
  <c r="AT138" i="11" l="1"/>
  <c r="AT133" i="11"/>
  <c r="AQ133" i="11"/>
  <c r="AS133" i="11" s="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Q122" i="11"/>
  <c r="AQ138" i="11" s="1"/>
  <c r="AS138" i="11" s="1"/>
  <c r="AT121" i="11"/>
  <c r="AQ121" i="11"/>
  <c r="AS121" i="11" s="1"/>
  <c r="AT117" i="11"/>
  <c r="AS117" i="11"/>
  <c r="AT116" i="11"/>
  <c r="AS116" i="11"/>
  <c r="AT115" i="11"/>
  <c r="AS115" i="11"/>
  <c r="AT114" i="11"/>
  <c r="AS114" i="11"/>
  <c r="AT113" i="11"/>
  <c r="AS113" i="11"/>
  <c r="AT112" i="11"/>
  <c r="AS112" i="11"/>
  <c r="AT111" i="11"/>
  <c r="AQ111" i="11"/>
  <c r="AS111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2" i="11" l="1"/>
  <c r="R175" i="9"/>
  <c r="R193" i="9"/>
  <c r="N109" i="9"/>
  <c r="J106" i="9"/>
  <c r="N166" i="9" l="1"/>
  <c r="J94" i="9"/>
  <c r="J96" i="9"/>
  <c r="J108" i="9"/>
  <c r="J102" i="9"/>
  <c r="J99" i="9"/>
  <c r="J104" i="9"/>
  <c r="J107" i="9"/>
  <c r="J93" i="9"/>
  <c r="J109" i="9"/>
  <c r="N110" i="9"/>
  <c r="J92" i="9"/>
  <c r="E109" i="9"/>
  <c r="J91" i="9"/>
  <c r="J95" i="9"/>
  <c r="J103" i="9"/>
  <c r="J54" i="9" l="1"/>
  <c r="J87" i="9"/>
  <c r="R166" i="9"/>
  <c r="J150" i="9"/>
  <c r="J22" i="9"/>
  <c r="J110" i="9"/>
  <c r="J165" i="9"/>
  <c r="J144" i="9"/>
  <c r="J117" i="9"/>
</calcChain>
</file>

<file path=xl/sharedStrings.xml><?xml version="1.0" encoding="utf-8"?>
<sst xmlns="http://schemas.openxmlformats.org/spreadsheetml/2006/main" count="722" uniqueCount="290">
  <si>
    <t>EQUITY BASED FUNDS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</si>
  <si>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</si>
  <si>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</si>
  <si>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</si>
  <si>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</si>
  <si>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</si>
  <si>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</si>
  <si>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</si>
  <si>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</si>
  <si>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</si>
  <si>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</si>
  <si>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</si>
  <si>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</si>
  <si>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</si>
  <si>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</si>
  <si>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</si>
  <si>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</si>
  <si>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</si>
  <si>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</si>
  <si>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</si>
  <si>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</si>
  <si>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</si>
  <si>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</si>
  <si>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</si>
  <si>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</si>
  <si>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</si>
  <si>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</si>
  <si>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</si>
  <si>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</si>
  <si>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</si>
  <si>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</si>
  <si>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</si>
  <si>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</si>
  <si>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</si>
  <si>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</si>
  <si>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</si>
  <si>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</si>
  <si>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</si>
  <si>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</si>
  <si>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</si>
  <si>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</si>
  <si>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</si>
  <si>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</si>
  <si>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</si>
  <si>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</si>
  <si>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</si>
  <si>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</si>
  <si>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</si>
  <si>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</si>
  <si>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</si>
  <si>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</si>
  <si>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</si>
  <si>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</si>
  <si>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</si>
  <si>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</si>
  <si>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</si>
  <si>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</si>
  <si>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</si>
  <si>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</si>
  <si>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</si>
  <si>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</si>
  <si>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</si>
  <si>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</si>
  <si>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</si>
  <si>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</si>
  <si>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</si>
  <si>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</si>
  <si>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</si>
  <si>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</si>
  <si>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</si>
  <si>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</si>
  <si>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</si>
  <si>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</si>
  <si>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</si>
  <si>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</si>
  <si>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</si>
  <si>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</si>
  <si>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</si>
  <si>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</si>
  <si>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</si>
  <si>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</si>
  <si>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</si>
  <si>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</si>
  <si>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</si>
  <si>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</si>
  <si>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</si>
  <si>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</si>
  <si>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</si>
  <si>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</si>
  <si>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</si>
  <si>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</si>
  <si>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</si>
  <si>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</si>
  <si>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</si>
  <si>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</si>
  <si>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</si>
  <si>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</si>
  <si>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</si>
  <si>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</si>
  <si>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</si>
  <si>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</si>
  <si>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</si>
  <si>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</si>
  <si>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</si>
  <si>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</si>
  <si>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</si>
  <si>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</si>
  <si>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</si>
  <si>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</si>
  <si>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</si>
  <si>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</si>
  <si>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</si>
  <si>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</si>
  <si>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</si>
  <si>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</si>
  <si>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</si>
  <si>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</si>
  <si>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</si>
  <si>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</si>
  <si>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</si>
  <si>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</si>
  <si>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</si>
  <si>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</si>
  <si>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</si>
  <si>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</si>
  <si>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</si>
  <si>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</si>
  <si>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</si>
  <si>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</si>
  <si>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</si>
  <si>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</si>
  <si>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</si>
  <si>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</si>
  <si>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</si>
  <si>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</si>
  <si>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</si>
  <si>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</si>
  <si>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</si>
  <si>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</si>
  <si>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</si>
  <si>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</si>
  <si>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</si>
  <si>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</si>
  <si>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</si>
  <si>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</si>
  <si>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</si>
  <si>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</si>
  <si>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</si>
  <si>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</si>
  <si>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</si>
  <si>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</si>
  <si>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</si>
  <si>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</si>
  <si>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</si>
  <si>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</si>
  <si>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</si>
  <si>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</si>
  <si>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</si>
  <si>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</si>
  <si>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</si>
  <si>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</si>
  <si>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</si>
  <si>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</si>
  <si>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</si>
  <si>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</si>
  <si>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</si>
  <si>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</si>
  <si>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</si>
  <si>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</si>
  <si>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</si>
  <si>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</si>
  <si>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</si>
  <si>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</si>
  <si>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</si>
  <si>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</si>
  <si>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</si>
  <si>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</si>
  <si>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</si>
  <si>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</si>
  <si>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</si>
  <si>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</si>
  <si>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</si>
  <si>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</si>
  <si>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</si>
  <si>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</si>
  <si>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</si>
  <si>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</si>
  <si>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</si>
  <si>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</si>
  <si>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</si>
  <si>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</si>
  <si>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</si>
  <si>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</si>
  <si>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</si>
  <si>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</si>
  <si>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</si>
  <si>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</si>
  <si>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</si>
  <si>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</si>
  <si>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</si>
  <si>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</si>
  <si>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</si>
  <si>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</si>
  <si>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</si>
  <si>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</si>
  <si>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</si>
  <si>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</si>
  <si>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</si>
  <si>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</si>
  <si>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</si>
  <si>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</si>
  <si>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</si>
  <si>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</si>
  <si>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</si>
  <si>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</si>
  <si>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</si>
  <si>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</si>
  <si>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</si>
  <si>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</si>
  <si>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</si>
  <si>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</si>
  <si>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</si>
  <si>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</si>
  <si>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</si>
  <si>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</si>
  <si>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</si>
  <si>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</si>
  <si>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</si>
  <si>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</si>
  <si>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</si>
  <si>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</si>
  <si>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</si>
  <si>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</si>
  <si>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</si>
  <si>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</si>
  <si>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</si>
  <si>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</si>
  <si>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</si>
  <si>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</si>
  <si>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</si>
  <si>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</si>
  <si>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</si>
  <si>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</si>
  <si>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</si>
  <si>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</si>
  <si>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</si>
  <si>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</si>
  <si>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</si>
  <si>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</si>
  <si>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</si>
  <si>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</si>
  <si>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</si>
  <si>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</si>
  <si>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</si>
  <si>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</si>
  <si>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</si>
  <si>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</si>
  <si>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</si>
  <si>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</si>
  <si>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</si>
  <si>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</si>
  <si>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</si>
  <si>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</si>
  <si>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</si>
  <si>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</si>
  <si>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</si>
  <si>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</si>
  <si>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NAV and Unit Price as at Week Ended December 9, 2022</t>
  </si>
  <si>
    <t>NAV and Unit Price as at Week Ended December 16, 2022</t>
  </si>
  <si>
    <t>UBA Nom-Cowry Equity Fund</t>
  </si>
  <si>
    <t>Cowry Treasurers Limited</t>
  </si>
  <si>
    <t>UBA Nom-Cowry Fixed Income Fund</t>
  </si>
  <si>
    <t>UBA Nom-Cowry Balanced Fund</t>
  </si>
  <si>
    <t>NAV and Unit Price as at Week Ended December 23, 2022</t>
  </si>
  <si>
    <t>NAV and Unit Price as at Week Ended December 30, 2022</t>
  </si>
  <si>
    <t>TOTAL</t>
  </si>
  <si>
    <t>NAV and Unit Price as at Week Ended January 6, 2023</t>
  </si>
  <si>
    <t>Norrenberger Dollar Fund</t>
  </si>
  <si>
    <t>NAV and Unit Price as at Week Ended January 13, 2023</t>
  </si>
  <si>
    <t>FBN Bond Fund</t>
  </si>
  <si>
    <t>NAV and Unit Price as at Week Ended January 20, 2023</t>
  </si>
  <si>
    <t>NAV, Unit Price and Yield as at Week Ended January 27, 2023</t>
  </si>
  <si>
    <t>NAV and Unit Price as at Week Ended January 27, 2023</t>
  </si>
  <si>
    <t>NET ASSET VALUES AND UNIT PRICES OF COLLECTIVE INVESTMENT SCHEMES AS AT WEEK ENDED FEBRUARY 3, 2023</t>
  </si>
  <si>
    <t>NAV, Unit Price and Yield as at Week Ended February 3, 2023</t>
  </si>
  <si>
    <t>46.3224 </t>
  </si>
  <si>
    <t>47.7191 </t>
  </si>
  <si>
    <t>Stanbic IBTC Infrastructure Fund Series 2</t>
  </si>
  <si>
    <t>NAV and Unit Price as at Week Ended February 3, 2023</t>
  </si>
  <si>
    <t>The chart above shows that Money Market Fund category has 47.51% share of the Net Asset Value (NAV), followed by Bond/Fixed Income Fund with 23.23%, Dollar Fund (Eurobonds and Fixed Income) at 21.16%, Real Estate Investment Trust at 3.10%.  Next is Balanced Fund at 2.09%, Shari'ah Compliant Fund at 1.55%, Equity Fund at 1.15%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</si>
</sst>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88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5" fillId="6" borderId="1" xfId="2" applyFont="1" applyFill="1" applyBorder="1" applyAlignment="1">
      <alignment horizontal="right" vertical="top" wrapText="1"/>
    </xf>
    <xf numFmtId="165" fontId="75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4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7" fillId="6" borderId="1" xfId="2" applyFont="1" applyFill="1" applyBorder="1" applyAlignment="1">
      <alignment horizontal="right" vertical="top" wrapText="1"/>
    </xf>
    <xf numFmtId="165" fontId="87" fillId="6" borderId="1" xfId="2" applyFont="1" applyFill="1" applyBorder="1" applyAlignment="1">
      <alignment horizontal="right"/>
    </xf>
    <xf numFmtId="0" fontId="67" fillId="0" borderId="0" xfId="0" applyFont="1"/>
    <xf numFmtId="165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165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165" fontId="88" fillId="50" borderId="1" xfId="0" quotePrefix="1" applyNumberFormat="1" applyFont="1" applyFill="1" applyBorder="1" applyAlignment="1">
      <alignment horizontal="center"/>
    </xf>
    <xf numFmtId="165" fontId="88" fillId="50" borderId="1" xfId="0" applyNumberFormat="1" applyFont="1" applyFill="1" applyBorder="1"/>
    <xf numFmtId="165" fontId="88" fillId="50" borderId="1" xfId="2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4" fontId="90" fillId="0" borderId="0" xfId="0" applyNumberFormat="1" applyFont="1"/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7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12" xfId="19778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2 7" xfId="19780"/>
    <cellStyle name="Comma 2 3" xfId="2323"/>
    <cellStyle name="Comma 2 3 2" xfId="13179"/>
    <cellStyle name="Comma 2 3 2 2" xfId="19690"/>
    <cellStyle name="Comma 2 3 3" xfId="13974"/>
    <cellStyle name="Comma 2 3 4" xfId="19782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3RD FEBRUARY,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16797381909.850002</c:v>
                </c:pt>
                <c:pt idx="1">
                  <c:v>689393093044.69934</c:v>
                </c:pt>
                <c:pt idx="2">
                  <c:v>342048621360.02881</c:v>
                </c:pt>
                <c:pt idx="3">
                  <c:v>318454224920.62793</c:v>
                </c:pt>
                <c:pt idx="4">
                  <c:v>46212263995.169998</c:v>
                </c:pt>
                <c:pt idx="5">
                  <c:v>30652475117.892384</c:v>
                </c:pt>
                <c:pt idx="6">
                  <c:v>3046932460.8900003</c:v>
                </c:pt>
                <c:pt idx="7">
                  <c:v>23218611718.279995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3,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44911</c:v>
                </c:pt>
                <c:pt idx="1">
                  <c:v>45283</c:v>
                </c:pt>
                <c:pt idx="2">
                  <c:v>45290</c:v>
                </c:pt>
                <c:pt idx="3">
                  <c:v>44932</c:v>
                </c:pt>
                <c:pt idx="4">
                  <c:v>44939</c:v>
                </c:pt>
                <c:pt idx="5">
                  <c:v>44946</c:v>
                </c:pt>
                <c:pt idx="6">
                  <c:v>44953</c:v>
                </c:pt>
                <c:pt idx="7">
                  <c:v>44960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1370504867164.7903</c:v>
                </c:pt>
                <c:pt idx="1">
                  <c:v>1391199417421.4255</c:v>
                </c:pt>
                <c:pt idx="2">
                  <c:v>1411045006243.8809</c:v>
                </c:pt>
                <c:pt idx="3">
                  <c:v>1422950870882.5374</c:v>
                </c:pt>
                <c:pt idx="4">
                  <c:v>1437907234781.4109</c:v>
                </c:pt>
                <c:pt idx="5">
                  <c:v>1449213690676.6555</c:v>
                </c:pt>
                <c:pt idx="6">
                  <c:v>1469823604527.4382</c:v>
                </c:pt>
                <c:pt idx="7">
                  <c:v>1490921997071.4626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3, 2023)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44904</c:v>
                </c:pt>
                <c:pt idx="1">
                  <c:v>44911</c:v>
                </c:pt>
                <c:pt idx="2">
                  <c:v>45283</c:v>
                </c:pt>
                <c:pt idx="3">
                  <c:v>45290</c:v>
                </c:pt>
                <c:pt idx="4">
                  <c:v>44932</c:v>
                </c:pt>
                <c:pt idx="5">
                  <c:v>44939</c:v>
                </c:pt>
                <c:pt idx="6">
                  <c:v>44946</c:v>
                </c:pt>
                <c:pt idx="7">
                  <c:v>44953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22922161098.549999</c:v>
                </c:pt>
                <c:pt idx="1">
                  <c:v>22933528265.999996</c:v>
                </c:pt>
                <c:pt idx="2">
                  <c:v>22759261173.869999</c:v>
                </c:pt>
                <c:pt idx="3">
                  <c:v>22836936554.239998</c:v>
                </c:pt>
                <c:pt idx="4" formatCode="#,##0.00">
                  <c:v>22955463973.109997</c:v>
                </c:pt>
                <c:pt idx="5" formatCode="#,##0.00">
                  <c:v>23622969337.439999</c:v>
                </c:pt>
                <c:pt idx="6" formatCode="#,##0.00">
                  <c:v>22775267421.450001</c:v>
                </c:pt>
                <c:pt idx="7" formatCode="#,##0.00">
                  <c:v>23218611718.279995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44904</c:v>
                </c:pt>
                <c:pt idx="1">
                  <c:v>44911</c:v>
                </c:pt>
                <c:pt idx="2">
                  <c:v>45283</c:v>
                </c:pt>
                <c:pt idx="3">
                  <c:v>45290</c:v>
                </c:pt>
                <c:pt idx="4">
                  <c:v>44932</c:v>
                </c:pt>
                <c:pt idx="5">
                  <c:v>44939</c:v>
                </c:pt>
                <c:pt idx="6">
                  <c:v>44946</c:v>
                </c:pt>
                <c:pt idx="7">
                  <c:v>44953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2869997501.9300003</c:v>
                </c:pt>
                <c:pt idx="1">
                  <c:v>2873228056.0900002</c:v>
                </c:pt>
                <c:pt idx="2">
                  <c:v>2888057210.21</c:v>
                </c:pt>
                <c:pt idx="3">
                  <c:v>2949746784.8499999</c:v>
                </c:pt>
                <c:pt idx="4">
                  <c:v>2980827214.75</c:v>
                </c:pt>
                <c:pt idx="5">
                  <c:v>3032033408.75</c:v>
                </c:pt>
                <c:pt idx="6">
                  <c:v>3037541892</c:v>
                </c:pt>
                <c:pt idx="7">
                  <c:v>3046932460.8900003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44904</c:v>
                </c:pt>
                <c:pt idx="1">
                  <c:v>44911</c:v>
                </c:pt>
                <c:pt idx="2">
                  <c:v>45283</c:v>
                </c:pt>
                <c:pt idx="3">
                  <c:v>45290</c:v>
                </c:pt>
                <c:pt idx="4">
                  <c:v>44932</c:v>
                </c:pt>
                <c:pt idx="5">
                  <c:v>44939</c:v>
                </c:pt>
                <c:pt idx="6">
                  <c:v>44946</c:v>
                </c:pt>
                <c:pt idx="7">
                  <c:v>44953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29903381585.981205</c:v>
                </c:pt>
                <c:pt idx="1">
                  <c:v>29870422741.332851</c:v>
                </c:pt>
                <c:pt idx="2">
                  <c:v>30095632697.342506</c:v>
                </c:pt>
                <c:pt idx="3">
                  <c:v>30126566651.346909</c:v>
                </c:pt>
                <c:pt idx="4">
                  <c:v>30336361937.028297</c:v>
                </c:pt>
                <c:pt idx="5">
                  <c:v>31041156130.042023</c:v>
                </c:pt>
                <c:pt idx="6">
                  <c:v>30761564463.892384</c:v>
                </c:pt>
                <c:pt idx="7">
                  <c:v>30652475117.892384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44904</c:v>
                </c:pt>
                <c:pt idx="1">
                  <c:v>44911</c:v>
                </c:pt>
                <c:pt idx="2">
                  <c:v>45283</c:v>
                </c:pt>
                <c:pt idx="3">
                  <c:v>45290</c:v>
                </c:pt>
                <c:pt idx="4">
                  <c:v>44932</c:v>
                </c:pt>
                <c:pt idx="5">
                  <c:v>44939</c:v>
                </c:pt>
                <c:pt idx="6">
                  <c:v>44946</c:v>
                </c:pt>
                <c:pt idx="7">
                  <c:v>44953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15444795301.529999</c:v>
                </c:pt>
                <c:pt idx="1">
                  <c:v>15526960302.890003</c:v>
                </c:pt>
                <c:pt idx="2">
                  <c:v>15749133335.319998</c:v>
                </c:pt>
                <c:pt idx="3">
                  <c:v>16107237306.709997</c:v>
                </c:pt>
                <c:pt idx="4">
                  <c:v>16254149306.32</c:v>
                </c:pt>
                <c:pt idx="5">
                  <c:v>16656064177.77</c:v>
                </c:pt>
                <c:pt idx="6">
                  <c:v>16651193594.34</c:v>
                </c:pt>
                <c:pt idx="7">
                  <c:v>16797381909.850002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44904</c:v>
                </c:pt>
                <c:pt idx="1">
                  <c:v>44911</c:v>
                </c:pt>
                <c:pt idx="2">
                  <c:v>45283</c:v>
                </c:pt>
                <c:pt idx="3">
                  <c:v>45290</c:v>
                </c:pt>
                <c:pt idx="4">
                  <c:v>44932</c:v>
                </c:pt>
                <c:pt idx="5">
                  <c:v>44939</c:v>
                </c:pt>
                <c:pt idx="6">
                  <c:v>44946</c:v>
                </c:pt>
                <c:pt idx="7">
                  <c:v>44953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45612800548.009995</c:v>
                </c:pt>
                <c:pt idx="1">
                  <c:v>45641120931.690002</c:v>
                </c:pt>
                <c:pt idx="2">
                  <c:v>45659418904.860001</c:v>
                </c:pt>
                <c:pt idx="3">
                  <c:v>45655500617.019997</c:v>
                </c:pt>
                <c:pt idx="4">
                  <c:v>46204685553.529999</c:v>
                </c:pt>
                <c:pt idx="5">
                  <c:v>46216946191.18</c:v>
                </c:pt>
                <c:pt idx="6">
                  <c:v>46235461396.509995</c:v>
                </c:pt>
                <c:pt idx="7">
                  <c:v>46212263995.169998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44904</c:v>
                </c:pt>
                <c:pt idx="1">
                  <c:v>44911</c:v>
                </c:pt>
                <c:pt idx="2">
                  <c:v>45283</c:v>
                </c:pt>
                <c:pt idx="3">
                  <c:v>45290</c:v>
                </c:pt>
                <c:pt idx="4">
                  <c:v>44932</c:v>
                </c:pt>
                <c:pt idx="5">
                  <c:v>44939</c:v>
                </c:pt>
                <c:pt idx="6">
                  <c:v>44946</c:v>
                </c:pt>
                <c:pt idx="7">
                  <c:v>44953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588565606910.96375</c:v>
                </c:pt>
                <c:pt idx="1">
                  <c:v>590991900611.65771</c:v>
                </c:pt>
                <c:pt idx="2">
                  <c:v>599441283293.77356</c:v>
                </c:pt>
                <c:pt idx="3">
                  <c:v>614697197461.63013</c:v>
                </c:pt>
                <c:pt idx="4">
                  <c:v>638005833111.39978</c:v>
                </c:pt>
                <c:pt idx="5">
                  <c:v>652456174435.47937</c:v>
                </c:pt>
                <c:pt idx="6">
                  <c:v>668991989528.35986</c:v>
                </c:pt>
                <c:pt idx="7">
                  <c:v>689393093044.69934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44904</c:v>
                </c:pt>
                <c:pt idx="1">
                  <c:v>44911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341163967419.0567</c:v>
                </c:pt>
                <c:pt idx="1">
                  <c:v>337768215375.69989</c:v>
                </c:pt>
                <c:pt idx="2">
                  <c:v>345947135557.62299</c:v>
                </c:pt>
                <c:pt idx="3">
                  <c:v>347146151227.32391</c:v>
                </c:pt>
                <c:pt idx="4">
                  <c:v>346020331729.3703</c:v>
                </c:pt>
                <c:pt idx="5">
                  <c:v>345947135557.62299</c:v>
                </c:pt>
                <c:pt idx="6">
                  <c:v>343126814140.64636</c:v>
                </c:pt>
                <c:pt idx="7">
                  <c:v>342048621360.02881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328523247840.62286</c:v>
                </c:pt>
                <c:pt idx="1">
                  <c:v>324899490879.42987</c:v>
                </c:pt>
                <c:pt idx="2">
                  <c:v>328659495248.42633</c:v>
                </c:pt>
                <c:pt idx="3">
                  <c:v>331525669640.7597</c:v>
                </c:pt>
                <c:pt idx="4">
                  <c:v>320193218057.02887</c:v>
                </c:pt>
                <c:pt idx="5">
                  <c:v>318934755543.12677</c:v>
                </c:pt>
                <c:pt idx="6">
                  <c:v>317633858239.45715</c:v>
                </c:pt>
                <c:pt idx="7">
                  <c:v>318454224920.62793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95</xdr:row>
      <xdr:rowOff>0</xdr:rowOff>
    </xdr:from>
    <xdr:to>
      <xdr:col>18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38" customWidth="1"/>
    <col min="9" max="9" width="17.140625" style="234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16" customWidth="1"/>
    <col min="17" max="17" width="6.7109375" style="116" customWidth="1"/>
    <col min="18" max="18" width="22.28515625" style="117" customWidth="1"/>
    <col min="19" max="19" width="18.42578125" style="116" customWidth="1"/>
    <col min="20" max="20" width="18.140625" style="116" customWidth="1"/>
    <col min="21" max="21" width="9.42578125" style="116" customWidth="1"/>
    <col min="22" max="22" width="18.42578125" style="116" customWidth="1"/>
    <col min="23" max="23" width="8.85546875" style="116" customWidth="1"/>
    <col min="24" max="24" width="25.140625" style="116" customWidth="1"/>
    <col min="25" max="30" width="8.85546875" style="116"/>
    <col min="31" max="31" width="9" style="116" bestFit="1" customWidth="1"/>
    <col min="32" max="40" width="8.85546875" style="116"/>
    <col min="41" max="41" width="9.28515625" style="116" bestFit="1" customWidth="1"/>
    <col min="42" max="49" width="8.85546875" style="116"/>
    <col min="50" max="50" width="8.85546875" style="116" customWidth="1"/>
    <col min="51" max="101" width="8.85546875" style="116"/>
    <col min="102" max="16384" width="8.85546875" style="4"/>
  </cols>
  <sheetData>
    <row r="1" spans="1:24" s="123" customFormat="1" ht="22.5" customHeight="1">
      <c r="A1" s="467" t="s">
        <v>283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9"/>
      <c r="Q1" s="121"/>
      <c r="R1" s="315"/>
      <c r="S1" s="124"/>
    </row>
    <row r="2" spans="1:24" s="123" customFormat="1" ht="25.5" customHeight="1">
      <c r="A2" s="263"/>
      <c r="B2" s="264"/>
      <c r="C2" s="264"/>
      <c r="D2" s="453" t="s">
        <v>281</v>
      </c>
      <c r="E2" s="453"/>
      <c r="F2" s="453"/>
      <c r="G2" s="453"/>
      <c r="H2" s="453"/>
      <c r="I2" s="453" t="s">
        <v>284</v>
      </c>
      <c r="J2" s="453"/>
      <c r="K2" s="453"/>
      <c r="L2" s="453"/>
      <c r="M2" s="453"/>
      <c r="N2" s="470" t="s">
        <v>67</v>
      </c>
      <c r="O2" s="471"/>
      <c r="P2" s="334" t="s">
        <v>236</v>
      </c>
      <c r="Q2" s="121"/>
      <c r="R2" s="315"/>
      <c r="S2" s="124"/>
    </row>
    <row r="3" spans="1:24" s="123" customFormat="1" ht="12.95" customHeight="1">
      <c r="A3" s="321" t="s">
        <v>1</v>
      </c>
      <c r="B3" s="322" t="s">
        <v>210</v>
      </c>
      <c r="C3" s="322" t="s">
        <v>2</v>
      </c>
      <c r="D3" s="323" t="s">
        <v>220</v>
      </c>
      <c r="E3" s="324" t="s">
        <v>66</v>
      </c>
      <c r="F3" s="324" t="s">
        <v>233</v>
      </c>
      <c r="G3" s="324" t="s">
        <v>234</v>
      </c>
      <c r="H3" s="325" t="s">
        <v>235</v>
      </c>
      <c r="I3" s="326" t="s">
        <v>220</v>
      </c>
      <c r="J3" s="324" t="s">
        <v>66</v>
      </c>
      <c r="K3" s="324" t="s">
        <v>233</v>
      </c>
      <c r="L3" s="324" t="s">
        <v>234</v>
      </c>
      <c r="M3" s="324" t="s">
        <v>235</v>
      </c>
      <c r="N3" s="327" t="s">
        <v>221</v>
      </c>
      <c r="O3" s="328" t="s">
        <v>127</v>
      </c>
      <c r="P3" s="329" t="s">
        <v>235</v>
      </c>
      <c r="Q3" s="121"/>
      <c r="R3" s="315"/>
      <c r="S3" s="124"/>
    </row>
    <row r="4" spans="1:24" s="123" customFormat="1" ht="5.25" customHeight="1">
      <c r="A4" s="472"/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4"/>
      <c r="Q4" s="121"/>
      <c r="R4" s="315"/>
      <c r="S4" s="124"/>
    </row>
    <row r="5" spans="1:24" s="123" customFormat="1" ht="12.95" customHeight="1">
      <c r="A5" s="475" t="s">
        <v>0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7"/>
      <c r="Q5" s="121"/>
      <c r="R5" s="315"/>
      <c r="S5" s="124"/>
    </row>
    <row r="6" spans="1:24" s="123" customFormat="1" ht="12.95" customHeight="1">
      <c r="A6" s="431">
        <v>1</v>
      </c>
      <c r="B6" s="432" t="s">
        <v>5</v>
      </c>
      <c r="C6" s="433" t="s">
        <v>246</v>
      </c>
      <c r="D6" s="393">
        <v>7580898994.7799997</v>
      </c>
      <c r="E6" s="205">
        <f t="shared" ref="E6:E21" si="0">(D6/$D$22)</f>
        <v>0.45131432002117855</v>
      </c>
      <c r="F6" s="392">
        <v>12795.72</v>
      </c>
      <c r="G6" s="392">
        <v>12940.1</v>
      </c>
      <c r="H6" s="401">
        <v>4.5900000000000003E-2</v>
      </c>
      <c r="I6" s="393">
        <v>7697512730.9799995</v>
      </c>
      <c r="J6" s="205">
        <f t="shared" ref="J6:J19" si="1">(I6/$I$22)</f>
        <v>0.44925826326434082</v>
      </c>
      <c r="K6" s="392">
        <v>13010.13</v>
      </c>
      <c r="L6" s="392">
        <v>13161.69</v>
      </c>
      <c r="M6" s="401">
        <v>6.3799999999999996E-2</v>
      </c>
      <c r="N6" s="84">
        <f>((I6-D6)/D6)</f>
        <v>1.5382573528587684E-2</v>
      </c>
      <c r="O6" s="396">
        <f t="shared" ref="O6:O21" si="2">((L6-G6)/G6)</f>
        <v>1.7124288065780029E-2</v>
      </c>
      <c r="P6" s="242">
        <f>M6-H6</f>
        <v>1.7899999999999992E-2</v>
      </c>
      <c r="Q6" s="121"/>
      <c r="S6" s="124"/>
    </row>
    <row r="7" spans="1:24" s="123" customFormat="1" ht="12.95" customHeight="1">
      <c r="A7" s="431">
        <v>2</v>
      </c>
      <c r="B7" s="432" t="s">
        <v>142</v>
      </c>
      <c r="C7" s="433" t="s">
        <v>49</v>
      </c>
      <c r="D7" s="393">
        <v>1020955662.3</v>
      </c>
      <c r="E7" s="205">
        <f t="shared" si="0"/>
        <v>6.0780642351252995E-2</v>
      </c>
      <c r="F7" s="392">
        <v>2.04</v>
      </c>
      <c r="G7" s="392">
        <v>2.08</v>
      </c>
      <c r="H7" s="401">
        <v>3.1199999999999999E-2</v>
      </c>
      <c r="I7" s="393">
        <v>1039220961.4</v>
      </c>
      <c r="J7" s="205">
        <f t="shared" si="1"/>
        <v>6.0653177277307659E-2</v>
      </c>
      <c r="K7" s="392">
        <v>2.0699999999999998</v>
      </c>
      <c r="L7" s="342">
        <v>2.12</v>
      </c>
      <c r="M7" s="401">
        <v>4.9700000000000001E-2</v>
      </c>
      <c r="N7" s="84">
        <f>((I7-D7)/D7)</f>
        <v>1.789039404400003E-2</v>
      </c>
      <c r="O7" s="84">
        <f t="shared" si="2"/>
        <v>1.9230769230769246E-2</v>
      </c>
      <c r="P7" s="242">
        <f>M7-H7</f>
        <v>1.8500000000000003E-2</v>
      </c>
      <c r="Q7" s="121"/>
      <c r="R7" s="315"/>
      <c r="S7" s="124"/>
    </row>
    <row r="8" spans="1:24" s="123" customFormat="1" ht="12.95" customHeight="1">
      <c r="A8" s="431">
        <v>3</v>
      </c>
      <c r="B8" s="432" t="s">
        <v>61</v>
      </c>
      <c r="C8" s="433" t="s">
        <v>11</v>
      </c>
      <c r="D8" s="393">
        <v>256063703.93000001</v>
      </c>
      <c r="E8" s="205">
        <f t="shared" si="0"/>
        <v>1.5244262784776239E-2</v>
      </c>
      <c r="F8" s="392">
        <v>128.65</v>
      </c>
      <c r="G8" s="392">
        <v>130.37</v>
      </c>
      <c r="H8" s="401">
        <v>6.9699999999999996E-3</v>
      </c>
      <c r="I8" s="393">
        <v>262267538.56999999</v>
      </c>
      <c r="J8" s="205">
        <f t="shared" si="1"/>
        <v>1.5307004094239525E-2</v>
      </c>
      <c r="K8" s="392">
        <v>131.80000000000001</v>
      </c>
      <c r="L8" s="392">
        <v>134.13999999999999</v>
      </c>
      <c r="M8" s="401">
        <v>2.4199999999999999E-2</v>
      </c>
      <c r="N8" s="84">
        <f>((I8-D8)/D8)</f>
        <v>2.4227700157363672E-2</v>
      </c>
      <c r="O8" s="84">
        <f t="shared" si="2"/>
        <v>2.8917695788908352E-2</v>
      </c>
      <c r="P8" s="242">
        <f>M8-H8</f>
        <v>1.7229999999999999E-2</v>
      </c>
      <c r="Q8" s="121"/>
      <c r="R8" s="315"/>
      <c r="S8" s="124"/>
      <c r="T8" s="157"/>
      <c r="U8" s="125"/>
      <c r="V8" s="125"/>
      <c r="W8" s="126"/>
    </row>
    <row r="9" spans="1:24" s="123" customFormat="1" ht="12.95" customHeight="1">
      <c r="A9" s="431">
        <v>4</v>
      </c>
      <c r="B9" s="432" t="s">
        <v>12</v>
      </c>
      <c r="C9" s="433" t="s">
        <v>13</v>
      </c>
      <c r="D9" s="393">
        <v>727628283.92999995</v>
      </c>
      <c r="E9" s="205">
        <f t="shared" si="0"/>
        <v>4.3317957991019895E-2</v>
      </c>
      <c r="F9" s="392">
        <v>18.53</v>
      </c>
      <c r="G9" s="392">
        <v>18.87</v>
      </c>
      <c r="H9" s="401">
        <v>2.7900000000000001E-2</v>
      </c>
      <c r="I9" s="340">
        <v>757132456.65999997</v>
      </c>
      <c r="J9" s="205">
        <f t="shared" si="1"/>
        <v>4.4189340690681762E-2</v>
      </c>
      <c r="K9" s="342">
        <v>18.53</v>
      </c>
      <c r="L9" s="342">
        <v>18.87</v>
      </c>
      <c r="M9" s="344">
        <v>6.9500000000000006E-2</v>
      </c>
      <c r="N9" s="84">
        <f>((I9-D9)/D9)</f>
        <v>4.0548413773368944E-2</v>
      </c>
      <c r="O9" s="84">
        <f t="shared" si="2"/>
        <v>0</v>
      </c>
      <c r="P9" s="242">
        <f>M9-H9</f>
        <v>4.1600000000000005E-2</v>
      </c>
      <c r="Q9" s="121"/>
      <c r="R9" s="315"/>
      <c r="S9" s="124"/>
      <c r="T9" s="157"/>
      <c r="U9" s="125"/>
      <c r="V9" s="125"/>
      <c r="W9" s="126"/>
    </row>
    <row r="10" spans="1:24" s="123" customFormat="1" ht="12.95" customHeight="1">
      <c r="A10" s="431">
        <v>5</v>
      </c>
      <c r="B10" s="432" t="s">
        <v>62</v>
      </c>
      <c r="C10" s="433" t="s">
        <v>17</v>
      </c>
      <c r="D10" s="393">
        <v>419366385.54000002</v>
      </c>
      <c r="E10" s="205">
        <f t="shared" si="0"/>
        <v>2.4966175549898235E-2</v>
      </c>
      <c r="F10" s="392">
        <v>195.83340000000001</v>
      </c>
      <c r="G10" s="392">
        <v>195.83340000000001</v>
      </c>
      <c r="H10" s="401">
        <v>3.8800000000000001E-2</v>
      </c>
      <c r="I10" s="393">
        <v>427697674.54000002</v>
      </c>
      <c r="J10" s="205">
        <f t="shared" si="1"/>
        <v>2.4962182094575732E-2</v>
      </c>
      <c r="K10" s="392">
        <v>199.8646</v>
      </c>
      <c r="L10" s="392">
        <v>202.28809999999999</v>
      </c>
      <c r="M10" s="401">
        <v>6.0199999999999997E-2</v>
      </c>
      <c r="N10" s="120">
        <f>((I10-D10)/D10)</f>
        <v>1.9866372907480789E-2</v>
      </c>
      <c r="O10" s="120">
        <f t="shared" si="2"/>
        <v>3.2960158992286166E-2</v>
      </c>
      <c r="P10" s="242">
        <f t="shared" ref="P10:P22" si="3">M10-H10</f>
        <v>2.1399999999999995E-2</v>
      </c>
      <c r="Q10" s="121"/>
      <c r="R10" s="315"/>
      <c r="S10" s="124"/>
      <c r="T10" s="157"/>
      <c r="U10" s="125"/>
      <c r="V10" s="125"/>
      <c r="W10" s="126"/>
    </row>
    <row r="11" spans="1:24" s="123" customFormat="1" ht="12.95" customHeight="1">
      <c r="A11" s="431">
        <v>6</v>
      </c>
      <c r="B11" s="432" t="s">
        <v>45</v>
      </c>
      <c r="C11" s="432" t="s">
        <v>81</v>
      </c>
      <c r="D11" s="392">
        <v>1947867404.49</v>
      </c>
      <c r="E11" s="205">
        <f t="shared" si="0"/>
        <v>0.11596255981700151</v>
      </c>
      <c r="F11" s="392">
        <v>1.0203</v>
      </c>
      <c r="G11" s="343">
        <v>1.0437000000000001</v>
      </c>
      <c r="H11" s="401">
        <v>7.0699999999999999E-2</v>
      </c>
      <c r="I11" s="392">
        <v>1976784489.8</v>
      </c>
      <c r="J11" s="205">
        <f t="shared" si="1"/>
        <v>0.11537321181180668</v>
      </c>
      <c r="K11" s="392">
        <v>1.0186999999999999</v>
      </c>
      <c r="L11" s="343">
        <v>1.0429999999999999</v>
      </c>
      <c r="M11" s="344">
        <v>6.9099999999999995E-2</v>
      </c>
      <c r="N11" s="84">
        <f t="shared" ref="N11:N22" si="4">((I11-D11)/D11)</f>
        <v>1.4845510142704582E-2</v>
      </c>
      <c r="O11" s="84">
        <f t="shared" si="2"/>
        <v>-6.7069081153602083E-4</v>
      </c>
      <c r="P11" s="242">
        <f t="shared" si="3"/>
        <v>-1.6000000000000042E-3</v>
      </c>
      <c r="Q11" s="121"/>
      <c r="R11" s="315"/>
      <c r="S11" s="124"/>
      <c r="T11" s="159"/>
      <c r="U11" s="126"/>
      <c r="V11" s="126"/>
      <c r="W11" s="127"/>
      <c r="X11" s="128"/>
    </row>
    <row r="12" spans="1:24" s="123" customFormat="1" ht="12.95" customHeight="1">
      <c r="A12" s="431">
        <v>7</v>
      </c>
      <c r="B12" s="432" t="s">
        <v>7</v>
      </c>
      <c r="C12" s="433" t="s">
        <v>14</v>
      </c>
      <c r="D12" s="392">
        <v>2389196752.1700001</v>
      </c>
      <c r="E12" s="205">
        <f t="shared" si="0"/>
        <v>0.14223625830457379</v>
      </c>
      <c r="F12" s="392">
        <v>22.7959</v>
      </c>
      <c r="G12" s="392">
        <v>23.4833</v>
      </c>
      <c r="H12" s="377">
        <v>0.19370000000000001</v>
      </c>
      <c r="I12" s="392">
        <v>2447565095.3200002</v>
      </c>
      <c r="J12" s="205">
        <f t="shared" si="1"/>
        <v>0.14284988961751172</v>
      </c>
      <c r="K12" s="392">
        <v>23.348199999999999</v>
      </c>
      <c r="L12" s="392">
        <v>24.052099999999999</v>
      </c>
      <c r="M12" s="377">
        <v>1.2629999999999999</v>
      </c>
      <c r="N12" s="84">
        <f t="shared" si="4"/>
        <v>2.4430111541457081E-2</v>
      </c>
      <c r="O12" s="84">
        <f t="shared" si="2"/>
        <v>2.4221468021956009E-2</v>
      </c>
      <c r="P12" s="242">
        <f t="shared" si="3"/>
        <v>1.0692999999999999</v>
      </c>
      <c r="Q12" s="121"/>
      <c r="R12" s="155"/>
      <c r="S12" s="124"/>
    </row>
    <row r="13" spans="1:24" s="123" customFormat="1" ht="12.95" customHeight="1">
      <c r="A13" s="431">
        <v>8</v>
      </c>
      <c r="B13" s="432" t="s">
        <v>201</v>
      </c>
      <c r="C13" s="433" t="s">
        <v>57</v>
      </c>
      <c r="D13" s="392">
        <v>382154034.18000001</v>
      </c>
      <c r="E13" s="205">
        <f t="shared" si="0"/>
        <v>2.2750809395832364E-2</v>
      </c>
      <c r="F13" s="392">
        <v>174.46</v>
      </c>
      <c r="G13" s="392">
        <v>177.02</v>
      </c>
      <c r="H13" s="401">
        <v>1.38E-2</v>
      </c>
      <c r="I13" s="392">
        <v>390977059.31</v>
      </c>
      <c r="J13" s="205">
        <f t="shared" si="1"/>
        <v>2.2819017100793693E-2</v>
      </c>
      <c r="K13" s="392">
        <v>178.55</v>
      </c>
      <c r="L13" s="392">
        <v>181.19</v>
      </c>
      <c r="M13" s="401">
        <v>2.35E-2</v>
      </c>
      <c r="N13" s="84">
        <f>((I13-D13)/D13)</f>
        <v>2.3087614785833255E-2</v>
      </c>
      <c r="O13" s="84">
        <f t="shared" si="2"/>
        <v>2.3556660264376833E-2</v>
      </c>
      <c r="P13" s="242">
        <f t="shared" si="3"/>
        <v>9.7000000000000003E-3</v>
      </c>
      <c r="Q13" s="121"/>
      <c r="R13" s="155"/>
      <c r="S13" s="124"/>
    </row>
    <row r="14" spans="1:24" s="123" customFormat="1" ht="12.95" customHeight="1">
      <c r="A14" s="431">
        <v>9</v>
      </c>
      <c r="B14" s="432" t="s">
        <v>59</v>
      </c>
      <c r="C14" s="433" t="s">
        <v>58</v>
      </c>
      <c r="D14" s="392">
        <v>296476092.69999999</v>
      </c>
      <c r="E14" s="205">
        <f t="shared" si="0"/>
        <v>1.7650137044639445E-2</v>
      </c>
      <c r="F14" s="392">
        <v>12.6309</v>
      </c>
      <c r="G14" s="392">
        <v>12.664999999999999</v>
      </c>
      <c r="H14" s="401">
        <v>2.4400000000000002E-2</v>
      </c>
      <c r="I14" s="339">
        <v>306310105.66000003</v>
      </c>
      <c r="J14" s="205">
        <f t="shared" si="1"/>
        <v>1.7877508085863001E-2</v>
      </c>
      <c r="K14" s="342">
        <v>13.0337</v>
      </c>
      <c r="L14" s="342">
        <v>13.0718</v>
      </c>
      <c r="M14" s="344">
        <v>5.7200000000000001E-2</v>
      </c>
      <c r="N14" s="84">
        <f t="shared" si="4"/>
        <v>3.3169665960050741E-2</v>
      </c>
      <c r="O14" s="84">
        <f t="shared" si="2"/>
        <v>3.2120015791551562E-2</v>
      </c>
      <c r="P14" s="242">
        <f t="shared" si="3"/>
        <v>3.2799999999999996E-2</v>
      </c>
      <c r="Q14" s="121"/>
      <c r="R14" s="155"/>
      <c r="S14" s="160"/>
      <c r="T14" s="160"/>
    </row>
    <row r="15" spans="1:24" s="123" customFormat="1" ht="12.95" customHeight="1">
      <c r="A15" s="431">
        <v>10</v>
      </c>
      <c r="B15" s="432" t="s">
        <v>5</v>
      </c>
      <c r="C15" s="433" t="s">
        <v>72</v>
      </c>
      <c r="D15" s="393">
        <v>354602282.91000003</v>
      </c>
      <c r="E15" s="205">
        <f t="shared" si="0"/>
        <v>2.1110568588195336E-2</v>
      </c>
      <c r="F15" s="392">
        <v>3407.52</v>
      </c>
      <c r="G15" s="392">
        <v>3450.66</v>
      </c>
      <c r="H15" s="401">
        <v>5.3900000000000003E-2</v>
      </c>
      <c r="I15" s="393">
        <v>363128838.67000002</v>
      </c>
      <c r="J15" s="205">
        <f t="shared" si="1"/>
        <v>2.1193681271289226E-2</v>
      </c>
      <c r="K15" s="392">
        <v>3489.27</v>
      </c>
      <c r="L15" s="392">
        <v>3533.76</v>
      </c>
      <c r="M15" s="344">
        <v>7.9200000000000007E-2</v>
      </c>
      <c r="N15" s="84">
        <f t="shared" si="4"/>
        <v>2.4045405714897997E-2</v>
      </c>
      <c r="O15" s="84">
        <f t="shared" si="2"/>
        <v>2.4082349463580986E-2</v>
      </c>
      <c r="P15" s="242">
        <f t="shared" si="3"/>
        <v>2.5300000000000003E-2</v>
      </c>
      <c r="Q15" s="121"/>
      <c r="R15" s="155"/>
      <c r="S15" s="161"/>
      <c r="T15" s="161"/>
    </row>
    <row r="16" spans="1:24" s="123" customFormat="1" ht="12.95" customHeight="1">
      <c r="A16" s="431">
        <v>11</v>
      </c>
      <c r="B16" s="432" t="s">
        <v>86</v>
      </c>
      <c r="C16" s="433" t="s">
        <v>87</v>
      </c>
      <c r="D16" s="393">
        <v>265833314.18000001</v>
      </c>
      <c r="E16" s="205">
        <f t="shared" si="0"/>
        <v>1.5825877842553255E-2</v>
      </c>
      <c r="F16" s="392">
        <v>141.97999999999999</v>
      </c>
      <c r="G16" s="392">
        <v>142.97</v>
      </c>
      <c r="H16" s="401">
        <v>1.7299999999999999E-2</v>
      </c>
      <c r="I16" s="393">
        <v>277239452.17000002</v>
      </c>
      <c r="J16" s="205">
        <f t="shared" si="1"/>
        <v>1.6180826085414515E-2</v>
      </c>
      <c r="K16" s="392">
        <v>141.97999999999999</v>
      </c>
      <c r="L16" s="392">
        <v>142.97</v>
      </c>
      <c r="M16" s="344">
        <v>6.0499999999999998E-2</v>
      </c>
      <c r="N16" s="84">
        <f t="shared" si="4"/>
        <v>4.2907105248203507E-2</v>
      </c>
      <c r="O16" s="84">
        <f t="shared" si="2"/>
        <v>0</v>
      </c>
      <c r="P16" s="242">
        <f t="shared" si="3"/>
        <v>4.3200000000000002E-2</v>
      </c>
      <c r="Q16" s="121"/>
      <c r="R16" s="155"/>
      <c r="S16" s="162"/>
      <c r="T16" s="162"/>
    </row>
    <row r="17" spans="1:23" s="123" customFormat="1" ht="12.95" customHeight="1">
      <c r="A17" s="431">
        <v>12</v>
      </c>
      <c r="B17" s="432" t="s">
        <v>265</v>
      </c>
      <c r="C17" s="433" t="s">
        <v>132</v>
      </c>
      <c r="D17" s="393">
        <v>328100755.11000001</v>
      </c>
      <c r="E17" s="205">
        <f t="shared" si="0"/>
        <v>1.953285082585408E-2</v>
      </c>
      <c r="F17" s="392">
        <v>1.27</v>
      </c>
      <c r="G17" s="392">
        <v>1.3</v>
      </c>
      <c r="H17" s="401">
        <v>-1E-3</v>
      </c>
      <c r="I17" s="393">
        <v>347540583.73000002</v>
      </c>
      <c r="J17" s="205">
        <f t="shared" si="1"/>
        <v>2.0283887083683567E-2</v>
      </c>
      <c r="K17" s="342">
        <v>1.28</v>
      </c>
      <c r="L17" s="342">
        <v>1.32</v>
      </c>
      <c r="M17" s="344">
        <v>1.41E-2</v>
      </c>
      <c r="N17" s="84">
        <f t="shared" si="4"/>
        <v>5.9249569887404104E-2</v>
      </c>
      <c r="O17" s="84">
        <f t="shared" si="2"/>
        <v>1.5384615384615398E-2</v>
      </c>
      <c r="P17" s="242">
        <f t="shared" si="3"/>
        <v>1.5099999999999999E-2</v>
      </c>
      <c r="Q17" s="121"/>
      <c r="R17" s="155"/>
      <c r="S17" s="161"/>
      <c r="T17" s="161"/>
    </row>
    <row r="18" spans="1:23" s="123" customFormat="1" ht="12.95" customHeight="1">
      <c r="A18" s="431">
        <v>13</v>
      </c>
      <c r="B18" s="432" t="s">
        <v>96</v>
      </c>
      <c r="C18" s="433" t="s">
        <v>135</v>
      </c>
      <c r="D18" s="392">
        <v>292251055.42000002</v>
      </c>
      <c r="E18" s="205">
        <f t="shared" si="0"/>
        <v>1.7398607532321669E-2</v>
      </c>
      <c r="F18" s="392">
        <v>1.485649</v>
      </c>
      <c r="G18" s="392">
        <v>1.512087</v>
      </c>
      <c r="H18" s="401">
        <v>0.04</v>
      </c>
      <c r="I18" s="392">
        <v>295718639.97000003</v>
      </c>
      <c r="J18" s="205">
        <f t="shared" si="1"/>
        <v>1.7259346915156182E-2</v>
      </c>
      <c r="K18" s="392">
        <v>1.503277</v>
      </c>
      <c r="L18" s="392">
        <v>1.530152</v>
      </c>
      <c r="M18" s="344">
        <v>3.9559191924386561E-2</v>
      </c>
      <c r="N18" s="84">
        <f t="shared" si="4"/>
        <v>1.1865088203074834E-2</v>
      </c>
      <c r="O18" s="84">
        <f t="shared" si="2"/>
        <v>1.1947063892487666E-2</v>
      </c>
      <c r="P18" s="242">
        <f t="shared" si="3"/>
        <v>-4.4080807561343999E-4</v>
      </c>
      <c r="Q18" s="121"/>
      <c r="R18" s="155"/>
      <c r="S18" s="163"/>
      <c r="T18" s="163"/>
    </row>
    <row r="19" spans="1:23" s="123" customFormat="1" ht="12.95" customHeight="1">
      <c r="A19" s="431">
        <v>14</v>
      </c>
      <c r="B19" s="432" t="s">
        <v>145</v>
      </c>
      <c r="C19" s="433" t="s">
        <v>146</v>
      </c>
      <c r="D19" s="392">
        <v>454097186.88</v>
      </c>
      <c r="E19" s="205">
        <f t="shared" si="0"/>
        <v>2.7033807370523435E-2</v>
      </c>
      <c r="F19" s="392">
        <v>151.45760000000001</v>
      </c>
      <c r="G19" s="392">
        <v>153.11070000000001</v>
      </c>
      <c r="H19" s="401">
        <v>4.8419999999999999E-3</v>
      </c>
      <c r="I19" s="339">
        <v>461533123.02999997</v>
      </c>
      <c r="J19" s="205">
        <f t="shared" si="1"/>
        <v>2.693695698052154E-2</v>
      </c>
      <c r="K19" s="342">
        <v>153.94710000000001</v>
      </c>
      <c r="L19" s="342">
        <v>155.60910000000001</v>
      </c>
      <c r="M19" s="344">
        <v>1.6286999999999999E-2</v>
      </c>
      <c r="N19" s="84">
        <v>5.6480000000000002E-3</v>
      </c>
      <c r="O19" s="84">
        <f t="shared" si="2"/>
        <v>1.6317605497199107E-2</v>
      </c>
      <c r="P19" s="242">
        <f>M19-H19</f>
        <v>1.1445E-2</v>
      </c>
      <c r="Q19" s="121"/>
      <c r="R19" s="341"/>
      <c r="S19" s="341"/>
      <c r="T19" s="163"/>
    </row>
    <row r="20" spans="1:23" s="397" customFormat="1" ht="12.95" customHeight="1">
      <c r="A20" s="431">
        <v>15</v>
      </c>
      <c r="B20" s="432" t="s">
        <v>238</v>
      </c>
      <c r="C20" s="433" t="s">
        <v>237</v>
      </c>
      <c r="D20" s="78">
        <v>25899730.210000001</v>
      </c>
      <c r="E20" s="400">
        <f>(D20/$D$22)</f>
        <v>1.5418908940096417E-3</v>
      </c>
      <c r="F20" s="392">
        <v>101</v>
      </c>
      <c r="G20" s="392">
        <v>104.29</v>
      </c>
      <c r="H20" s="401">
        <v>4.7000000000000002E-3</v>
      </c>
      <c r="I20" s="78">
        <v>26283144.050000001</v>
      </c>
      <c r="J20" s="400">
        <v>0.96619999999999995</v>
      </c>
      <c r="K20" s="392">
        <v>102.49</v>
      </c>
      <c r="L20" s="392">
        <v>105.84</v>
      </c>
      <c r="M20" s="401">
        <v>1.52E-2</v>
      </c>
      <c r="N20" s="396">
        <f>((I20-D20)/D20)</f>
        <v>1.4803777371084818E-2</v>
      </c>
      <c r="O20" s="396">
        <f>((L20-G20)/G20)</f>
        <v>1.4862402914948673E-2</v>
      </c>
      <c r="P20" s="403">
        <f>M20-H20</f>
        <v>1.0499999999999999E-2</v>
      </c>
      <c r="Q20" s="121"/>
      <c r="R20" s="341"/>
      <c r="S20" s="341"/>
      <c r="T20" s="163"/>
    </row>
    <row r="21" spans="1:23" s="123" customFormat="1" ht="12.95" customHeight="1">
      <c r="A21" s="431">
        <v>16</v>
      </c>
      <c r="B21" s="432" t="s">
        <v>270</v>
      </c>
      <c r="C21" s="433" t="s">
        <v>269</v>
      </c>
      <c r="D21" s="78">
        <v>55990271.119999997</v>
      </c>
      <c r="E21" s="205">
        <f t="shared" si="0"/>
        <v>3.3332736863693766E-3</v>
      </c>
      <c r="F21" s="392">
        <v>106.8379</v>
      </c>
      <c r="G21" s="392">
        <v>107.05970000000001</v>
      </c>
      <c r="H21" s="401">
        <v>5.0398999999999999E-2</v>
      </c>
      <c r="I21" s="78">
        <v>56913703.579999998</v>
      </c>
      <c r="J21" s="205">
        <v>0.96619999999999995</v>
      </c>
      <c r="K21" s="392">
        <v>108.5343</v>
      </c>
      <c r="L21" s="392">
        <v>108.9726</v>
      </c>
      <c r="M21" s="401">
        <v>3.3076000000000001E-2</v>
      </c>
      <c r="N21" s="84">
        <f t="shared" si="4"/>
        <v>1.6492730639236827E-2</v>
      </c>
      <c r="O21" s="84">
        <f t="shared" si="2"/>
        <v>1.7867600974035919E-2</v>
      </c>
      <c r="P21" s="242">
        <f t="shared" si="3"/>
        <v>-1.7322999999999998E-2</v>
      </c>
      <c r="Q21" s="121"/>
      <c r="R21" s="156"/>
      <c r="S21" s="130"/>
      <c r="T21" s="130"/>
    </row>
    <row r="22" spans="1:23" s="123" customFormat="1" ht="12.95" customHeight="1">
      <c r="A22" s="229"/>
      <c r="B22" s="306"/>
      <c r="C22" s="266" t="s">
        <v>46</v>
      </c>
      <c r="D22" s="73">
        <f>SUM(D6:D21)</f>
        <v>16797381909.850002</v>
      </c>
      <c r="E22" s="285">
        <f>(D22/$D$166)</f>
        <v>1.1428161759077555E-2</v>
      </c>
      <c r="F22" s="287"/>
      <c r="G22" s="74"/>
      <c r="H22" s="307"/>
      <c r="I22" s="73">
        <f>SUM(I6:I21)</f>
        <v>17133825597.439997</v>
      </c>
      <c r="J22" s="285">
        <f>(I22/$I$166)</f>
        <v>1.1492100613643801E-2</v>
      </c>
      <c r="K22" s="287"/>
      <c r="L22" s="74"/>
      <c r="M22" s="307"/>
      <c r="N22" s="289">
        <f t="shared" si="4"/>
        <v>2.0029531351710442E-2</v>
      </c>
      <c r="O22" s="289"/>
      <c r="P22" s="290">
        <f t="shared" si="3"/>
        <v>0</v>
      </c>
      <c r="Q22" s="121"/>
      <c r="R22" s="155"/>
      <c r="S22" s="164"/>
      <c r="V22" s="130"/>
      <c r="W22" s="130"/>
    </row>
    <row r="23" spans="1:23" s="123" customFormat="1" ht="5.25" customHeight="1">
      <c r="A23" s="447"/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/>
      <c r="O23" s="448"/>
      <c r="P23" s="449"/>
      <c r="Q23" s="121"/>
      <c r="R23" s="155"/>
      <c r="S23" s="164"/>
      <c r="V23" s="130"/>
      <c r="W23" s="130"/>
    </row>
    <row r="24" spans="1:23" s="123" customFormat="1" ht="12.95" customHeight="1">
      <c r="A24" s="441" t="s">
        <v>48</v>
      </c>
      <c r="B24" s="442"/>
      <c r="C24" s="442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3"/>
      <c r="Q24" s="121"/>
      <c r="R24" s="165"/>
      <c r="T24" s="166"/>
    </row>
    <row r="25" spans="1:23" s="123" customFormat="1" ht="12.95" customHeight="1">
      <c r="A25" s="431">
        <v>17</v>
      </c>
      <c r="B25" s="432" t="s">
        <v>5</v>
      </c>
      <c r="C25" s="433" t="s">
        <v>38</v>
      </c>
      <c r="D25" s="387">
        <v>287881440453.35999</v>
      </c>
      <c r="E25" s="207">
        <v>3.6200000000000003E-2</v>
      </c>
      <c r="F25" s="343">
        <v>100</v>
      </c>
      <c r="G25" s="343">
        <v>100</v>
      </c>
      <c r="H25" s="401">
        <v>0.124</v>
      </c>
      <c r="I25" s="387">
        <v>301352962735.25</v>
      </c>
      <c r="J25" s="205">
        <f t="shared" ref="J25:J53" si="5">(I25/$I$54)</f>
        <v>0.42540711668428122</v>
      </c>
      <c r="K25" s="76">
        <v>100</v>
      </c>
      <c r="L25" s="76">
        <v>100</v>
      </c>
      <c r="M25" s="347">
        <v>0.1124</v>
      </c>
      <c r="N25" s="84">
        <f>((I25-D25)/D25)</f>
        <v>4.6795383060036312E-2</v>
      </c>
      <c r="O25" s="84">
        <f t="shared" ref="O25:O52" si="6">((L25-G25)/G25)</f>
        <v>0</v>
      </c>
      <c r="P25" s="242">
        <f t="shared" ref="P25:P54" si="7">M25-H25</f>
        <v>-1.1599999999999999E-2</v>
      </c>
      <c r="Q25" s="121"/>
      <c r="R25" s="167"/>
      <c r="S25" s="122"/>
      <c r="T25" s="122"/>
    </row>
    <row r="26" spans="1:23" s="123" customFormat="1" ht="12.95" customHeight="1">
      <c r="A26" s="431">
        <v>18</v>
      </c>
      <c r="B26" s="432" t="s">
        <v>201</v>
      </c>
      <c r="C26" s="433" t="s">
        <v>18</v>
      </c>
      <c r="D26" s="387">
        <v>162294211621.66</v>
      </c>
      <c r="E26" s="207">
        <v>6.2600000000000003E-2</v>
      </c>
      <c r="F26" s="343">
        <v>100</v>
      </c>
      <c r="G26" s="343">
        <v>100</v>
      </c>
      <c r="H26" s="401">
        <v>0.1384</v>
      </c>
      <c r="I26" s="387">
        <v>166542275515.17999</v>
      </c>
      <c r="J26" s="205">
        <f t="shared" si="5"/>
        <v>0.23510062283739611</v>
      </c>
      <c r="K26" s="76">
        <v>100</v>
      </c>
      <c r="L26" s="76">
        <v>100</v>
      </c>
      <c r="M26" s="347">
        <v>0.1366</v>
      </c>
      <c r="N26" s="84">
        <f t="shared" ref="N26:N54" si="8">((I26-D26)/D26)</f>
        <v>2.6175079511911791E-2</v>
      </c>
      <c r="O26" s="84">
        <f t="shared" si="6"/>
        <v>0</v>
      </c>
      <c r="P26" s="242">
        <f t="shared" si="7"/>
        <v>-1.799999999999996E-3</v>
      </c>
      <c r="Q26" s="121"/>
      <c r="R26" s="168"/>
      <c r="S26" s="131"/>
      <c r="T26" s="166"/>
      <c r="U26" s="169"/>
    </row>
    <row r="27" spans="1:23" s="123" customFormat="1" ht="12.95" customHeight="1">
      <c r="A27" s="431">
        <v>19</v>
      </c>
      <c r="B27" s="432" t="s">
        <v>45</v>
      </c>
      <c r="C27" s="433" t="s">
        <v>82</v>
      </c>
      <c r="D27" s="387">
        <v>49246696123.610001</v>
      </c>
      <c r="E27" s="207">
        <v>5.2600000000000001E-2</v>
      </c>
      <c r="F27" s="343">
        <v>1</v>
      </c>
      <c r="G27" s="343">
        <v>1</v>
      </c>
      <c r="H27" s="401">
        <v>0.13800000000000001</v>
      </c>
      <c r="I27" s="387">
        <v>47873964795.900002</v>
      </c>
      <c r="J27" s="205">
        <f t="shared" si="5"/>
        <v>6.7581632990151949E-2</v>
      </c>
      <c r="K27" s="76">
        <v>1</v>
      </c>
      <c r="L27" s="76">
        <v>1</v>
      </c>
      <c r="M27" s="401">
        <v>0.12870000000000001</v>
      </c>
      <c r="N27" s="84">
        <f t="shared" si="8"/>
        <v>-2.7874587246714405E-2</v>
      </c>
      <c r="O27" s="84">
        <f t="shared" si="6"/>
        <v>0</v>
      </c>
      <c r="P27" s="242">
        <f t="shared" si="7"/>
        <v>-9.3000000000000027E-3</v>
      </c>
      <c r="Q27" s="121"/>
      <c r="R27" s="155"/>
      <c r="S27" s="124"/>
    </row>
    <row r="28" spans="1:23" s="123" customFormat="1" ht="12.95" customHeight="1">
      <c r="A28" s="431">
        <v>20</v>
      </c>
      <c r="B28" s="432" t="s">
        <v>40</v>
      </c>
      <c r="C28" s="433" t="s">
        <v>41</v>
      </c>
      <c r="D28" s="387">
        <v>1661270454.1700001</v>
      </c>
      <c r="E28" s="207">
        <v>8.6400000000000005E-2</v>
      </c>
      <c r="F28" s="343">
        <v>100</v>
      </c>
      <c r="G28" s="343">
        <v>100</v>
      </c>
      <c r="H28" s="401">
        <v>0.13287299999999999</v>
      </c>
      <c r="I28" s="387">
        <v>1700711484.52</v>
      </c>
      <c r="J28" s="205">
        <f t="shared" si="5"/>
        <v>2.4008218216096133E-3</v>
      </c>
      <c r="K28" s="76">
        <v>100</v>
      </c>
      <c r="L28" s="76">
        <v>100</v>
      </c>
      <c r="M28" s="401">
        <v>0.13111999999999999</v>
      </c>
      <c r="N28" s="84">
        <f t="shared" si="8"/>
        <v>2.3741486674248555E-2</v>
      </c>
      <c r="O28" s="84">
        <f t="shared" si="6"/>
        <v>0</v>
      </c>
      <c r="P28" s="242">
        <f t="shared" si="7"/>
        <v>-1.7530000000000046E-3</v>
      </c>
      <c r="Q28" s="121"/>
      <c r="R28" s="155"/>
      <c r="S28" s="131"/>
    </row>
    <row r="29" spans="1:23" s="123" customFormat="1" ht="12.95" customHeight="1">
      <c r="A29" s="431">
        <v>21</v>
      </c>
      <c r="B29" s="432" t="s">
        <v>7</v>
      </c>
      <c r="C29" s="433" t="s">
        <v>19</v>
      </c>
      <c r="D29" s="387">
        <v>73032387522.529999</v>
      </c>
      <c r="E29" s="207">
        <v>6.54E-2</v>
      </c>
      <c r="F29" s="343">
        <v>1</v>
      </c>
      <c r="G29" s="343">
        <v>1</v>
      </c>
      <c r="H29" s="401">
        <v>0.1101</v>
      </c>
      <c r="I29" s="387">
        <v>73607417069.979996</v>
      </c>
      <c r="J29" s="205">
        <f t="shared" si="5"/>
        <v>0.10390844934160245</v>
      </c>
      <c r="K29" s="76">
        <v>1</v>
      </c>
      <c r="L29" s="76">
        <v>1</v>
      </c>
      <c r="M29" s="347">
        <v>0.10680000000000001</v>
      </c>
      <c r="N29" s="84">
        <f t="shared" si="8"/>
        <v>7.8736238394589552E-3</v>
      </c>
      <c r="O29" s="84">
        <f t="shared" si="6"/>
        <v>0</v>
      </c>
      <c r="P29" s="242">
        <f t="shared" si="7"/>
        <v>-3.2999999999999974E-3</v>
      </c>
      <c r="Q29" s="121"/>
      <c r="R29" s="165"/>
      <c r="S29" s="124"/>
    </row>
    <row r="30" spans="1:23" s="123" customFormat="1" ht="12.95" customHeight="1">
      <c r="A30" s="431">
        <v>22</v>
      </c>
      <c r="B30" s="432" t="s">
        <v>59</v>
      </c>
      <c r="C30" s="433" t="s">
        <v>60</v>
      </c>
      <c r="D30" s="378">
        <v>2033810240.0799999</v>
      </c>
      <c r="E30" s="207">
        <v>6.4500000000000002E-2</v>
      </c>
      <c r="F30" s="343">
        <v>10</v>
      </c>
      <c r="G30" s="343">
        <v>10</v>
      </c>
      <c r="H30" s="401">
        <v>0.10390000000000001</v>
      </c>
      <c r="I30" s="346">
        <v>2065747472.3299999</v>
      </c>
      <c r="J30" s="205">
        <f t="shared" si="5"/>
        <v>2.9161275469980763E-3</v>
      </c>
      <c r="K30" s="76">
        <v>10</v>
      </c>
      <c r="L30" s="76">
        <v>10</v>
      </c>
      <c r="M30" s="347">
        <v>0.1053</v>
      </c>
      <c r="N30" s="84">
        <f t="shared" si="8"/>
        <v>1.5703152447862467E-2</v>
      </c>
      <c r="O30" s="84">
        <f t="shared" si="6"/>
        <v>0</v>
      </c>
      <c r="P30" s="242">
        <f t="shared" si="7"/>
        <v>1.3999999999999985E-3</v>
      </c>
      <c r="Q30" s="121"/>
      <c r="R30" s="155"/>
      <c r="S30" s="160"/>
      <c r="T30" s="463"/>
      <c r="U30" s="463"/>
    </row>
    <row r="31" spans="1:23" s="123" customFormat="1" ht="12.95" customHeight="1">
      <c r="A31" s="431">
        <v>23</v>
      </c>
      <c r="B31" s="432" t="s">
        <v>86</v>
      </c>
      <c r="C31" s="433" t="s">
        <v>88</v>
      </c>
      <c r="D31" s="387">
        <v>34524115454.029999</v>
      </c>
      <c r="E31" s="207">
        <v>6.9800000000000001E-2</v>
      </c>
      <c r="F31" s="343">
        <v>1</v>
      </c>
      <c r="G31" s="343">
        <v>1</v>
      </c>
      <c r="H31" s="401">
        <v>0.1174</v>
      </c>
      <c r="I31" s="387">
        <v>34986586178.199997</v>
      </c>
      <c r="J31" s="205">
        <f t="shared" si="5"/>
        <v>4.938907058886275E-2</v>
      </c>
      <c r="K31" s="76">
        <v>1</v>
      </c>
      <c r="L31" s="76">
        <v>1</v>
      </c>
      <c r="M31" s="347">
        <v>0.1177</v>
      </c>
      <c r="N31" s="84">
        <f t="shared" si="8"/>
        <v>1.339558503057937E-2</v>
      </c>
      <c r="O31" s="84">
        <f t="shared" si="6"/>
        <v>0</v>
      </c>
      <c r="P31" s="242">
        <f t="shared" si="7"/>
        <v>2.9999999999999472E-4</v>
      </c>
      <c r="Q31" s="121"/>
      <c r="R31" s="155"/>
      <c r="S31" s="124"/>
      <c r="T31" s="461"/>
      <c r="U31" s="461"/>
    </row>
    <row r="32" spans="1:23" s="123" customFormat="1" ht="12.95" customHeight="1">
      <c r="A32" s="431">
        <v>24</v>
      </c>
      <c r="B32" s="432" t="s">
        <v>93</v>
      </c>
      <c r="C32" s="433" t="s">
        <v>92</v>
      </c>
      <c r="D32" s="387">
        <v>2132435455.0699999</v>
      </c>
      <c r="E32" s="207">
        <v>4.2599999999999999E-2</v>
      </c>
      <c r="F32" s="343">
        <v>100</v>
      </c>
      <c r="G32" s="343">
        <v>100</v>
      </c>
      <c r="H32" s="401">
        <v>0.1086</v>
      </c>
      <c r="I32" s="345">
        <v>1926409642.1700001</v>
      </c>
      <c r="J32" s="205">
        <f t="shared" si="5"/>
        <v>2.7194302786673012E-3</v>
      </c>
      <c r="K32" s="76">
        <v>100</v>
      </c>
      <c r="L32" s="76">
        <v>100</v>
      </c>
      <c r="M32" s="347">
        <v>9.64E-2</v>
      </c>
      <c r="N32" s="84">
        <f>((I32-D32)/D32)</f>
        <v>-9.6615263270998647E-2</v>
      </c>
      <c r="O32" s="84">
        <f t="shared" si="6"/>
        <v>0</v>
      </c>
      <c r="P32" s="242">
        <f t="shared" si="7"/>
        <v>-1.2200000000000003E-2</v>
      </c>
      <c r="Q32" s="121"/>
      <c r="R32" s="155"/>
      <c r="S32" s="124"/>
      <c r="T32" s="462"/>
      <c r="U32" s="462"/>
    </row>
    <row r="33" spans="1:21" s="123" customFormat="1" ht="12.95" customHeight="1">
      <c r="A33" s="431">
        <v>25</v>
      </c>
      <c r="B33" s="432" t="s">
        <v>94</v>
      </c>
      <c r="C33" s="433" t="s">
        <v>95</v>
      </c>
      <c r="D33" s="387">
        <v>5097600129.79</v>
      </c>
      <c r="E33" s="207">
        <v>7.0599999999999996E-2</v>
      </c>
      <c r="F33" s="343">
        <v>100</v>
      </c>
      <c r="G33" s="343">
        <v>100</v>
      </c>
      <c r="H33" s="401">
        <v>0.11</v>
      </c>
      <c r="I33" s="387">
        <v>5276874127.3199997</v>
      </c>
      <c r="J33" s="205">
        <f t="shared" si="5"/>
        <v>7.449138004928935E-3</v>
      </c>
      <c r="K33" s="76">
        <v>100</v>
      </c>
      <c r="L33" s="76">
        <v>100</v>
      </c>
      <c r="M33" s="401">
        <v>0.1062</v>
      </c>
      <c r="N33" s="84">
        <f t="shared" si="8"/>
        <v>3.5168313120979358E-2</v>
      </c>
      <c r="O33" s="84">
        <f t="shared" si="6"/>
        <v>0</v>
      </c>
      <c r="P33" s="242">
        <f t="shared" si="7"/>
        <v>-3.7999999999999978E-3</v>
      </c>
      <c r="Q33" s="121"/>
      <c r="R33" s="155"/>
      <c r="S33" s="124"/>
    </row>
    <row r="34" spans="1:21" s="123" customFormat="1" ht="12.95" customHeight="1">
      <c r="A34" s="431">
        <v>26</v>
      </c>
      <c r="B34" s="432" t="s">
        <v>96</v>
      </c>
      <c r="C34" s="433" t="s">
        <v>101</v>
      </c>
      <c r="D34" s="378">
        <v>662781568.05999994</v>
      </c>
      <c r="E34" s="207">
        <v>6.6600000000000006E-2</v>
      </c>
      <c r="F34" s="343">
        <v>10</v>
      </c>
      <c r="G34" s="343">
        <v>10</v>
      </c>
      <c r="H34" s="401">
        <v>0.1033</v>
      </c>
      <c r="I34" s="378">
        <v>675469573</v>
      </c>
      <c r="J34" s="205">
        <f t="shared" si="5"/>
        <v>9.5353156925933431E-4</v>
      </c>
      <c r="K34" s="76">
        <v>10</v>
      </c>
      <c r="L34" s="76">
        <v>10</v>
      </c>
      <c r="M34" s="347">
        <v>0</v>
      </c>
      <c r="N34" s="84">
        <f t="shared" si="8"/>
        <v>1.9143569392158239E-2</v>
      </c>
      <c r="O34" s="84">
        <f t="shared" si="6"/>
        <v>0</v>
      </c>
      <c r="P34" s="242">
        <f t="shared" si="7"/>
        <v>-0.1033</v>
      </c>
      <c r="Q34" s="121"/>
      <c r="R34" s="158"/>
      <c r="S34" s="170"/>
    </row>
    <row r="35" spans="1:21" s="123" customFormat="1" ht="12.95" customHeight="1">
      <c r="A35" s="431">
        <v>27</v>
      </c>
      <c r="B35" s="432" t="s">
        <v>12</v>
      </c>
      <c r="C35" s="433" t="s">
        <v>103</v>
      </c>
      <c r="D35" s="387">
        <v>4351234721.0900002</v>
      </c>
      <c r="E35" s="207">
        <v>5.3699999999999998E-2</v>
      </c>
      <c r="F35" s="343">
        <v>100</v>
      </c>
      <c r="G35" s="343">
        <v>100</v>
      </c>
      <c r="H35" s="401">
        <v>0.1133</v>
      </c>
      <c r="I35" s="387">
        <v>4374181165.1400003</v>
      </c>
      <c r="J35" s="205">
        <f t="shared" si="5"/>
        <v>6.1748448743531607E-3</v>
      </c>
      <c r="K35" s="76">
        <v>100</v>
      </c>
      <c r="L35" s="76">
        <v>100</v>
      </c>
      <c r="M35" s="347">
        <v>0.1056</v>
      </c>
      <c r="N35" s="84">
        <f t="shared" si="8"/>
        <v>5.2735477446852197E-3</v>
      </c>
      <c r="O35" s="84">
        <f t="shared" si="6"/>
        <v>0</v>
      </c>
      <c r="P35" s="242">
        <f t="shared" si="7"/>
        <v>-7.6999999999999985E-3</v>
      </c>
      <c r="Q35" s="121"/>
      <c r="R35" s="171"/>
      <c r="S35" s="124"/>
      <c r="T35" s="463"/>
      <c r="U35" s="463"/>
    </row>
    <row r="36" spans="1:21" s="123" customFormat="1" ht="12.95" customHeight="1">
      <c r="A36" s="431">
        <v>28</v>
      </c>
      <c r="B36" s="432" t="s">
        <v>265</v>
      </c>
      <c r="C36" s="433" t="s">
        <v>104</v>
      </c>
      <c r="D36" s="387">
        <v>12020396759.15</v>
      </c>
      <c r="E36" s="207">
        <v>4.7199999999999999E-2</v>
      </c>
      <c r="F36" s="343">
        <v>100</v>
      </c>
      <c r="G36" s="343">
        <v>100</v>
      </c>
      <c r="H36" s="401">
        <v>0.10340000000000001</v>
      </c>
      <c r="I36" s="387">
        <v>12504464911.290001</v>
      </c>
      <c r="J36" s="205">
        <f t="shared" si="5"/>
        <v>1.7652019463518659E-2</v>
      </c>
      <c r="K36" s="76">
        <v>100</v>
      </c>
      <c r="L36" s="76">
        <v>100</v>
      </c>
      <c r="M36" s="347">
        <v>9.6799999999999997E-2</v>
      </c>
      <c r="N36" s="84">
        <f t="shared" si="8"/>
        <v>4.02705635961247E-2</v>
      </c>
      <c r="O36" s="84">
        <f t="shared" si="6"/>
        <v>0</v>
      </c>
      <c r="P36" s="242">
        <f t="shared" si="7"/>
        <v>-6.6000000000000086E-3</v>
      </c>
      <c r="Q36" s="121"/>
      <c r="R36" s="155"/>
      <c r="S36" s="133"/>
    </row>
    <row r="37" spans="1:21" s="123" customFormat="1" ht="12.95" customHeight="1">
      <c r="A37" s="431">
        <v>29</v>
      </c>
      <c r="B37" s="432" t="s">
        <v>105</v>
      </c>
      <c r="C37" s="433" t="s">
        <v>107</v>
      </c>
      <c r="D37" s="387">
        <v>10917044746.450001</v>
      </c>
      <c r="E37" s="207">
        <v>4.5100000000000001E-2</v>
      </c>
      <c r="F37" s="72">
        <v>100</v>
      </c>
      <c r="G37" s="72">
        <v>100</v>
      </c>
      <c r="H37" s="401">
        <v>0.11409999999999999</v>
      </c>
      <c r="I37" s="387">
        <v>11015445726.200001</v>
      </c>
      <c r="J37" s="205">
        <f t="shared" si="5"/>
        <v>1.5550034626644114E-2</v>
      </c>
      <c r="K37" s="72">
        <v>100</v>
      </c>
      <c r="L37" s="72">
        <v>100</v>
      </c>
      <c r="M37" s="401">
        <v>0.106</v>
      </c>
      <c r="N37" s="84">
        <f t="shared" si="8"/>
        <v>9.0135180385697306E-3</v>
      </c>
      <c r="O37" s="84">
        <f t="shared" si="6"/>
        <v>0</v>
      </c>
      <c r="P37" s="242">
        <f t="shared" si="7"/>
        <v>-8.0999999999999961E-3</v>
      </c>
      <c r="Q37" s="121"/>
      <c r="R37" s="155"/>
      <c r="S37" s="134"/>
    </row>
    <row r="38" spans="1:21" s="123" customFormat="1" ht="12.95" customHeight="1">
      <c r="A38" s="431">
        <v>30</v>
      </c>
      <c r="B38" s="432" t="s">
        <v>105</v>
      </c>
      <c r="C38" s="433" t="s">
        <v>106</v>
      </c>
      <c r="D38" s="387">
        <v>564203738.75999999</v>
      </c>
      <c r="E38" s="207">
        <v>5.2900000000000003E-2</v>
      </c>
      <c r="F38" s="72">
        <v>1000000</v>
      </c>
      <c r="G38" s="72">
        <v>1000000</v>
      </c>
      <c r="H38" s="401">
        <v>8.4500000000000006E-2</v>
      </c>
      <c r="I38" s="387">
        <v>565070760.17999995</v>
      </c>
      <c r="J38" s="205">
        <f t="shared" si="5"/>
        <v>7.9768627668000121E-4</v>
      </c>
      <c r="K38" s="72">
        <v>1000000</v>
      </c>
      <c r="L38" s="72">
        <v>1000000</v>
      </c>
      <c r="M38" s="401">
        <v>7.6200000000000004E-2</v>
      </c>
      <c r="N38" s="84">
        <f t="shared" si="8"/>
        <v>1.5367168992986222E-3</v>
      </c>
      <c r="O38" s="84">
        <f t="shared" si="6"/>
        <v>0</v>
      </c>
      <c r="P38" s="242">
        <f t="shared" si="7"/>
        <v>-8.3000000000000018E-3</v>
      </c>
      <c r="Q38" s="121"/>
      <c r="R38" s="155"/>
      <c r="S38" s="133"/>
    </row>
    <row r="39" spans="1:21" s="123" customFormat="1" ht="12.95" customHeight="1">
      <c r="A39" s="431">
        <v>31</v>
      </c>
      <c r="B39" s="432" t="s">
        <v>114</v>
      </c>
      <c r="C39" s="433" t="s">
        <v>115</v>
      </c>
      <c r="D39" s="387">
        <v>4023325120.48</v>
      </c>
      <c r="E39" s="207">
        <v>6.3E-2</v>
      </c>
      <c r="F39" s="343">
        <v>1</v>
      </c>
      <c r="G39" s="343">
        <v>1</v>
      </c>
      <c r="H39" s="401">
        <v>0.12089999999999999</v>
      </c>
      <c r="I39" s="345">
        <v>4054538294.4499998</v>
      </c>
      <c r="J39" s="205">
        <f t="shared" si="5"/>
        <v>5.7236186751656584E-3</v>
      </c>
      <c r="K39" s="76">
        <v>1</v>
      </c>
      <c r="L39" s="76">
        <v>1</v>
      </c>
      <c r="M39" s="347">
        <v>0.1202</v>
      </c>
      <c r="N39" s="84">
        <f t="shared" si="8"/>
        <v>7.7580541058227788E-3</v>
      </c>
      <c r="O39" s="84">
        <f t="shared" si="6"/>
        <v>0</v>
      </c>
      <c r="P39" s="242">
        <f t="shared" si="7"/>
        <v>-6.999999999999923E-4</v>
      </c>
      <c r="Q39" s="121"/>
      <c r="R39" s="155"/>
      <c r="S39" s="133"/>
      <c r="T39" s="135"/>
    </row>
    <row r="40" spans="1:21" s="123" customFormat="1" ht="12.95" customHeight="1">
      <c r="A40" s="431">
        <v>32</v>
      </c>
      <c r="B40" s="432" t="s">
        <v>15</v>
      </c>
      <c r="C40" s="433" t="s">
        <v>120</v>
      </c>
      <c r="D40" s="387">
        <v>18748003183.139999</v>
      </c>
      <c r="E40" s="207">
        <v>5.9200000000000003E-2</v>
      </c>
      <c r="F40" s="343">
        <v>1</v>
      </c>
      <c r="G40" s="343">
        <v>1</v>
      </c>
      <c r="H40" s="401">
        <v>0.1048</v>
      </c>
      <c r="I40" s="387">
        <v>19639567240.580002</v>
      </c>
      <c r="J40" s="205">
        <f t="shared" si="5"/>
        <v>2.7724338917756792E-2</v>
      </c>
      <c r="K40" s="76">
        <v>1</v>
      </c>
      <c r="L40" s="76">
        <v>1</v>
      </c>
      <c r="M40" s="347">
        <v>0.10340000000000001</v>
      </c>
      <c r="N40" s="84">
        <f t="shared" si="8"/>
        <v>4.7555147539220723E-2</v>
      </c>
      <c r="O40" s="84">
        <f t="shared" si="6"/>
        <v>0</v>
      </c>
      <c r="P40" s="242">
        <f t="shared" si="7"/>
        <v>-1.3999999999999985E-3</v>
      </c>
      <c r="Q40" s="121"/>
      <c r="R40" s="165"/>
      <c r="S40" s="464"/>
      <c r="T40" s="198"/>
    </row>
    <row r="41" spans="1:21" s="123" customFormat="1" ht="12.95" customHeight="1">
      <c r="A41" s="431">
        <v>33</v>
      </c>
      <c r="B41" s="432" t="s">
        <v>62</v>
      </c>
      <c r="C41" s="433" t="s">
        <v>123</v>
      </c>
      <c r="D41" s="387">
        <v>678838566.63999999</v>
      </c>
      <c r="E41" s="207">
        <v>7.9600000000000004E-2</v>
      </c>
      <c r="F41" s="343">
        <v>100</v>
      </c>
      <c r="G41" s="343">
        <v>100</v>
      </c>
      <c r="H41" s="401">
        <v>0.13950000000000001</v>
      </c>
      <c r="I41" s="387">
        <v>685907164.41999996</v>
      </c>
      <c r="J41" s="205">
        <f t="shared" si="5"/>
        <v>9.6826587162294401E-4</v>
      </c>
      <c r="K41" s="76">
        <v>100</v>
      </c>
      <c r="L41" s="76">
        <v>100</v>
      </c>
      <c r="M41" s="347">
        <v>0.13400000000000001</v>
      </c>
      <c r="N41" s="120">
        <f t="shared" si="8"/>
        <v>1.0412781664699632E-2</v>
      </c>
      <c r="O41" s="120">
        <f t="shared" si="6"/>
        <v>0</v>
      </c>
      <c r="P41" s="242">
        <f t="shared" si="7"/>
        <v>-5.5000000000000049E-3</v>
      </c>
      <c r="Q41" s="121"/>
      <c r="R41" s="167"/>
      <c r="S41" s="464"/>
      <c r="T41" s="198"/>
    </row>
    <row r="42" spans="1:21" s="123" customFormat="1" ht="12.95" customHeight="1">
      <c r="A42" s="431">
        <v>34</v>
      </c>
      <c r="B42" s="432" t="s">
        <v>142</v>
      </c>
      <c r="C42" s="433" t="s">
        <v>130</v>
      </c>
      <c r="D42" s="410">
        <v>3450376869.5100002</v>
      </c>
      <c r="E42" s="207">
        <v>4.8399999999999999E-2</v>
      </c>
      <c r="F42" s="343">
        <v>1</v>
      </c>
      <c r="G42" s="343">
        <v>1</v>
      </c>
      <c r="H42" s="401">
        <v>0.1053</v>
      </c>
      <c r="I42" s="410">
        <v>3405676489.3499999</v>
      </c>
      <c r="J42" s="205">
        <f t="shared" si="5"/>
        <v>4.8076481563138094E-3</v>
      </c>
      <c r="K42" s="76">
        <v>1</v>
      </c>
      <c r="L42" s="76">
        <v>1</v>
      </c>
      <c r="M42" s="401">
        <v>9.2499999999999999E-2</v>
      </c>
      <c r="N42" s="120">
        <f t="shared" si="8"/>
        <v>-1.2955216734439903E-2</v>
      </c>
      <c r="O42" s="120">
        <f t="shared" si="6"/>
        <v>0</v>
      </c>
      <c r="P42" s="242">
        <f t="shared" si="7"/>
        <v>-1.2800000000000006E-2</v>
      </c>
      <c r="Q42" s="121"/>
      <c r="R42" s="158"/>
      <c r="S42" s="133"/>
    </row>
    <row r="43" spans="1:21" s="123" customFormat="1" ht="12.95" customHeight="1">
      <c r="A43" s="431">
        <v>35</v>
      </c>
      <c r="B43" s="432" t="s">
        <v>191</v>
      </c>
      <c r="C43" s="433" t="s">
        <v>131</v>
      </c>
      <c r="D43" s="387">
        <v>540837911.65999997</v>
      </c>
      <c r="E43" s="207">
        <v>4.9799999999999997E-2</v>
      </c>
      <c r="F43" s="343">
        <v>10</v>
      </c>
      <c r="G43" s="343">
        <v>10</v>
      </c>
      <c r="H43" s="401">
        <v>8.1799999999999998E-2</v>
      </c>
      <c r="I43" s="387">
        <v>545763593.88999999</v>
      </c>
      <c r="J43" s="205">
        <f t="shared" si="5"/>
        <v>7.7043117399833746E-4</v>
      </c>
      <c r="K43" s="76">
        <v>10</v>
      </c>
      <c r="L43" s="76">
        <v>10</v>
      </c>
      <c r="M43" s="347">
        <v>7.8700000000000006E-2</v>
      </c>
      <c r="N43" s="120">
        <f t="shared" si="8"/>
        <v>9.1075017557137716E-3</v>
      </c>
      <c r="O43" s="84">
        <f t="shared" si="6"/>
        <v>0</v>
      </c>
      <c r="P43" s="242">
        <f t="shared" si="7"/>
        <v>-3.0999999999999917E-3</v>
      </c>
      <c r="Q43" s="121"/>
      <c r="R43" s="155"/>
      <c r="S43" s="172"/>
      <c r="T43" s="198"/>
    </row>
    <row r="44" spans="1:21" s="123" customFormat="1" ht="12.95" customHeight="1">
      <c r="A44" s="431">
        <v>36</v>
      </c>
      <c r="B44" s="432" t="s">
        <v>42</v>
      </c>
      <c r="C44" s="433" t="s">
        <v>141</v>
      </c>
      <c r="D44" s="387">
        <v>642927561.24000001</v>
      </c>
      <c r="E44" s="207">
        <v>2.2200000000000001E-2</v>
      </c>
      <c r="F44" s="343">
        <v>1</v>
      </c>
      <c r="G44" s="343">
        <v>1</v>
      </c>
      <c r="H44" s="401">
        <v>0.1153</v>
      </c>
      <c r="I44" s="387">
        <v>649009247.21000004</v>
      </c>
      <c r="J44" s="205">
        <f t="shared" si="5"/>
        <v>9.1617865658616513E-4</v>
      </c>
      <c r="K44" s="76">
        <v>1</v>
      </c>
      <c r="L44" s="76">
        <v>1</v>
      </c>
      <c r="M44" s="347">
        <v>9.7299999999999998E-2</v>
      </c>
      <c r="N44" s="84">
        <f t="shared" si="8"/>
        <v>9.4593642217957134E-3</v>
      </c>
      <c r="O44" s="84">
        <f t="shared" si="6"/>
        <v>0</v>
      </c>
      <c r="P44" s="242">
        <f t="shared" si="7"/>
        <v>-1.8000000000000002E-2</v>
      </c>
      <c r="Q44" s="121"/>
      <c r="R44" s="155"/>
      <c r="S44" s="172"/>
      <c r="T44" s="198"/>
    </row>
    <row r="45" spans="1:21" s="123" customFormat="1" ht="12.95" customHeight="1">
      <c r="A45" s="431">
        <v>37</v>
      </c>
      <c r="B45" s="432" t="s">
        <v>9</v>
      </c>
      <c r="C45" s="433" t="s">
        <v>251</v>
      </c>
      <c r="D45" s="387">
        <v>8377701168.6900005</v>
      </c>
      <c r="E45" s="207">
        <v>6.1269999999999998E-2</v>
      </c>
      <c r="F45" s="343">
        <v>100</v>
      </c>
      <c r="G45" s="343">
        <v>100</v>
      </c>
      <c r="H45" s="401">
        <v>0.13819999999999999</v>
      </c>
      <c r="I45" s="345">
        <v>8419801649.0600004</v>
      </c>
      <c r="J45" s="205">
        <f t="shared" si="5"/>
        <v>1.1885874656978091E-2</v>
      </c>
      <c r="K45" s="76">
        <v>100</v>
      </c>
      <c r="L45" s="76">
        <v>100</v>
      </c>
      <c r="M45" s="347">
        <v>0.1386</v>
      </c>
      <c r="N45" s="84">
        <f t="shared" si="8"/>
        <v>5.025302230562018E-3</v>
      </c>
      <c r="O45" s="84">
        <f t="shared" si="6"/>
        <v>0</v>
      </c>
      <c r="P45" s="242">
        <f t="shared" si="7"/>
        <v>4.0000000000001146E-4</v>
      </c>
      <c r="Q45" s="121"/>
      <c r="R45" s="155"/>
      <c r="S45" s="133"/>
    </row>
    <row r="46" spans="1:21" s="123" customFormat="1" ht="12.95" customHeight="1">
      <c r="A46" s="431">
        <v>38</v>
      </c>
      <c r="B46" s="432" t="s">
        <v>143</v>
      </c>
      <c r="C46" s="433" t="s">
        <v>144</v>
      </c>
      <c r="D46" s="378">
        <v>230763619.41</v>
      </c>
      <c r="E46" s="205">
        <f>(D46/$I$54)</f>
        <v>3.2575915324609459E-4</v>
      </c>
      <c r="F46" s="343">
        <v>1</v>
      </c>
      <c r="G46" s="343">
        <v>1</v>
      </c>
      <c r="H46" s="384">
        <v>5.8999999999999997E-2</v>
      </c>
      <c r="I46" s="387">
        <v>273120839.00999999</v>
      </c>
      <c r="J46" s="205">
        <f t="shared" si="5"/>
        <v>3.8555303248075589E-4</v>
      </c>
      <c r="K46" s="76">
        <v>1</v>
      </c>
      <c r="L46" s="76">
        <v>1</v>
      </c>
      <c r="M46" s="348">
        <v>6.2899999999999998E-2</v>
      </c>
      <c r="N46" s="84">
        <f t="shared" si="8"/>
        <v>0.18355241484032847</v>
      </c>
      <c r="O46" s="84">
        <f t="shared" si="6"/>
        <v>0</v>
      </c>
      <c r="P46" s="242">
        <f t="shared" si="7"/>
        <v>3.9000000000000007E-3</v>
      </c>
      <c r="Q46" s="121"/>
      <c r="R46" s="155"/>
      <c r="S46" s="133"/>
    </row>
    <row r="47" spans="1:21" s="123" customFormat="1" ht="12.95" customHeight="1">
      <c r="A47" s="431">
        <v>39</v>
      </c>
      <c r="B47" s="432" t="s">
        <v>145</v>
      </c>
      <c r="C47" s="433" t="s">
        <v>147</v>
      </c>
      <c r="D47" s="387">
        <v>429020055.66000003</v>
      </c>
      <c r="E47" s="207">
        <v>2.0000000000000001E-4</v>
      </c>
      <c r="F47" s="343">
        <v>100</v>
      </c>
      <c r="G47" s="343">
        <v>100</v>
      </c>
      <c r="H47" s="401">
        <v>1.2689999999999999E-3</v>
      </c>
      <c r="I47" s="345">
        <v>434932968.81999999</v>
      </c>
      <c r="J47" s="205">
        <f t="shared" si="5"/>
        <v>6.1397631049408608E-4</v>
      </c>
      <c r="K47" s="76">
        <v>100</v>
      </c>
      <c r="L47" s="76">
        <v>100</v>
      </c>
      <c r="M47" s="401">
        <v>9.3899999999999995E-4</v>
      </c>
      <c r="N47" s="84">
        <f t="shared" si="8"/>
        <v>1.3782370036066501E-2</v>
      </c>
      <c r="O47" s="84">
        <f t="shared" si="6"/>
        <v>0</v>
      </c>
      <c r="P47" s="242">
        <f t="shared" si="7"/>
        <v>-3.3E-4</v>
      </c>
      <c r="Q47" s="121"/>
      <c r="R47" s="165"/>
      <c r="S47" s="133"/>
    </row>
    <row r="48" spans="1:21" s="123" customFormat="1" ht="12.95" customHeight="1">
      <c r="A48" s="431">
        <v>40</v>
      </c>
      <c r="B48" s="432" t="s">
        <v>159</v>
      </c>
      <c r="C48" s="433" t="s">
        <v>160</v>
      </c>
      <c r="D48" s="387">
        <v>638236296.75999999</v>
      </c>
      <c r="E48" s="207">
        <v>5.3145060299999998E-2</v>
      </c>
      <c r="F48" s="343">
        <v>1</v>
      </c>
      <c r="G48" s="343">
        <v>1</v>
      </c>
      <c r="H48" s="401">
        <v>0.12910760077225647</v>
      </c>
      <c r="I48" s="387">
        <v>677833734.87</v>
      </c>
      <c r="J48" s="205">
        <f t="shared" si="5"/>
        <v>9.5686895567612291E-4</v>
      </c>
      <c r="K48" s="76">
        <v>1</v>
      </c>
      <c r="L48" s="76">
        <v>1</v>
      </c>
      <c r="M48" s="401">
        <v>0.13343986227960755</v>
      </c>
      <c r="N48" s="84">
        <f t="shared" si="8"/>
        <v>6.204197146263226E-2</v>
      </c>
      <c r="O48" s="84">
        <f t="shared" si="6"/>
        <v>0</v>
      </c>
      <c r="P48" s="242">
        <f t="shared" si="7"/>
        <v>4.3322615073510817E-3</v>
      </c>
      <c r="Q48" s="121"/>
      <c r="R48" s="165"/>
      <c r="S48" s="133"/>
    </row>
    <row r="49" spans="1:21" s="123" customFormat="1" ht="12.95" customHeight="1">
      <c r="A49" s="431">
        <v>41</v>
      </c>
      <c r="B49" s="432" t="s">
        <v>113</v>
      </c>
      <c r="C49" s="433" t="s">
        <v>169</v>
      </c>
      <c r="D49" s="387">
        <v>1112434252.27</v>
      </c>
      <c r="E49" s="207">
        <v>6.4199999999999993E-2</v>
      </c>
      <c r="F49" s="343">
        <v>1</v>
      </c>
      <c r="G49" s="343">
        <v>1</v>
      </c>
      <c r="H49" s="401">
        <v>0.1091</v>
      </c>
      <c r="I49" s="387">
        <v>941319300.09000003</v>
      </c>
      <c r="J49" s="205">
        <f t="shared" si="5"/>
        <v>1.3288202833511139E-3</v>
      </c>
      <c r="K49" s="76">
        <v>1</v>
      </c>
      <c r="L49" s="76">
        <v>1</v>
      </c>
      <c r="M49" s="347">
        <v>0.109</v>
      </c>
      <c r="N49" s="84">
        <f t="shared" si="8"/>
        <v>-0.15382028360851702</v>
      </c>
      <c r="O49" s="84">
        <f t="shared" si="6"/>
        <v>0</v>
      </c>
      <c r="P49" s="242">
        <f t="shared" si="7"/>
        <v>-1.0000000000000286E-4</v>
      </c>
      <c r="Q49" s="121"/>
      <c r="R49" s="155"/>
      <c r="S49" s="133"/>
    </row>
    <row r="50" spans="1:21" s="123" customFormat="1" ht="12.95" customHeight="1">
      <c r="A50" s="431">
        <v>42</v>
      </c>
      <c r="B50" s="432" t="s">
        <v>171</v>
      </c>
      <c r="C50" s="433" t="s">
        <v>174</v>
      </c>
      <c r="D50" s="387">
        <v>136922925.28</v>
      </c>
      <c r="E50" s="207">
        <v>2.9985000000000001E-2</v>
      </c>
      <c r="F50" s="343">
        <v>1</v>
      </c>
      <c r="G50" s="343">
        <v>1</v>
      </c>
      <c r="H50" s="401">
        <v>5.8500000000000003E-2</v>
      </c>
      <c r="I50" s="387">
        <v>137522920.72999999</v>
      </c>
      <c r="J50" s="205">
        <f t="shared" si="5"/>
        <v>1.9413523814314568E-4</v>
      </c>
      <c r="K50" s="76">
        <v>1</v>
      </c>
      <c r="L50" s="76">
        <v>1</v>
      </c>
      <c r="M50" s="401">
        <v>5.8200000000000002E-2</v>
      </c>
      <c r="N50" s="84">
        <f t="shared" si="8"/>
        <v>4.3819940946560245E-3</v>
      </c>
      <c r="O50" s="84">
        <f t="shared" si="6"/>
        <v>0</v>
      </c>
      <c r="P50" s="242">
        <f t="shared" si="7"/>
        <v>-3.0000000000000165E-4</v>
      </c>
      <c r="Q50" s="121"/>
      <c r="R50" s="155"/>
      <c r="S50" s="133"/>
    </row>
    <row r="51" spans="1:21" s="123" customFormat="1" ht="12.95" customHeight="1">
      <c r="A51" s="431">
        <v>43</v>
      </c>
      <c r="B51" s="432" t="s">
        <v>184</v>
      </c>
      <c r="C51" s="433" t="s">
        <v>185</v>
      </c>
      <c r="D51" s="387">
        <v>1031879897.52</v>
      </c>
      <c r="E51" s="207">
        <v>9.0300000000000005E-2</v>
      </c>
      <c r="F51" s="343">
        <v>1</v>
      </c>
      <c r="G51" s="343">
        <v>1</v>
      </c>
      <c r="H51" s="401">
        <v>0.1328</v>
      </c>
      <c r="I51" s="387">
        <v>1037042805.53</v>
      </c>
      <c r="J51" s="205">
        <f t="shared" si="5"/>
        <v>1.4639490707986688E-3</v>
      </c>
      <c r="K51" s="76">
        <v>1</v>
      </c>
      <c r="L51" s="76">
        <v>1</v>
      </c>
      <c r="M51" s="347">
        <v>0.126</v>
      </c>
      <c r="N51" s="84">
        <f t="shared" si="8"/>
        <v>5.003400126708954E-3</v>
      </c>
      <c r="O51" s="84">
        <f t="shared" si="6"/>
        <v>0</v>
      </c>
      <c r="P51" s="242">
        <f t="shared" si="7"/>
        <v>-6.8000000000000005E-3</v>
      </c>
      <c r="Q51" s="121"/>
      <c r="R51" s="97"/>
      <c r="S51" s="133"/>
    </row>
    <row r="52" spans="1:21" s="123" customFormat="1" ht="12.95" customHeight="1">
      <c r="A52" s="431">
        <v>44</v>
      </c>
      <c r="B52" s="432" t="s">
        <v>194</v>
      </c>
      <c r="C52" s="433" t="s">
        <v>195</v>
      </c>
      <c r="D52" s="387">
        <v>38546362.039286934</v>
      </c>
      <c r="E52" s="207">
        <v>3.7000000000000002E-3</v>
      </c>
      <c r="F52" s="343">
        <v>100</v>
      </c>
      <c r="G52" s="343">
        <v>100</v>
      </c>
      <c r="H52" s="401">
        <v>9.5899999999999999E-2</v>
      </c>
      <c r="I52" s="345">
        <v>38546362.039286934</v>
      </c>
      <c r="J52" s="205">
        <f t="shared" si="5"/>
        <v>5.4414254251774722E-5</v>
      </c>
      <c r="K52" s="76">
        <v>100</v>
      </c>
      <c r="L52" s="76">
        <v>100</v>
      </c>
      <c r="M52" s="347">
        <v>9.589232417657928E-2</v>
      </c>
      <c r="N52" s="84">
        <f t="shared" si="8"/>
        <v>0</v>
      </c>
      <c r="O52" s="84">
        <f t="shared" si="6"/>
        <v>0</v>
      </c>
      <c r="P52" s="242">
        <f t="shared" si="7"/>
        <v>-7.6758234207191522E-6</v>
      </c>
      <c r="Q52" s="121"/>
      <c r="S52" s="133"/>
    </row>
    <row r="53" spans="1:21" s="123" customFormat="1" ht="12.95" customHeight="1">
      <c r="A53" s="431">
        <v>45</v>
      </c>
      <c r="B53" s="432" t="s">
        <v>188</v>
      </c>
      <c r="C53" s="433" t="s">
        <v>204</v>
      </c>
      <c r="D53" s="387">
        <v>2893650266.5900002</v>
      </c>
      <c r="E53" s="207">
        <v>7.8700000000000006E-2</v>
      </c>
      <c r="F53" s="343">
        <v>100</v>
      </c>
      <c r="G53" s="343">
        <v>100</v>
      </c>
      <c r="H53" s="401">
        <v>0.1177</v>
      </c>
      <c r="I53" s="387">
        <v>2979051482.6799998</v>
      </c>
      <c r="J53" s="205">
        <f t="shared" si="5"/>
        <v>4.205399841428841E-3</v>
      </c>
      <c r="K53" s="76">
        <v>100</v>
      </c>
      <c r="L53" s="76">
        <v>100</v>
      </c>
      <c r="M53" s="347">
        <v>0.1106</v>
      </c>
      <c r="N53" s="84">
        <f>((I53-D53)/D53)</f>
        <v>2.9513316476437935E-2</v>
      </c>
      <c r="O53" s="84">
        <f>((L53-G53)/G53)</f>
        <v>0</v>
      </c>
      <c r="P53" s="242">
        <f t="shared" si="7"/>
        <v>-7.0999999999999952E-3</v>
      </c>
      <c r="Q53" s="121"/>
      <c r="R53" s="173"/>
      <c r="S53" s="133"/>
    </row>
    <row r="54" spans="1:21" s="123" customFormat="1" ht="12.95" customHeight="1">
      <c r="A54" s="229"/>
      <c r="B54" s="118"/>
      <c r="C54" s="266" t="s">
        <v>46</v>
      </c>
      <c r="D54" s="82">
        <f>SUM(D25:D53)</f>
        <v>689393093044.69934</v>
      </c>
      <c r="E54" s="285">
        <f>(D54/$D$166)</f>
        <v>0.46903117552418511</v>
      </c>
      <c r="F54" s="287"/>
      <c r="G54" s="77"/>
      <c r="H54" s="305"/>
      <c r="I54" s="82">
        <f>SUM(I25:I53)</f>
        <v>708387215249.38928</v>
      </c>
      <c r="J54" s="285">
        <f>(I54/$I$166)</f>
        <v>0.47513365329697727</v>
      </c>
      <c r="K54" s="287"/>
      <c r="L54" s="77"/>
      <c r="M54" s="305"/>
      <c r="N54" s="289">
        <f t="shared" si="8"/>
        <v>2.7551947352420583E-2</v>
      </c>
      <c r="O54" s="289"/>
      <c r="P54" s="290">
        <f t="shared" si="7"/>
        <v>0</v>
      </c>
      <c r="Q54" s="121"/>
    </row>
    <row r="55" spans="1:21" s="123" customFormat="1" ht="4.5" customHeight="1">
      <c r="A55" s="447"/>
      <c r="B55" s="448"/>
      <c r="C55" s="448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9"/>
      <c r="Q55" s="121"/>
    </row>
    <row r="56" spans="1:21" s="123" customFormat="1" ht="12.95" customHeight="1">
      <c r="A56" s="441" t="s">
        <v>209</v>
      </c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  <c r="O56" s="442"/>
      <c r="P56" s="443"/>
      <c r="Q56" s="121"/>
      <c r="T56" s="135"/>
      <c r="U56" s="136"/>
    </row>
    <row r="57" spans="1:21" s="123" customFormat="1" ht="12.95" customHeight="1">
      <c r="A57" s="431">
        <v>46</v>
      </c>
      <c r="B57" s="432" t="s">
        <v>5</v>
      </c>
      <c r="C57" s="433" t="s">
        <v>20</v>
      </c>
      <c r="D57" s="393">
        <v>45266681411.410004</v>
      </c>
      <c r="E57" s="205">
        <f t="shared" ref="E57:E80" si="9">(D57/$D$87)</f>
        <v>0.13233990311501306</v>
      </c>
      <c r="F57" s="394">
        <v>245.82</v>
      </c>
      <c r="G57" s="394">
        <v>245.82</v>
      </c>
      <c r="H57" s="401">
        <v>3.0999999999999999E-3</v>
      </c>
      <c r="I57" s="393">
        <v>45134879962.370003</v>
      </c>
      <c r="J57" s="205">
        <f t="shared" ref="J57:J66" si="10">(I57/$I$87)</f>
        <v>0.13032471824798755</v>
      </c>
      <c r="K57" s="394">
        <v>245.96</v>
      </c>
      <c r="L57" s="394">
        <v>245.96</v>
      </c>
      <c r="M57" s="352">
        <v>3.5999999999999999E-3</v>
      </c>
      <c r="N57" s="84">
        <f>((I57-D57)/D57)</f>
        <v>-2.9116658197695668E-3</v>
      </c>
      <c r="O57" s="84">
        <f>((L57-G57)/G57)</f>
        <v>5.6952241477509875E-4</v>
      </c>
      <c r="P57" s="242">
        <f t="shared" ref="P57:P87" si="11">M57-H57</f>
        <v>5.0000000000000001E-4</v>
      </c>
      <c r="Q57" s="121"/>
      <c r="R57" s="155"/>
    </row>
    <row r="58" spans="1:21" s="123" customFormat="1" ht="12.95" customHeight="1">
      <c r="A58" s="431">
        <v>47</v>
      </c>
      <c r="B58" s="432" t="s">
        <v>62</v>
      </c>
      <c r="C58" s="433" t="s">
        <v>21</v>
      </c>
      <c r="D58" s="393">
        <v>1442895699.1199999</v>
      </c>
      <c r="E58" s="205">
        <f t="shared" si="9"/>
        <v>4.2183935528898294E-3</v>
      </c>
      <c r="F58" s="394">
        <v>311.63119999999998</v>
      </c>
      <c r="G58" s="394">
        <v>311.63119999999998</v>
      </c>
      <c r="H58" s="401">
        <v>0.14199999999999999</v>
      </c>
      <c r="I58" s="393">
        <v>1448176779.3299999</v>
      </c>
      <c r="J58" s="205">
        <f t="shared" si="10"/>
        <v>4.1815383334753865E-3</v>
      </c>
      <c r="K58" s="394">
        <v>312.77179999999998</v>
      </c>
      <c r="L58" s="394">
        <v>312.77179999999998</v>
      </c>
      <c r="M58" s="352">
        <v>0.14199999999999999</v>
      </c>
      <c r="N58" s="120">
        <f>((I58-D58)/D58)</f>
        <v>3.6600567963581071E-3</v>
      </c>
      <c r="O58" s="120">
        <f>((L58-G58)/G58)</f>
        <v>3.6600956515265683E-3</v>
      </c>
      <c r="P58" s="242">
        <f t="shared" si="11"/>
        <v>0</v>
      </c>
      <c r="Q58" s="121"/>
      <c r="R58" s="155"/>
      <c r="S58" s="137"/>
    </row>
    <row r="59" spans="1:21" s="123" customFormat="1" ht="12.95" customHeight="1">
      <c r="A59" s="431">
        <v>48</v>
      </c>
      <c r="B59" s="432" t="s">
        <v>201</v>
      </c>
      <c r="C59" s="433" t="s">
        <v>279</v>
      </c>
      <c r="D59" s="393">
        <v>65901740998.370003</v>
      </c>
      <c r="E59" s="205">
        <f t="shared" si="9"/>
        <v>0.19266775798229008</v>
      </c>
      <c r="F59" s="354">
        <v>1483.71</v>
      </c>
      <c r="G59" s="393">
        <v>1483.71</v>
      </c>
      <c r="H59" s="401">
        <v>0.12520000000000001</v>
      </c>
      <c r="I59" s="393">
        <v>65781795758.760002</v>
      </c>
      <c r="J59" s="205">
        <f t="shared" si="10"/>
        <v>0.18994165942735558</v>
      </c>
      <c r="K59" s="354">
        <v>1487.3</v>
      </c>
      <c r="L59" s="393">
        <v>1487.3</v>
      </c>
      <c r="M59" s="401">
        <v>0.1255</v>
      </c>
      <c r="N59" s="84">
        <f>((I59-D59)/D59)</f>
        <v>-1.8200617736785938E-3</v>
      </c>
      <c r="O59" s="84">
        <f>((L59-G59)/G59)</f>
        <v>2.4196103012043579E-3</v>
      </c>
      <c r="P59" s="242">
        <f t="shared" si="11"/>
        <v>2.9999999999999472E-4</v>
      </c>
      <c r="Q59" s="121"/>
      <c r="R59" s="155"/>
      <c r="S59" s="138"/>
      <c r="T59" s="131"/>
    </row>
    <row r="60" spans="1:21" s="139" customFormat="1" ht="12.95" customHeight="1">
      <c r="A60" s="431">
        <v>49</v>
      </c>
      <c r="B60" s="432" t="s">
        <v>184</v>
      </c>
      <c r="C60" s="433" t="s">
        <v>186</v>
      </c>
      <c r="D60" s="393">
        <v>681006688.22000003</v>
      </c>
      <c r="E60" s="205">
        <f t="shared" si="9"/>
        <v>1.9909645754812018E-3</v>
      </c>
      <c r="F60" s="354">
        <v>1.0757000000000001</v>
      </c>
      <c r="G60" s="354">
        <v>1.0757000000000001</v>
      </c>
      <c r="H60" s="401">
        <v>0.10199999999999999</v>
      </c>
      <c r="I60" s="393">
        <v>682370353.85000002</v>
      </c>
      <c r="J60" s="205">
        <f t="shared" si="10"/>
        <v>1.970310415811975E-3</v>
      </c>
      <c r="K60" s="353">
        <v>1.0778000000000001</v>
      </c>
      <c r="L60" s="353">
        <v>1.0778000000000001</v>
      </c>
      <c r="M60" s="352">
        <v>0.10179418053360931</v>
      </c>
      <c r="N60" s="84">
        <f>(I60/D60)/D60</f>
        <v>1.4713547510258156E-9</v>
      </c>
      <c r="O60" s="84">
        <f>(L60-G60)/G60</f>
        <v>1.952217160918463E-3</v>
      </c>
      <c r="P60" s="242">
        <f t="shared" si="11"/>
        <v>-2.0581946639068593E-4</v>
      </c>
      <c r="Q60" s="121"/>
      <c r="R60" s="165"/>
      <c r="S60" s="174"/>
    </row>
    <row r="61" spans="1:21" s="123" customFormat="1" ht="12.95" customHeight="1">
      <c r="A61" s="431">
        <v>50</v>
      </c>
      <c r="B61" s="432" t="s">
        <v>9</v>
      </c>
      <c r="C61" s="433" t="s">
        <v>22</v>
      </c>
      <c r="D61" s="393">
        <v>2789583219.0589099</v>
      </c>
      <c r="E61" s="205">
        <f t="shared" si="9"/>
        <v>8.1555166279202417E-3</v>
      </c>
      <c r="F61" s="393">
        <v>3734.5709536272698</v>
      </c>
      <c r="G61" s="393">
        <v>3734.5709536272698</v>
      </c>
      <c r="H61" s="401">
        <v>8.1804000000000002E-2</v>
      </c>
      <c r="I61" s="349">
        <v>2792536039.86694</v>
      </c>
      <c r="J61" s="205">
        <f t="shared" si="10"/>
        <v>8.0633087513788046E-3</v>
      </c>
      <c r="K61" s="350">
        <v>3740.2730861172299</v>
      </c>
      <c r="L61" s="393">
        <v>3740.2730861172299</v>
      </c>
      <c r="M61" s="352">
        <v>8.1452999999999998E-2</v>
      </c>
      <c r="N61" s="84">
        <f t="shared" ref="N61:N87" si="12">((I61-D61)/D61)</f>
        <v>1.0585168378759778E-3</v>
      </c>
      <c r="O61" s="84">
        <f t="shared" ref="O61:O86" si="13">((L61-G61)/G61)</f>
        <v>1.5268507576276867E-3</v>
      </c>
      <c r="P61" s="242">
        <f t="shared" si="11"/>
        <v>-3.5100000000000409E-4</v>
      </c>
      <c r="Q61" s="121"/>
      <c r="R61" s="155"/>
      <c r="S61" s="142"/>
      <c r="T61" s="142"/>
    </row>
    <row r="62" spans="1:21" s="123" customFormat="1" ht="12.95" customHeight="1">
      <c r="A62" s="431">
        <v>51</v>
      </c>
      <c r="B62" s="432" t="s">
        <v>45</v>
      </c>
      <c r="C62" s="433" t="s">
        <v>167</v>
      </c>
      <c r="D62" s="393">
        <v>100918801811.34</v>
      </c>
      <c r="E62" s="205">
        <f t="shared" si="9"/>
        <v>0.2950422703359365</v>
      </c>
      <c r="F62" s="393">
        <v>1.9626999999999999</v>
      </c>
      <c r="G62" s="393">
        <v>1.9626999999999999</v>
      </c>
      <c r="H62" s="401">
        <v>7.5999999999999998E-2</v>
      </c>
      <c r="I62" s="393">
        <v>100939786075.22</v>
      </c>
      <c r="J62" s="205">
        <f t="shared" si="10"/>
        <v>0.29145860565559872</v>
      </c>
      <c r="K62" s="393">
        <v>1.9652000000000001</v>
      </c>
      <c r="L62" s="393">
        <v>1.9652000000000001</v>
      </c>
      <c r="M62" s="352">
        <v>7.4499999999999997E-2</v>
      </c>
      <c r="N62" s="120">
        <f t="shared" si="12"/>
        <v>2.0793215439907187E-4</v>
      </c>
      <c r="O62" s="120">
        <f t="shared" si="13"/>
        <v>1.2737555408366887E-3</v>
      </c>
      <c r="P62" s="242">
        <f t="shared" si="11"/>
        <v>-1.5000000000000013E-3</v>
      </c>
      <c r="Q62" s="121"/>
      <c r="R62" s="155"/>
      <c r="S62" s="142"/>
      <c r="T62" s="142"/>
    </row>
    <row r="63" spans="1:21" s="123" customFormat="1" ht="12" customHeight="1">
      <c r="A63" s="431">
        <v>52</v>
      </c>
      <c r="B63" s="432" t="s">
        <v>265</v>
      </c>
      <c r="C63" s="433" t="s">
        <v>53</v>
      </c>
      <c r="D63" s="393">
        <v>9816509334.4599991</v>
      </c>
      <c r="E63" s="205">
        <f t="shared" si="9"/>
        <v>2.8699163573378282E-2</v>
      </c>
      <c r="F63" s="394">
        <v>1</v>
      </c>
      <c r="G63" s="394">
        <v>1</v>
      </c>
      <c r="H63" s="401">
        <v>0.06</v>
      </c>
      <c r="I63" s="393">
        <v>9875463395.9500008</v>
      </c>
      <c r="J63" s="205">
        <f t="shared" si="10"/>
        <v>2.8514908773846614E-2</v>
      </c>
      <c r="K63" s="351">
        <v>1</v>
      </c>
      <c r="L63" s="351">
        <v>1</v>
      </c>
      <c r="M63" s="352">
        <v>0.06</v>
      </c>
      <c r="N63" s="84">
        <f t="shared" si="12"/>
        <v>6.005603364838517E-3</v>
      </c>
      <c r="O63" s="84">
        <f t="shared" si="13"/>
        <v>0</v>
      </c>
      <c r="P63" s="242">
        <f t="shared" si="11"/>
        <v>0</v>
      </c>
      <c r="Q63" s="121"/>
      <c r="R63" s="155"/>
      <c r="S63" s="176"/>
      <c r="T63" s="142"/>
    </row>
    <row r="64" spans="1:21" s="123" customFormat="1" ht="12.75" customHeight="1">
      <c r="A64" s="431">
        <v>53</v>
      </c>
      <c r="B64" s="432" t="s">
        <v>15</v>
      </c>
      <c r="C64" s="433" t="s">
        <v>23</v>
      </c>
      <c r="D64" s="393">
        <v>3484348469.6100001</v>
      </c>
      <c r="E64" s="205">
        <f t="shared" si="9"/>
        <v>1.018670519926608E-2</v>
      </c>
      <c r="F64" s="394">
        <v>23.685300000000002</v>
      </c>
      <c r="G64" s="394">
        <v>23.685300000000002</v>
      </c>
      <c r="H64" s="401">
        <v>5.4000000000000003E-3</v>
      </c>
      <c r="I64" s="393">
        <v>3487799753.27</v>
      </c>
      <c r="J64" s="205">
        <f t="shared" si="10"/>
        <v>1.0070848100831977E-2</v>
      </c>
      <c r="K64" s="394">
        <v>23.717600000000001</v>
      </c>
      <c r="L64" s="394">
        <v>23.717600000000001</v>
      </c>
      <c r="M64" s="352">
        <v>6.7999999999999996E-3</v>
      </c>
      <c r="N64" s="84">
        <f t="shared" si="12"/>
        <v>9.9051047566035963E-4</v>
      </c>
      <c r="O64" s="84">
        <f t="shared" si="13"/>
        <v>1.3637150468855926E-3</v>
      </c>
      <c r="P64" s="242">
        <f t="shared" si="11"/>
        <v>1.3999999999999993E-3</v>
      </c>
      <c r="Q64" s="121"/>
      <c r="R64" s="158"/>
      <c r="S64" s="196"/>
      <c r="T64" s="177"/>
    </row>
    <row r="65" spans="1:21" s="123" customFormat="1" ht="12" customHeight="1">
      <c r="A65" s="431">
        <v>54</v>
      </c>
      <c r="B65" s="432" t="s">
        <v>109</v>
      </c>
      <c r="C65" s="433" t="s">
        <v>112</v>
      </c>
      <c r="D65" s="393">
        <v>416692178.63</v>
      </c>
      <c r="E65" s="205">
        <f t="shared" si="9"/>
        <v>1.2182249908600097E-3</v>
      </c>
      <c r="F65" s="394">
        <v>2.1244999999999998</v>
      </c>
      <c r="G65" s="394">
        <v>2.1244999999999998</v>
      </c>
      <c r="H65" s="401">
        <v>0.48046519833353901</v>
      </c>
      <c r="I65" s="349">
        <v>416910135.31</v>
      </c>
      <c r="J65" s="205">
        <f t="shared" si="10"/>
        <v>1.2038072542633409E-3</v>
      </c>
      <c r="K65" s="351">
        <v>2.1255999999999999</v>
      </c>
      <c r="L65" s="394">
        <v>2.1255999999999999</v>
      </c>
      <c r="M65" s="401">
        <v>1.9632099827880799E-2</v>
      </c>
      <c r="N65" s="120">
        <f t="shared" si="12"/>
        <v>5.2306400546466903E-4</v>
      </c>
      <c r="O65" s="120">
        <f t="shared" si="13"/>
        <v>5.1776888679694094E-4</v>
      </c>
      <c r="P65" s="242">
        <f t="shared" si="11"/>
        <v>-0.46083309850565823</v>
      </c>
      <c r="Q65" s="121"/>
      <c r="R65" s="165"/>
      <c r="S65" s="198"/>
      <c r="T65" s="178"/>
      <c r="U65" s="196"/>
    </row>
    <row r="66" spans="1:21" s="123" customFormat="1" ht="12.95" customHeight="1">
      <c r="A66" s="431">
        <v>55</v>
      </c>
      <c r="B66" s="432" t="s">
        <v>5</v>
      </c>
      <c r="C66" s="433" t="s">
        <v>68</v>
      </c>
      <c r="D66" s="393">
        <v>15237704481.639999</v>
      </c>
      <c r="E66" s="205">
        <f t="shared" si="9"/>
        <v>4.4548358128306285E-2</v>
      </c>
      <c r="F66" s="394">
        <v>334.08</v>
      </c>
      <c r="G66" s="394">
        <v>334.08</v>
      </c>
      <c r="H66" s="401">
        <v>4.7000000000000002E-3</v>
      </c>
      <c r="I66" s="393">
        <v>15199943360.51</v>
      </c>
      <c r="J66" s="205">
        <f t="shared" si="10"/>
        <v>4.3889079521101652E-2</v>
      </c>
      <c r="K66" s="394">
        <v>334.41</v>
      </c>
      <c r="L66" s="394">
        <v>334.41</v>
      </c>
      <c r="M66" s="352">
        <v>5.7000000000000002E-3</v>
      </c>
      <c r="N66" s="84">
        <f t="shared" si="12"/>
        <v>-2.4781371219987735E-3</v>
      </c>
      <c r="O66" s="84">
        <f t="shared" si="13"/>
        <v>9.8778735632196169E-4</v>
      </c>
      <c r="P66" s="242">
        <f t="shared" si="11"/>
        <v>1E-3</v>
      </c>
      <c r="Q66" s="121"/>
      <c r="R66" s="155"/>
      <c r="S66" s="142"/>
      <c r="T66" s="178"/>
      <c r="U66" s="196"/>
    </row>
    <row r="67" spans="1:21" s="123" customFormat="1" ht="12.95" customHeight="1">
      <c r="A67" s="431">
        <v>56</v>
      </c>
      <c r="B67" s="432" t="s">
        <v>24</v>
      </c>
      <c r="C67" s="433" t="s">
        <v>39</v>
      </c>
      <c r="D67" s="393">
        <v>6464200299.3000002</v>
      </c>
      <c r="E67" s="205">
        <f t="shared" si="9"/>
        <v>1.8898483711460429E-2</v>
      </c>
      <c r="F67" s="394">
        <v>1.01</v>
      </c>
      <c r="G67" s="394">
        <v>1.01</v>
      </c>
      <c r="H67" s="401">
        <v>0.1101</v>
      </c>
      <c r="I67" s="393">
        <v>6563947332.9499998</v>
      </c>
      <c r="J67" s="205">
        <f>(I67/$I$117)</f>
        <v>0.14180359737523249</v>
      </c>
      <c r="K67" s="351">
        <v>1.01</v>
      </c>
      <c r="L67" s="351">
        <v>1.01</v>
      </c>
      <c r="M67" s="352">
        <v>0.1103</v>
      </c>
      <c r="N67" s="84">
        <f t="shared" si="12"/>
        <v>1.5430684234954955E-2</v>
      </c>
      <c r="O67" s="84">
        <f t="shared" si="13"/>
        <v>0</v>
      </c>
      <c r="P67" s="242">
        <f t="shared" si="11"/>
        <v>1.9999999999999185E-4</v>
      </c>
      <c r="Q67" s="121"/>
      <c r="R67" s="155"/>
      <c r="S67" s="179"/>
      <c r="T67" s="175"/>
    </row>
    <row r="68" spans="1:21" s="123" customFormat="1" ht="12.95" customHeight="1">
      <c r="A68" s="431">
        <v>57</v>
      </c>
      <c r="B68" s="432" t="s">
        <v>142</v>
      </c>
      <c r="C68" s="433" t="s">
        <v>119</v>
      </c>
      <c r="D68" s="393">
        <v>1543349555.27</v>
      </c>
      <c r="E68" s="205">
        <f t="shared" si="9"/>
        <v>4.5120765262360828E-3</v>
      </c>
      <c r="F68" s="394">
        <v>3.54</v>
      </c>
      <c r="G68" s="394">
        <v>3.54</v>
      </c>
      <c r="H68" s="384">
        <v>0.13270000000000001</v>
      </c>
      <c r="I68" s="393">
        <v>1504009068.04</v>
      </c>
      <c r="J68" s="205">
        <f t="shared" ref="J68:J86" si="14">(I68/$I$87)</f>
        <v>4.3427512867686598E-3</v>
      </c>
      <c r="K68" s="394">
        <v>3.54</v>
      </c>
      <c r="L68" s="394">
        <v>3.54</v>
      </c>
      <c r="M68" s="384">
        <v>-9.5399999999999999E-2</v>
      </c>
      <c r="N68" s="84">
        <f t="shared" si="12"/>
        <v>-2.5490328549139102E-2</v>
      </c>
      <c r="O68" s="84">
        <f t="shared" si="13"/>
        <v>0</v>
      </c>
      <c r="P68" s="242">
        <f t="shared" si="11"/>
        <v>-0.22810000000000002</v>
      </c>
      <c r="Q68" s="121"/>
      <c r="R68" s="97"/>
      <c r="S68" s="178"/>
      <c r="T68" s="198"/>
    </row>
    <row r="69" spans="1:21" s="123" customFormat="1" ht="12" customHeight="1">
      <c r="A69" s="431">
        <v>58</v>
      </c>
      <c r="B69" s="432" t="s">
        <v>5</v>
      </c>
      <c r="C69" s="433" t="s">
        <v>73</v>
      </c>
      <c r="D69" s="393">
        <v>42997908215.529999</v>
      </c>
      <c r="E69" s="205">
        <f t="shared" si="9"/>
        <v>0.12570700634478468</v>
      </c>
      <c r="F69" s="393">
        <v>4591.88</v>
      </c>
      <c r="G69" s="393">
        <v>4591.88</v>
      </c>
      <c r="H69" s="401">
        <v>4.4000000000000003E-3</v>
      </c>
      <c r="I69" s="393">
        <v>42631431626.849998</v>
      </c>
      <c r="J69" s="205">
        <f t="shared" si="14"/>
        <v>0.12309613584681467</v>
      </c>
      <c r="K69" s="393">
        <v>4598.99</v>
      </c>
      <c r="L69" s="393">
        <v>4598.99</v>
      </c>
      <c r="M69" s="352">
        <v>5.8999999999999999E-3</v>
      </c>
      <c r="N69" s="84">
        <f t="shared" si="12"/>
        <v>-8.5231259819201193E-3</v>
      </c>
      <c r="O69" s="84">
        <f t="shared" si="13"/>
        <v>1.5483854107685028E-3</v>
      </c>
      <c r="P69" s="242">
        <f t="shared" si="11"/>
        <v>1.4999999999999996E-3</v>
      </c>
      <c r="Q69" s="121"/>
      <c r="S69" s="178"/>
      <c r="T69" s="198"/>
    </row>
    <row r="70" spans="1:21" s="123" customFormat="1" ht="12.95" customHeight="1">
      <c r="A70" s="431">
        <v>59</v>
      </c>
      <c r="B70" s="432" t="s">
        <v>5</v>
      </c>
      <c r="C70" s="433" t="s">
        <v>74</v>
      </c>
      <c r="D70" s="393">
        <v>244171568.50999999</v>
      </c>
      <c r="E70" s="205">
        <f t="shared" si="9"/>
        <v>7.1385046821455613E-4</v>
      </c>
      <c r="F70" s="393">
        <v>4325.1099999999997</v>
      </c>
      <c r="G70" s="393">
        <v>4341.07</v>
      </c>
      <c r="H70" s="401">
        <v>1.9300000000000001E-2</v>
      </c>
      <c r="I70" s="393">
        <v>246173710.88</v>
      </c>
      <c r="J70" s="205">
        <f t="shared" si="14"/>
        <v>7.1081433111698728E-4</v>
      </c>
      <c r="K70" s="393">
        <v>4359.9399999999996</v>
      </c>
      <c r="L70" s="393">
        <v>4377.1099999999997</v>
      </c>
      <c r="M70" s="352">
        <v>2.7799999999999998E-2</v>
      </c>
      <c r="N70" s="84">
        <f t="shared" si="12"/>
        <v>8.1997358751373529E-3</v>
      </c>
      <c r="O70" s="84">
        <f t="shared" si="13"/>
        <v>8.3021006341754376E-3</v>
      </c>
      <c r="P70" s="242">
        <f t="shared" si="11"/>
        <v>8.4999999999999971E-3</v>
      </c>
      <c r="Q70" s="121"/>
      <c r="S70" s="465"/>
      <c r="T70" s="465"/>
    </row>
    <row r="71" spans="1:21" s="139" customFormat="1" ht="12.95" customHeight="1">
      <c r="A71" s="431">
        <v>60</v>
      </c>
      <c r="B71" s="432" t="s">
        <v>96</v>
      </c>
      <c r="C71" s="433" t="s">
        <v>97</v>
      </c>
      <c r="D71" s="393">
        <v>53887213.490000002</v>
      </c>
      <c r="E71" s="205">
        <f t="shared" si="9"/>
        <v>1.5754255425950143E-4</v>
      </c>
      <c r="F71" s="354">
        <v>11.534848999999999</v>
      </c>
      <c r="G71" s="393">
        <v>11.716478</v>
      </c>
      <c r="H71" s="401">
        <v>3.5335873293142653E-2</v>
      </c>
      <c r="I71" s="393">
        <v>53499589.799999997</v>
      </c>
      <c r="J71" s="205">
        <f t="shared" si="14"/>
        <v>1.544774013552466E-4</v>
      </c>
      <c r="K71" s="354">
        <v>11.451876</v>
      </c>
      <c r="L71" s="393">
        <v>11.651462</v>
      </c>
      <c r="M71" s="352">
        <v>3.2300000000000002E-2</v>
      </c>
      <c r="N71" s="84">
        <f t="shared" si="12"/>
        <v>-7.1932405647944196E-3</v>
      </c>
      <c r="O71" s="84">
        <f t="shared" si="13"/>
        <v>-5.5491078462316032E-3</v>
      </c>
      <c r="P71" s="242">
        <f t="shared" si="11"/>
        <v>-3.0358732931426505E-3</v>
      </c>
      <c r="Q71" s="121"/>
      <c r="R71" s="180"/>
      <c r="S71" s="181"/>
      <c r="T71" s="451"/>
      <c r="U71" s="140"/>
    </row>
    <row r="72" spans="1:21" s="123" customFormat="1" ht="12.95" customHeight="1">
      <c r="A72" s="431">
        <v>61</v>
      </c>
      <c r="B72" s="432" t="s">
        <v>27</v>
      </c>
      <c r="C72" s="433" t="s">
        <v>91</v>
      </c>
      <c r="D72" s="393">
        <v>15481166021.469999</v>
      </c>
      <c r="E72" s="400">
        <f t="shared" si="9"/>
        <v>4.5260132784382859E-2</v>
      </c>
      <c r="F72" s="393">
        <v>1164.53</v>
      </c>
      <c r="G72" s="393">
        <v>1164.53</v>
      </c>
      <c r="H72" s="401">
        <v>3.8E-3</v>
      </c>
      <c r="I72" s="393">
        <v>15253556583.790001</v>
      </c>
      <c r="J72" s="400">
        <f t="shared" si="14"/>
        <v>4.404388503347164E-2</v>
      </c>
      <c r="K72" s="393">
        <v>1166.44</v>
      </c>
      <c r="L72" s="393">
        <v>1166.44</v>
      </c>
      <c r="M72" s="401">
        <v>5.4000000000000003E-3</v>
      </c>
      <c r="N72" s="84">
        <f t="shared" si="12"/>
        <v>-1.4702344601455671E-2</v>
      </c>
      <c r="O72" s="84">
        <f t="shared" si="13"/>
        <v>1.6401466686131589E-3</v>
      </c>
      <c r="P72" s="242">
        <f t="shared" si="11"/>
        <v>1.6000000000000003E-3</v>
      </c>
      <c r="Q72" s="121"/>
      <c r="S72" s="182"/>
      <c r="T72" s="451"/>
    </row>
    <row r="73" spans="1:21" s="123" customFormat="1" ht="12.95" customHeight="1">
      <c r="A73" s="431">
        <v>62</v>
      </c>
      <c r="B73" s="432" t="s">
        <v>191</v>
      </c>
      <c r="C73" s="433" t="s">
        <v>190</v>
      </c>
      <c r="D73" s="393">
        <v>21232230.949999999</v>
      </c>
      <c r="E73" s="205">
        <f t="shared" si="9"/>
        <v>6.2073721757970989E-5</v>
      </c>
      <c r="F73" s="393">
        <v>0.62829999999999997</v>
      </c>
      <c r="G73" s="393">
        <v>0.62829999999999997</v>
      </c>
      <c r="H73" s="401">
        <v>-8.2500000000000004E-2</v>
      </c>
      <c r="I73" s="349">
        <v>21237029.399999999</v>
      </c>
      <c r="J73" s="205">
        <f t="shared" si="14"/>
        <v>6.1320864823097605E-5</v>
      </c>
      <c r="K73" s="350">
        <v>0.62839999999999996</v>
      </c>
      <c r="L73" s="350">
        <v>0.62839999999999996</v>
      </c>
      <c r="M73" s="352">
        <v>-8.2799999999999999E-2</v>
      </c>
      <c r="N73" s="120">
        <f>((I73-D73)/D73)</f>
        <v>2.2599838949091946E-4</v>
      </c>
      <c r="O73" s="120">
        <f>((L73-G73)/G73)</f>
        <v>1.5915963711600985E-4</v>
      </c>
      <c r="P73" s="242">
        <f t="shared" si="11"/>
        <v>-2.9999999999999472E-4</v>
      </c>
      <c r="Q73" s="121"/>
      <c r="R73" s="183"/>
      <c r="S73" s="141"/>
      <c r="T73" s="451"/>
    </row>
    <row r="74" spans="1:21" s="123" customFormat="1" ht="12.95" customHeight="1">
      <c r="A74" s="431">
        <v>63</v>
      </c>
      <c r="B74" s="432" t="s">
        <v>105</v>
      </c>
      <c r="C74" s="433" t="s">
        <v>108</v>
      </c>
      <c r="D74" s="393">
        <v>359262473.38</v>
      </c>
      <c r="E74" s="205">
        <f t="shared" si="9"/>
        <v>1.0503257459466631E-3</v>
      </c>
      <c r="F74" s="393">
        <v>1108.56</v>
      </c>
      <c r="G74" s="393">
        <v>1110.6300000000001</v>
      </c>
      <c r="H74" s="401">
        <v>5.9999999999999995E-4</v>
      </c>
      <c r="I74" s="393">
        <v>360065095.25999999</v>
      </c>
      <c r="J74" s="205">
        <f t="shared" si="14"/>
        <v>1.0396700319091814E-3</v>
      </c>
      <c r="K74" s="78">
        <v>1110.93</v>
      </c>
      <c r="L74" s="78">
        <v>1113.53</v>
      </c>
      <c r="M74" s="401">
        <v>2.8999999999999998E-3</v>
      </c>
      <c r="N74" s="84">
        <f t="shared" si="12"/>
        <v>2.2340821529418242E-3</v>
      </c>
      <c r="O74" s="84">
        <f t="shared" si="13"/>
        <v>2.6111306195581458E-3</v>
      </c>
      <c r="P74" s="242">
        <f t="shared" si="11"/>
        <v>2.3E-3</v>
      </c>
      <c r="Q74" s="121"/>
      <c r="R74" s="134"/>
      <c r="S74" s="141"/>
      <c r="T74" s="451"/>
    </row>
    <row r="75" spans="1:21" s="123" customFormat="1" ht="12.95" customHeight="1">
      <c r="A75" s="431">
        <v>64</v>
      </c>
      <c r="B75" s="432" t="s">
        <v>110</v>
      </c>
      <c r="C75" s="433" t="s">
        <v>111</v>
      </c>
      <c r="D75" s="393">
        <v>714641406.76999998</v>
      </c>
      <c r="E75" s="205">
        <f t="shared" si="9"/>
        <v>2.0892977259446182E-3</v>
      </c>
      <c r="F75" s="394">
        <v>195.56921800000001</v>
      </c>
      <c r="G75" s="394">
        <v>198.16141099999999</v>
      </c>
      <c r="H75" s="401">
        <v>0.1065</v>
      </c>
      <c r="I75" s="393">
        <v>714641406.76999998</v>
      </c>
      <c r="J75" s="205">
        <f t="shared" si="14"/>
        <v>2.0634914740727101E-3</v>
      </c>
      <c r="K75" s="394">
        <v>195.56921800000001</v>
      </c>
      <c r="L75" s="394">
        <v>198.16141099999999</v>
      </c>
      <c r="M75" s="401">
        <v>0.1065</v>
      </c>
      <c r="N75" s="84">
        <f t="shared" si="12"/>
        <v>0</v>
      </c>
      <c r="O75" s="84">
        <f t="shared" si="13"/>
        <v>0</v>
      </c>
      <c r="P75" s="242">
        <f t="shared" si="11"/>
        <v>0</v>
      </c>
      <c r="Q75" s="121"/>
      <c r="R75" s="155"/>
      <c r="S75" s="184"/>
      <c r="T75" s="451"/>
    </row>
    <row r="76" spans="1:21" s="123" customFormat="1" ht="12.95" customHeight="1">
      <c r="A76" s="431">
        <v>65</v>
      </c>
      <c r="B76" s="432" t="s">
        <v>114</v>
      </c>
      <c r="C76" s="433" t="s">
        <v>117</v>
      </c>
      <c r="D76" s="393">
        <v>331462654.23000002</v>
      </c>
      <c r="E76" s="205">
        <f t="shared" si="9"/>
        <v>9.6905127964574847E-4</v>
      </c>
      <c r="F76" s="394">
        <v>1.3561000000000001</v>
      </c>
      <c r="G76" s="394">
        <v>1.3561000000000001</v>
      </c>
      <c r="H76" s="401">
        <v>1.35E-2</v>
      </c>
      <c r="I76" s="393">
        <v>331755186.32999998</v>
      </c>
      <c r="J76" s="205">
        <f t="shared" si="14"/>
        <v>9.5792657966106546E-4</v>
      </c>
      <c r="K76" s="394">
        <v>1.3573</v>
      </c>
      <c r="L76" s="394">
        <v>1.3561000000000001</v>
      </c>
      <c r="M76" s="401">
        <v>1.43E-2</v>
      </c>
      <c r="N76" s="84">
        <f t="shared" si="12"/>
        <v>8.8254919903277523E-4</v>
      </c>
      <c r="O76" s="84">
        <f t="shared" si="13"/>
        <v>0</v>
      </c>
      <c r="P76" s="242">
        <f t="shared" si="11"/>
        <v>8.0000000000000036E-4</v>
      </c>
      <c r="Q76" s="121"/>
      <c r="R76" s="165"/>
      <c r="S76" s="184"/>
      <c r="T76" s="451"/>
    </row>
    <row r="77" spans="1:21" s="123" customFormat="1" ht="12.95" customHeight="1">
      <c r="A77" s="431">
        <v>66</v>
      </c>
      <c r="B77" s="432" t="s">
        <v>145</v>
      </c>
      <c r="C77" s="433" t="s">
        <v>148</v>
      </c>
      <c r="D77" s="393">
        <v>429134588.19999999</v>
      </c>
      <c r="E77" s="205">
        <f t="shared" si="9"/>
        <v>1.2546011338788804E-3</v>
      </c>
      <c r="F77" s="394">
        <v>1.2272000000000001</v>
      </c>
      <c r="G77" s="394">
        <v>1.2272000000000001</v>
      </c>
      <c r="H77" s="401">
        <v>6.875E-3</v>
      </c>
      <c r="I77" s="349">
        <v>426638654.23000002</v>
      </c>
      <c r="J77" s="205">
        <f t="shared" si="14"/>
        <v>1.231897868180477E-3</v>
      </c>
      <c r="K77" s="351">
        <v>1.2239</v>
      </c>
      <c r="L77" s="351">
        <v>1.2239</v>
      </c>
      <c r="M77" s="352">
        <v>-3.2299999999999999E-4</v>
      </c>
      <c r="N77" s="84">
        <v>-8.3999999999999995E-5</v>
      </c>
      <c r="O77" s="84">
        <f t="shared" si="13"/>
        <v>-2.6890482398957633E-3</v>
      </c>
      <c r="P77" s="242">
        <f t="shared" si="11"/>
        <v>-7.1980000000000004E-3</v>
      </c>
      <c r="Q77" s="121"/>
      <c r="R77" s="155"/>
      <c r="S77" s="184"/>
      <c r="T77" s="451"/>
    </row>
    <row r="78" spans="1:21" s="123" customFormat="1" ht="12.95" customHeight="1">
      <c r="A78" s="431">
        <v>67</v>
      </c>
      <c r="B78" s="432" t="s">
        <v>7</v>
      </c>
      <c r="C78" s="433" t="s">
        <v>154</v>
      </c>
      <c r="D78" s="393">
        <v>1003334455.79</v>
      </c>
      <c r="E78" s="205">
        <f t="shared" si="9"/>
        <v>2.9333094570023832E-3</v>
      </c>
      <c r="F78" s="394">
        <v>1.117</v>
      </c>
      <c r="G78" s="394">
        <v>1.117</v>
      </c>
      <c r="H78" s="401">
        <v>6.08E-2</v>
      </c>
      <c r="I78" s="393">
        <v>1003073941.77</v>
      </c>
      <c r="J78" s="205">
        <f t="shared" si="14"/>
        <v>2.8963260554157283E-3</v>
      </c>
      <c r="K78" s="394">
        <v>1.1181000000000001</v>
      </c>
      <c r="L78" s="394">
        <v>1.1181000000000001</v>
      </c>
      <c r="M78" s="352">
        <v>5.1299999999999998E-2</v>
      </c>
      <c r="N78" s="84">
        <f t="shared" si="12"/>
        <v>-2.5964823444128493E-4</v>
      </c>
      <c r="O78" s="84">
        <f t="shared" si="13"/>
        <v>9.8478066248889966E-4</v>
      </c>
      <c r="P78" s="242">
        <f t="shared" si="11"/>
        <v>-9.5000000000000015E-3</v>
      </c>
      <c r="Q78" s="121"/>
      <c r="R78" s="155"/>
      <c r="S78" s="184"/>
      <c r="T78" s="451"/>
    </row>
    <row r="79" spans="1:21" s="123" customFormat="1" ht="12.95" customHeight="1">
      <c r="A79" s="431">
        <v>68</v>
      </c>
      <c r="B79" s="432" t="s">
        <v>5</v>
      </c>
      <c r="C79" s="433" t="s">
        <v>178</v>
      </c>
      <c r="D79" s="393">
        <v>21151189880.599998</v>
      </c>
      <c r="E79" s="205">
        <f t="shared" si="9"/>
        <v>6.1836793250328502E-2</v>
      </c>
      <c r="F79" s="394">
        <v>115.75</v>
      </c>
      <c r="G79" s="394">
        <v>115.75</v>
      </c>
      <c r="H79" s="401">
        <v>6.4999999999999997E-3</v>
      </c>
      <c r="I79" s="393">
        <v>26446086162.439999</v>
      </c>
      <c r="J79" s="205">
        <f t="shared" si="14"/>
        <v>7.6361756822118224E-2</v>
      </c>
      <c r="K79" s="394">
        <v>115.89</v>
      </c>
      <c r="L79" s="394">
        <v>115.89</v>
      </c>
      <c r="M79" s="352">
        <v>7.7000000000000002E-3</v>
      </c>
      <c r="N79" s="84">
        <f>((I79-D79)/D79)</f>
        <v>0.25033562233283679</v>
      </c>
      <c r="O79" s="84">
        <f>((L79-G79)/G79)</f>
        <v>1.2095032397408257E-3</v>
      </c>
      <c r="P79" s="242">
        <f t="shared" si="11"/>
        <v>1.2000000000000005E-3</v>
      </c>
      <c r="Q79" s="121"/>
      <c r="R79" s="155"/>
      <c r="S79" s="184"/>
      <c r="T79" s="451"/>
    </row>
    <row r="80" spans="1:21" s="123" customFormat="1" ht="12.95" customHeight="1">
      <c r="A80" s="431">
        <v>69</v>
      </c>
      <c r="B80" s="432" t="s">
        <v>157</v>
      </c>
      <c r="C80" s="433" t="s">
        <v>183</v>
      </c>
      <c r="D80" s="393">
        <v>244186014.75</v>
      </c>
      <c r="E80" s="205">
        <f t="shared" si="9"/>
        <v>7.138927026780151E-4</v>
      </c>
      <c r="F80" s="78">
        <v>1104.29</v>
      </c>
      <c r="G80" s="78">
        <v>1104.29</v>
      </c>
      <c r="H80" s="401">
        <v>-1.9699999999999999E-2</v>
      </c>
      <c r="I80" s="393">
        <v>245300840.37</v>
      </c>
      <c r="J80" s="400">
        <f t="shared" si="14"/>
        <v>7.0829396098688905E-4</v>
      </c>
      <c r="K80" s="78">
        <v>1107.05</v>
      </c>
      <c r="L80" s="78">
        <v>1107.05</v>
      </c>
      <c r="M80" s="352">
        <v>-1.72E-2</v>
      </c>
      <c r="N80" s="84">
        <f>((I80-D80)/D80)</f>
        <v>4.5654769424095564E-3</v>
      </c>
      <c r="O80" s="84">
        <f t="shared" si="13"/>
        <v>2.4993434695596184E-3</v>
      </c>
      <c r="P80" s="242">
        <f t="shared" si="11"/>
        <v>2.4999999999999988E-3</v>
      </c>
      <c r="Q80" s="121"/>
      <c r="R80" s="155"/>
      <c r="S80" s="184"/>
      <c r="T80" s="451"/>
    </row>
    <row r="81" spans="1:20" s="123" customFormat="1" ht="12.95" customHeight="1">
      <c r="A81" s="431">
        <v>70</v>
      </c>
      <c r="B81" s="432" t="s">
        <v>193</v>
      </c>
      <c r="C81" s="433" t="s">
        <v>192</v>
      </c>
      <c r="D81" s="393">
        <v>1341122344.1199999</v>
      </c>
      <c r="E81" s="205">
        <f>(D81/$I$87)</f>
        <v>3.8724239829426572E-3</v>
      </c>
      <c r="F81" s="394">
        <v>1.0476000000000001</v>
      </c>
      <c r="G81" s="394">
        <v>1.046</v>
      </c>
      <c r="H81" s="401">
        <v>8.6900000000000005E-2</v>
      </c>
      <c r="I81" s="393">
        <v>1350463246.6500001</v>
      </c>
      <c r="J81" s="205">
        <f t="shared" si="14"/>
        <v>3.8993953738363325E-3</v>
      </c>
      <c r="K81" s="394">
        <v>1.0492999999999999</v>
      </c>
      <c r="L81" s="394">
        <v>1.0492999999999999</v>
      </c>
      <c r="M81" s="352">
        <v>8.6499999999999994E-2</v>
      </c>
      <c r="N81" s="84">
        <f>((I81-D81)/D81)</f>
        <v>6.96498911598509E-3</v>
      </c>
      <c r="O81" s="84">
        <f>((L81-G81)/G81)</f>
        <v>3.154875717017073E-3</v>
      </c>
      <c r="P81" s="242">
        <f>M81-H81</f>
        <v>-4.0000000000001146E-4</v>
      </c>
      <c r="Q81" s="121"/>
      <c r="R81" s="155"/>
      <c r="S81" s="184"/>
      <c r="T81" s="451"/>
    </row>
    <row r="82" spans="1:20" s="123" customFormat="1" ht="12.95" customHeight="1">
      <c r="A82" s="431">
        <v>71</v>
      </c>
      <c r="B82" s="436" t="s">
        <v>12</v>
      </c>
      <c r="C82" s="432" t="s">
        <v>253</v>
      </c>
      <c r="D82" s="393">
        <v>2026614723.6400001</v>
      </c>
      <c r="E82" s="205">
        <f>(D82/$D$87)</f>
        <v>5.924931711702045E-3</v>
      </c>
      <c r="F82" s="394">
        <v>109.18</v>
      </c>
      <c r="G82" s="394">
        <v>109.18</v>
      </c>
      <c r="H82" s="401">
        <v>9.8400000000000001E-2</v>
      </c>
      <c r="I82" s="393">
        <v>1728347180.1600001</v>
      </c>
      <c r="J82" s="205">
        <f t="shared" si="14"/>
        <v>4.9905164138433272E-3</v>
      </c>
      <c r="K82" s="351">
        <v>108.04</v>
      </c>
      <c r="L82" s="351">
        <v>108.04</v>
      </c>
      <c r="M82" s="352">
        <v>9.7299999999999998E-2</v>
      </c>
      <c r="N82" s="84">
        <f>((I82-D82)/D82)</f>
        <v>-0.14717525733962994</v>
      </c>
      <c r="O82" s="84">
        <f>((L82-G82)/G82)</f>
        <v>-1.0441472797215611E-2</v>
      </c>
      <c r="P82" s="242">
        <f>M82-H82</f>
        <v>-1.1000000000000038E-3</v>
      </c>
      <c r="Q82" s="121"/>
      <c r="R82" s="155"/>
      <c r="S82" s="184"/>
      <c r="T82" s="451"/>
    </row>
    <row r="83" spans="1:20" s="123" customFormat="1" ht="12.95" customHeight="1">
      <c r="A83" s="431">
        <v>72</v>
      </c>
      <c r="B83" s="432" t="s">
        <v>94</v>
      </c>
      <c r="C83" s="433" t="s">
        <v>243</v>
      </c>
      <c r="D83" s="393">
        <v>367032930.50999999</v>
      </c>
      <c r="E83" s="205">
        <f>(D83/$D$87)</f>
        <v>1.0730431511480163E-3</v>
      </c>
      <c r="F83" s="394">
        <v>106.25</v>
      </c>
      <c r="G83" s="394">
        <v>106.25</v>
      </c>
      <c r="H83" s="401">
        <v>0.1</v>
      </c>
      <c r="I83" s="393">
        <v>367920524.94</v>
      </c>
      <c r="J83" s="205">
        <f t="shared" si="14"/>
        <v>1.0623521939226045E-3</v>
      </c>
      <c r="K83" s="394">
        <v>115.08</v>
      </c>
      <c r="L83" s="394">
        <v>115.08</v>
      </c>
      <c r="M83" s="401">
        <v>5.5010000000000003E-2</v>
      </c>
      <c r="N83" s="84">
        <f t="shared" si="12"/>
        <v>2.4182964421385188E-3</v>
      </c>
      <c r="O83" s="84">
        <f t="shared" si="13"/>
        <v>8.3105882352941154E-2</v>
      </c>
      <c r="P83" s="242">
        <f t="shared" si="11"/>
        <v>-4.4990000000000002E-2</v>
      </c>
      <c r="Q83" s="121"/>
      <c r="R83" s="155"/>
      <c r="S83" s="184"/>
      <c r="T83" s="451"/>
    </row>
    <row r="84" spans="1:20" s="397" customFormat="1" ht="12.95" customHeight="1">
      <c r="A84" s="431">
        <v>73</v>
      </c>
      <c r="B84" s="432" t="s">
        <v>7</v>
      </c>
      <c r="C84" s="433" t="s">
        <v>247</v>
      </c>
      <c r="D84" s="393">
        <v>868481092.48000002</v>
      </c>
      <c r="E84" s="400">
        <f>(D84/$D$87)</f>
        <v>2.5390574270605414E-3</v>
      </c>
      <c r="F84" s="394">
        <v>1.0407</v>
      </c>
      <c r="G84" s="394">
        <v>1.0407</v>
      </c>
      <c r="H84" s="401">
        <v>6.0199999999999997E-2</v>
      </c>
      <c r="I84" s="393">
        <v>867392324.47000003</v>
      </c>
      <c r="J84" s="400">
        <f t="shared" si="14"/>
        <v>2.504552142185069E-3</v>
      </c>
      <c r="K84" s="394">
        <v>1.0419</v>
      </c>
      <c r="L84" s="394">
        <v>1.0419</v>
      </c>
      <c r="M84" s="401">
        <v>6.0100000000000001E-2</v>
      </c>
      <c r="N84" s="396">
        <f>((I84-D84)/D84)</f>
        <v>-1.2536461869203713E-3</v>
      </c>
      <c r="O84" s="396">
        <f>((L84-G84)/G84)</f>
        <v>1.1530700490055635E-3</v>
      </c>
      <c r="P84" s="403">
        <f>M84-H84</f>
        <v>-9.9999999999995925E-5</v>
      </c>
      <c r="Q84" s="121"/>
      <c r="R84" s="155"/>
      <c r="S84" s="184"/>
      <c r="T84" s="406"/>
    </row>
    <row r="85" spans="1:20" s="397" customFormat="1" ht="12.95" customHeight="1">
      <c r="A85" s="431">
        <v>74</v>
      </c>
      <c r="B85" s="432" t="s">
        <v>259</v>
      </c>
      <c r="C85" s="433" t="s">
        <v>260</v>
      </c>
      <c r="D85" s="393">
        <v>395198998.81</v>
      </c>
      <c r="E85" s="400">
        <f>(D85/$D$87)</f>
        <v>1.1553883691699694E-3</v>
      </c>
      <c r="F85" s="78">
        <v>1000</v>
      </c>
      <c r="G85" s="78">
        <v>1000</v>
      </c>
      <c r="H85" s="401">
        <v>0.16500000000000001</v>
      </c>
      <c r="I85" s="393">
        <v>395937942.35000002</v>
      </c>
      <c r="J85" s="400">
        <f t="shared" si="14"/>
        <v>1.1432510914723209E-3</v>
      </c>
      <c r="K85" s="78">
        <v>1000</v>
      </c>
      <c r="L85" s="78">
        <v>1000</v>
      </c>
      <c r="M85" s="401">
        <v>0.17249999999999999</v>
      </c>
      <c r="N85" s="396">
        <f>((I85-D85)/D85)</f>
        <v>1.8698011437910643E-3</v>
      </c>
      <c r="O85" s="396">
        <f>((L85-G85)/G85)</f>
        <v>0</v>
      </c>
      <c r="P85" s="403">
        <f>M85-H85</f>
        <v>7.4999999999999789E-3</v>
      </c>
      <c r="Q85" s="121"/>
      <c r="R85" s="155"/>
      <c r="S85" s="184"/>
      <c r="T85" s="408"/>
    </row>
    <row r="86" spans="1:20" s="123" customFormat="1" ht="12.95" customHeight="1">
      <c r="A86" s="431">
        <v>75</v>
      </c>
      <c r="B86" s="432" t="s">
        <v>270</v>
      </c>
      <c r="C86" s="433" t="s">
        <v>271</v>
      </c>
      <c r="D86" s="393">
        <v>55080400.369999997</v>
      </c>
      <c r="E86" s="205">
        <f>(D86/$D$87)</f>
        <v>1.6103090885440007E-4</v>
      </c>
      <c r="F86" s="78">
        <v>102.5847</v>
      </c>
      <c r="G86" s="78">
        <v>102.5847</v>
      </c>
      <c r="H86" s="401">
        <v>1.8467000000000001E-2</v>
      </c>
      <c r="I86" s="393">
        <v>55180067.270000003</v>
      </c>
      <c r="J86" s="205">
        <f t="shared" si="14"/>
        <v>1.5932969636483636E-4</v>
      </c>
      <c r="K86" s="78">
        <v>102.7688</v>
      </c>
      <c r="L86" s="78">
        <v>102.7688</v>
      </c>
      <c r="M86" s="401">
        <v>1.0817999999999999E-2</v>
      </c>
      <c r="N86" s="84">
        <f t="shared" si="12"/>
        <v>1.8094803111542081E-3</v>
      </c>
      <c r="O86" s="84">
        <f t="shared" si="13"/>
        <v>1.7946145965236611E-3</v>
      </c>
      <c r="P86" s="242">
        <f t="shared" si="11"/>
        <v>-7.6490000000000013E-3</v>
      </c>
      <c r="Q86" s="121"/>
      <c r="R86" s="155"/>
      <c r="S86" s="184"/>
      <c r="T86" s="318"/>
    </row>
    <row r="87" spans="1:20" s="123" customFormat="1" ht="12.95" customHeight="1">
      <c r="A87" s="229"/>
      <c r="B87" s="118"/>
      <c r="C87" s="266" t="s">
        <v>46</v>
      </c>
      <c r="D87" s="82">
        <f>SUM(D57:D86)</f>
        <v>342048621360.02881</v>
      </c>
      <c r="E87" s="285">
        <f>(D87/$D$166)</f>
        <v>0.23271406195031177</v>
      </c>
      <c r="F87" s="79"/>
      <c r="G87" s="79"/>
      <c r="H87" s="239"/>
      <c r="I87" s="82">
        <f>SUM(I57:I86)</f>
        <v>346326319129.15698</v>
      </c>
      <c r="J87" s="285">
        <f>(I87/$I$166)</f>
        <v>0.23229003248287103</v>
      </c>
      <c r="K87" s="287"/>
      <c r="L87" s="77"/>
      <c r="M87" s="304"/>
      <c r="N87" s="289">
        <f t="shared" si="12"/>
        <v>1.2506110248652672E-2</v>
      </c>
      <c r="O87" s="289"/>
      <c r="P87" s="290">
        <f t="shared" si="11"/>
        <v>0</v>
      </c>
      <c r="Q87" s="121"/>
      <c r="R87" s="97"/>
      <c r="S87" s="185"/>
      <c r="T87" s="197"/>
    </row>
    <row r="88" spans="1:20" s="123" customFormat="1" ht="5.25" customHeight="1">
      <c r="A88" s="447"/>
      <c r="B88" s="448"/>
      <c r="C88" s="448"/>
      <c r="D88" s="448"/>
      <c r="E88" s="448"/>
      <c r="F88" s="448"/>
      <c r="G88" s="448"/>
      <c r="H88" s="448"/>
      <c r="I88" s="448"/>
      <c r="J88" s="448"/>
      <c r="K88" s="448"/>
      <c r="L88" s="448"/>
      <c r="M88" s="448"/>
      <c r="N88" s="448"/>
      <c r="O88" s="448"/>
      <c r="P88" s="449"/>
      <c r="Q88" s="121"/>
      <c r="R88" s="97"/>
      <c r="S88" s="185"/>
      <c r="T88" s="197"/>
    </row>
    <row r="89" spans="1:20" s="123" customFormat="1" ht="12" customHeight="1">
      <c r="A89" s="441" t="s">
        <v>211</v>
      </c>
      <c r="B89" s="442"/>
      <c r="C89" s="442"/>
      <c r="D89" s="442"/>
      <c r="E89" s="442"/>
      <c r="F89" s="442"/>
      <c r="G89" s="442"/>
      <c r="H89" s="442"/>
      <c r="I89" s="442"/>
      <c r="J89" s="442"/>
      <c r="K89" s="442"/>
      <c r="L89" s="442"/>
      <c r="M89" s="442"/>
      <c r="N89" s="442"/>
      <c r="O89" s="442"/>
      <c r="P89" s="443"/>
      <c r="Q89" s="121"/>
      <c r="R89" s="97"/>
      <c r="S89" s="185"/>
      <c r="T89" s="197"/>
    </row>
    <row r="90" spans="1:20" s="123" customFormat="1" ht="12.95" customHeight="1">
      <c r="A90" s="438" t="s">
        <v>212</v>
      </c>
      <c r="B90" s="439"/>
      <c r="C90" s="439"/>
      <c r="D90" s="439"/>
      <c r="E90" s="439"/>
      <c r="F90" s="439"/>
      <c r="G90" s="439"/>
      <c r="H90" s="439"/>
      <c r="I90" s="439"/>
      <c r="J90" s="439"/>
      <c r="K90" s="439"/>
      <c r="L90" s="439"/>
      <c r="M90" s="439"/>
      <c r="N90" s="439"/>
      <c r="O90" s="439"/>
      <c r="P90" s="440"/>
      <c r="Q90" s="121"/>
      <c r="R90" s="97"/>
      <c r="S90" s="185"/>
      <c r="T90" s="197"/>
    </row>
    <row r="91" spans="1:20" s="123" customFormat="1" ht="12.95" customHeight="1">
      <c r="A91" s="431">
        <v>76</v>
      </c>
      <c r="B91" s="432" t="s">
        <v>201</v>
      </c>
      <c r="C91" s="433" t="s">
        <v>261</v>
      </c>
      <c r="D91" s="393">
        <v>13170785930.469999</v>
      </c>
      <c r="E91" s="205">
        <f t="shared" ref="E91:E96" si="15">(D91/$D$110)</f>
        <v>4.1358490168414967E-2</v>
      </c>
      <c r="F91" s="393">
        <v>55682.43</v>
      </c>
      <c r="G91" s="393">
        <v>55682.43</v>
      </c>
      <c r="H91" s="401">
        <v>6.7199999999999996E-2</v>
      </c>
      <c r="I91" s="393">
        <v>13163655023.09</v>
      </c>
      <c r="J91" s="205">
        <f t="shared" ref="J91:J96" si="16">(I91/$I$110)</f>
        <v>4.1735452382581528E-2</v>
      </c>
      <c r="K91" s="393">
        <v>55652.29</v>
      </c>
      <c r="L91" s="393">
        <v>55652.29</v>
      </c>
      <c r="M91" s="356">
        <v>6.8699999999999997E-2</v>
      </c>
      <c r="N91" s="84">
        <f t="shared" ref="N91:N99" si="17">((I91-D91)/D91)</f>
        <v>-5.4141851652923301E-4</v>
      </c>
      <c r="O91" s="84">
        <f t="shared" ref="O91:O99" si="18">((L91-G91)/G91)</f>
        <v>-5.4128384842398974E-4</v>
      </c>
      <c r="P91" s="242">
        <f t="shared" ref="P91:P99" si="19">M91-H91</f>
        <v>1.5000000000000013E-3</v>
      </c>
      <c r="Q91" s="121"/>
      <c r="R91" s="97"/>
      <c r="S91" s="185"/>
      <c r="T91" s="197"/>
    </row>
    <row r="92" spans="1:20" s="123" customFormat="1" ht="12.95" customHeight="1">
      <c r="A92" s="431">
        <v>77</v>
      </c>
      <c r="B92" s="432" t="s">
        <v>45</v>
      </c>
      <c r="C92" s="433" t="s">
        <v>177</v>
      </c>
      <c r="D92" s="393">
        <v>73991820810.800003</v>
      </c>
      <c r="E92" s="205">
        <f t="shared" si="15"/>
        <v>0.23234680221071599</v>
      </c>
      <c r="F92" s="393">
        <v>58133.03</v>
      </c>
      <c r="G92" s="393">
        <v>58133.03</v>
      </c>
      <c r="H92" s="401">
        <v>5.8700000000000002E-2</v>
      </c>
      <c r="I92" s="393">
        <v>74073614442.820007</v>
      </c>
      <c r="J92" s="205">
        <f t="shared" si="16"/>
        <v>0.23485086801206134</v>
      </c>
      <c r="K92" s="393">
        <v>58150.34</v>
      </c>
      <c r="L92" s="393">
        <v>58150.34</v>
      </c>
      <c r="M92" s="401">
        <v>5.5899999999999998E-2</v>
      </c>
      <c r="N92" s="84">
        <f t="shared" si="17"/>
        <v>1.105441535614508E-3</v>
      </c>
      <c r="O92" s="84">
        <f t="shared" si="18"/>
        <v>2.9776531517448294E-4</v>
      </c>
      <c r="P92" s="242">
        <f t="shared" si="19"/>
        <v>-2.8000000000000039E-3</v>
      </c>
      <c r="Q92" s="121"/>
      <c r="S92" s="176"/>
      <c r="T92" s="175"/>
    </row>
    <row r="93" spans="1:20" s="123" customFormat="1" ht="12.95" customHeight="1">
      <c r="A93" s="431">
        <v>78</v>
      </c>
      <c r="B93" s="432" t="s">
        <v>142</v>
      </c>
      <c r="C93" s="433" t="s">
        <v>129</v>
      </c>
      <c r="D93" s="393">
        <v>6374295367.1899996</v>
      </c>
      <c r="E93" s="205">
        <f t="shared" si="15"/>
        <v>2.001636300720689E-2</v>
      </c>
      <c r="F93" s="393">
        <v>460.41</v>
      </c>
      <c r="G93" s="393">
        <v>460.41</v>
      </c>
      <c r="H93" s="384">
        <v>5.0200000000000002E-2</v>
      </c>
      <c r="I93" s="393">
        <v>4983719407.1000004</v>
      </c>
      <c r="J93" s="205">
        <f t="shared" si="16"/>
        <v>1.5800914232280198E-2</v>
      </c>
      <c r="K93" s="393">
        <v>459.7</v>
      </c>
      <c r="L93" s="393">
        <v>459.7</v>
      </c>
      <c r="M93" s="357">
        <v>8.7800000000000003E-2</v>
      </c>
      <c r="N93" s="84">
        <f t="shared" si="17"/>
        <v>-0.21815367503169392</v>
      </c>
      <c r="O93" s="84">
        <f t="shared" si="18"/>
        <v>-1.5421037770683441E-3</v>
      </c>
      <c r="P93" s="242">
        <f t="shared" si="19"/>
        <v>3.7600000000000001E-2</v>
      </c>
      <c r="Q93" s="121"/>
      <c r="R93">
        <v>460.2</v>
      </c>
      <c r="S93" s="186"/>
      <c r="T93" s="175"/>
    </row>
    <row r="94" spans="1:20" s="123" customFormat="1" ht="12.95" customHeight="1">
      <c r="A94" s="431">
        <v>79</v>
      </c>
      <c r="B94" s="432" t="s">
        <v>96</v>
      </c>
      <c r="C94" s="433" t="s">
        <v>137</v>
      </c>
      <c r="D94" s="393">
        <f>1737078.23*460.91</f>
        <v>800636726.98930001</v>
      </c>
      <c r="E94" s="205">
        <f t="shared" si="15"/>
        <v>2.5141344166146706E-3</v>
      </c>
      <c r="F94" s="393">
        <f>123.91*460.91</f>
        <v>57111.358100000005</v>
      </c>
      <c r="G94" s="393">
        <f>126.88*460.91</f>
        <v>58480.260800000004</v>
      </c>
      <c r="H94" s="401">
        <v>0</v>
      </c>
      <c r="I94" s="393">
        <f>1703823.57*460.2</f>
        <v>784099606.91400003</v>
      </c>
      <c r="J94" s="205">
        <f t="shared" si="16"/>
        <v>2.4859928150774667E-3</v>
      </c>
      <c r="K94" s="393">
        <f>123.72*460.2</f>
        <v>56935.943999999996</v>
      </c>
      <c r="L94" s="393">
        <f>126.78*460.2</f>
        <v>58344.156000000003</v>
      </c>
      <c r="M94" s="356">
        <v>0</v>
      </c>
      <c r="N94" s="84">
        <f t="shared" si="17"/>
        <v>-2.065496063050451E-2</v>
      </c>
      <c r="O94" s="396">
        <f t="shared" si="18"/>
        <v>-2.3273630818007734E-3</v>
      </c>
      <c r="P94" s="242">
        <f t="shared" si="19"/>
        <v>0</v>
      </c>
      <c r="Q94" s="121"/>
      <c r="S94" s="186"/>
      <c r="T94" s="175"/>
    </row>
    <row r="95" spans="1:20" s="123" customFormat="1" ht="12.95" customHeight="1">
      <c r="A95" s="431">
        <v>80</v>
      </c>
      <c r="B95" s="432" t="s">
        <v>62</v>
      </c>
      <c r="C95" s="433" t="s">
        <v>155</v>
      </c>
      <c r="D95" s="393">
        <v>804372051.39999998</v>
      </c>
      <c r="E95" s="205">
        <f t="shared" si="15"/>
        <v>2.5258639655369088E-3</v>
      </c>
      <c r="F95" s="393">
        <f>105.8168*455.06</f>
        <v>48152.993007999998</v>
      </c>
      <c r="G95" s="393">
        <f>105.8168*455.06</f>
        <v>48152.993007999998</v>
      </c>
      <c r="H95" s="401">
        <v>8.48E-2</v>
      </c>
      <c r="I95" s="393">
        <v>790231292.03999996</v>
      </c>
      <c r="J95" s="205">
        <f t="shared" si="16"/>
        <v>2.5054333619584255E-3</v>
      </c>
      <c r="K95" s="393">
        <f>106.2165*460.2</f>
        <v>48880.833299999998</v>
      </c>
      <c r="L95" s="393">
        <f>106.2165*460.2</f>
        <v>48880.833299999998</v>
      </c>
      <c r="M95" s="356">
        <v>8.48E-2</v>
      </c>
      <c r="N95" s="84">
        <f t="shared" si="17"/>
        <v>-1.7579874058761977E-2</v>
      </c>
      <c r="O95" s="84">
        <f t="shared" si="18"/>
        <v>1.5115162039441235E-2</v>
      </c>
      <c r="P95" s="242">
        <f t="shared" si="19"/>
        <v>0</v>
      </c>
      <c r="Q95" s="121"/>
      <c r="R95" s="135"/>
      <c r="S95" s="186"/>
      <c r="T95" s="142"/>
    </row>
    <row r="96" spans="1:20" s="123" customFormat="1" ht="12.95" customHeight="1">
      <c r="A96" s="431">
        <v>81</v>
      </c>
      <c r="B96" s="432" t="s">
        <v>7</v>
      </c>
      <c r="C96" s="433" t="s">
        <v>156</v>
      </c>
      <c r="D96" s="393">
        <f>11149549.15*460.41</f>
        <v>5133363924.1515007</v>
      </c>
      <c r="E96" s="205">
        <f t="shared" si="15"/>
        <v>1.6119628889932135E-2</v>
      </c>
      <c r="F96" s="393">
        <f>1.1301*460.41</f>
        <v>520.30934100000013</v>
      </c>
      <c r="G96" s="393">
        <f>1.1301*460.41</f>
        <v>520.30934100000013</v>
      </c>
      <c r="H96" s="401">
        <v>5.5399999999999998E-2</v>
      </c>
      <c r="I96" s="393">
        <f>11166736.42 *459.7</f>
        <v>5133348732.2740002</v>
      </c>
      <c r="J96" s="205">
        <f t="shared" si="16"/>
        <v>1.6275314964058978E-2</v>
      </c>
      <c r="K96" s="393">
        <f>1.1312 *459.7</f>
        <v>520.01264000000003</v>
      </c>
      <c r="L96" s="393">
        <f>1.1312 *459.7</f>
        <v>520.01264000000003</v>
      </c>
      <c r="M96" s="356">
        <v>5.0799999999999998E-2</v>
      </c>
      <c r="N96" s="84">
        <f t="shared" si="17"/>
        <v>-2.9594390199103484E-6</v>
      </c>
      <c r="O96" s="84">
        <f t="shared" si="18"/>
        <v>-5.7023961828142188E-4</v>
      </c>
      <c r="P96" s="242">
        <f t="shared" si="19"/>
        <v>-4.5999999999999999E-3</v>
      </c>
      <c r="Q96" s="121"/>
      <c r="S96" s="186"/>
      <c r="T96" s="142"/>
    </row>
    <row r="97" spans="1:41" s="397" customFormat="1" ht="12.95" customHeight="1">
      <c r="A97" s="431">
        <v>82</v>
      </c>
      <c r="B97" s="432" t="s">
        <v>184</v>
      </c>
      <c r="C97" s="433" t="s">
        <v>187</v>
      </c>
      <c r="D97" s="393">
        <v>1003244687.8461001</v>
      </c>
      <c r="E97" s="400">
        <f>(D97/$D$110)</f>
        <v>3.1503576003620317E-3</v>
      </c>
      <c r="F97" s="393">
        <v>48449.845198000003</v>
      </c>
      <c r="G97" s="393">
        <v>48449.845198000003</v>
      </c>
      <c r="H97" s="401">
        <v>5.0700000000000002E-2</v>
      </c>
      <c r="I97" s="393">
        <v>1004853414.318</v>
      </c>
      <c r="J97" s="400">
        <f>(I97/$I$110)</f>
        <v>3.1858941723389941E-3</v>
      </c>
      <c r="K97" s="393">
        <v>48457.449299999993</v>
      </c>
      <c r="L97" s="393">
        <v>48457.449299999993</v>
      </c>
      <c r="M97" s="401">
        <v>8.8599999999999998E-2</v>
      </c>
      <c r="N97" s="396">
        <f>((I97-D97)/D97)</f>
        <v>1.6035235385633551E-3</v>
      </c>
      <c r="O97" s="396">
        <f t="shared" si="18"/>
        <v>1.5694791116286434E-4</v>
      </c>
      <c r="P97" s="403">
        <f>M97-H97</f>
        <v>3.7899999999999996E-2</v>
      </c>
      <c r="Q97" s="121"/>
      <c r="S97" s="399"/>
      <c r="T97" s="398"/>
    </row>
    <row r="98" spans="1:41" s="397" customFormat="1" ht="12.95" customHeight="1">
      <c r="A98" s="431">
        <v>83</v>
      </c>
      <c r="B98" s="432" t="s">
        <v>238</v>
      </c>
      <c r="C98" s="433" t="s">
        <v>258</v>
      </c>
      <c r="D98" s="393">
        <f>79646.33*460.91</f>
        <v>36709789.960300006</v>
      </c>
      <c r="E98" s="400">
        <f>(D98/$D$110)</f>
        <v>1.1527493462977172E-4</v>
      </c>
      <c r="F98" s="393">
        <f>100.79*460.91</f>
        <v>46455.118900000009</v>
      </c>
      <c r="G98" s="393">
        <f>100.79*460.91</f>
        <v>46455.118900000009</v>
      </c>
      <c r="H98" s="401">
        <v>1E-3</v>
      </c>
      <c r="I98" s="393">
        <f>79699.39*460.2</f>
        <v>36677659.277999997</v>
      </c>
      <c r="J98" s="400">
        <f>(I98/$I$110)</f>
        <v>1.162867531560541E-4</v>
      </c>
      <c r="K98" s="393">
        <f>100.85*460.2</f>
        <v>46411.17</v>
      </c>
      <c r="L98" s="393">
        <f>100.85*460.2</f>
        <v>46411.17</v>
      </c>
      <c r="M98" s="401">
        <v>1E-3</v>
      </c>
      <c r="N98" s="396">
        <f t="shared" ref="N98" si="20">((I98-D98)/D98)</f>
        <v>-8.7526194878142117E-4</v>
      </c>
      <c r="O98" s="396">
        <f t="shared" ref="O98" si="21">((L98-G98)/G98)</f>
        <v>-9.4605074834950686E-4</v>
      </c>
      <c r="P98" s="403">
        <f t="shared" ref="P98" si="22">M98-H98</f>
        <v>0</v>
      </c>
      <c r="Q98" s="121"/>
      <c r="S98" s="399"/>
      <c r="T98" s="398"/>
    </row>
    <row r="99" spans="1:41" s="123" customFormat="1" ht="12.95" customHeight="1">
      <c r="A99" s="431">
        <v>84</v>
      </c>
      <c r="B99" s="432" t="s">
        <v>188</v>
      </c>
      <c r="C99" s="433" t="s">
        <v>277</v>
      </c>
      <c r="D99" s="393">
        <f>496760.4*460.91</f>
        <v>228961835.96400002</v>
      </c>
      <c r="E99" s="205">
        <f>(D99/$D$110)</f>
        <v>7.1897879835341127E-4</v>
      </c>
      <c r="F99" s="393">
        <f>100.89*460.91</f>
        <v>46501.209900000002</v>
      </c>
      <c r="G99" s="393">
        <f>100.89*460.91</f>
        <v>46501.209900000002</v>
      </c>
      <c r="H99" s="401">
        <v>9.8199999999999996E-2</v>
      </c>
      <c r="I99" s="393">
        <f>783353.69*460.2</f>
        <v>360499368.13799995</v>
      </c>
      <c r="J99" s="205">
        <f>(I99/$I$110)</f>
        <v>1.1429655507139279E-3</v>
      </c>
      <c r="K99" s="355">
        <f>101.05*460.2</f>
        <v>46503.21</v>
      </c>
      <c r="L99" s="393">
        <f>101.05*460.2</f>
        <v>46503.21</v>
      </c>
      <c r="M99" s="356">
        <v>9.9599999999999994E-2</v>
      </c>
      <c r="N99" s="84">
        <f t="shared" si="17"/>
        <v>0.57449544645808026</v>
      </c>
      <c r="O99" s="84">
        <f t="shared" si="18"/>
        <v>4.3011784086879719E-5</v>
      </c>
      <c r="P99" s="242">
        <f t="shared" si="19"/>
        <v>1.3999999999999985E-3</v>
      </c>
      <c r="Q99" s="121"/>
      <c r="S99" s="175"/>
      <c r="T99" s="175"/>
    </row>
    <row r="100" spans="1:41" s="123" customFormat="1" ht="4.5" customHeight="1">
      <c r="A100" s="447"/>
      <c r="B100" s="448"/>
      <c r="C100" s="448"/>
      <c r="D100" s="448"/>
      <c r="E100" s="448"/>
      <c r="F100" s="448"/>
      <c r="G100" s="448"/>
      <c r="H100" s="448"/>
      <c r="I100" s="448"/>
      <c r="J100" s="448"/>
      <c r="K100" s="448"/>
      <c r="L100" s="448"/>
      <c r="M100" s="448"/>
      <c r="N100" s="448"/>
      <c r="O100" s="448"/>
      <c r="P100" s="449"/>
      <c r="Q100" s="121"/>
      <c r="S100" s="187"/>
      <c r="T100" s="142"/>
    </row>
    <row r="101" spans="1:41" s="123" customFormat="1" ht="12.95" customHeight="1">
      <c r="A101" s="438" t="s">
        <v>213</v>
      </c>
      <c r="B101" s="439"/>
      <c r="C101" s="439"/>
      <c r="D101" s="439"/>
      <c r="E101" s="439"/>
      <c r="F101" s="439"/>
      <c r="G101" s="439"/>
      <c r="H101" s="439"/>
      <c r="I101" s="439"/>
      <c r="J101" s="439"/>
      <c r="K101" s="439"/>
      <c r="L101" s="439"/>
      <c r="M101" s="439"/>
      <c r="N101" s="439"/>
      <c r="O101" s="439"/>
      <c r="P101" s="440"/>
      <c r="Q101" s="121"/>
      <c r="R101" s="188"/>
      <c r="S101" s="187"/>
      <c r="T101" s="142"/>
      <c r="AE101" s="123">
        <v>136.96</v>
      </c>
      <c r="AO101" s="132">
        <v>185280902</v>
      </c>
    </row>
    <row r="102" spans="1:41" s="123" customFormat="1" ht="12.95" customHeight="1">
      <c r="A102" s="431">
        <v>85</v>
      </c>
      <c r="B102" s="432" t="s">
        <v>5</v>
      </c>
      <c r="C102" s="433" t="s">
        <v>99</v>
      </c>
      <c r="D102" s="393">
        <v>197778223405.81</v>
      </c>
      <c r="E102" s="205">
        <f t="shared" ref="E102:E108" si="23">(D102/$D$110)</f>
        <v>0.62105699321497332</v>
      </c>
      <c r="F102" s="392">
        <v>633.34</v>
      </c>
      <c r="G102" s="392">
        <v>633.34</v>
      </c>
      <c r="H102" s="401">
        <v>5.0000000000000001E-3</v>
      </c>
      <c r="I102" s="393">
        <v>195942992273.41</v>
      </c>
      <c r="J102" s="205">
        <f>(I102/$I$110)</f>
        <v>0.62123850931850211</v>
      </c>
      <c r="K102" s="392">
        <v>633.73</v>
      </c>
      <c r="L102" s="392">
        <v>633.73</v>
      </c>
      <c r="M102" s="359">
        <v>6.1999999999999998E-3</v>
      </c>
      <c r="N102" s="84">
        <f t="shared" ref="N102:N110" si="24">((I102-D102)/D102)</f>
        <v>-9.2792376268563525E-3</v>
      </c>
      <c r="O102" s="84">
        <f t="shared" ref="O102:O107" si="25">((L102-G102)/G102)</f>
        <v>6.1578299175795988E-4</v>
      </c>
      <c r="P102" s="242">
        <f t="shared" ref="P102:P110" si="26">M102-H102</f>
        <v>1.1999999999999997E-3</v>
      </c>
      <c r="Q102" s="121"/>
      <c r="R102"/>
      <c r="S102" s="466"/>
      <c r="T102" s="142"/>
    </row>
    <row r="103" spans="1:41" s="123" customFormat="1" ht="12.95" customHeight="1">
      <c r="A103" s="431">
        <v>86</v>
      </c>
      <c r="B103" s="432" t="s">
        <v>265</v>
      </c>
      <c r="C103" s="433" t="s">
        <v>133</v>
      </c>
      <c r="D103" s="392">
        <v>4001400661.2600002</v>
      </c>
      <c r="E103" s="205">
        <f t="shared" si="23"/>
        <v>1.2565073244851175E-2</v>
      </c>
      <c r="F103" s="392">
        <v>460.28</v>
      </c>
      <c r="G103" s="392">
        <v>460.28</v>
      </c>
      <c r="H103" s="401">
        <v>2.9999999999999997E-4</v>
      </c>
      <c r="I103" s="392">
        <v>4071477187.6900001</v>
      </c>
      <c r="J103" s="205">
        <f t="shared" ref="J103:J109" si="27">(I103/$I$110)</f>
        <v>1.2908644445295957E-2</v>
      </c>
      <c r="K103" s="392">
        <v>459.7</v>
      </c>
      <c r="L103" s="392">
        <v>459.7</v>
      </c>
      <c r="M103" s="359">
        <v>1.43E-2</v>
      </c>
      <c r="N103" s="84">
        <f t="shared" si="24"/>
        <v>1.751299916263158E-2</v>
      </c>
      <c r="O103" s="84">
        <f t="shared" si="25"/>
        <v>-1.2601025462761451E-3</v>
      </c>
      <c r="P103" s="242">
        <f t="shared" si="26"/>
        <v>1.4E-2</v>
      </c>
      <c r="Q103" s="121"/>
      <c r="S103" s="466"/>
      <c r="T103" s="143"/>
    </row>
    <row r="104" spans="1:41" s="123" customFormat="1" ht="12.75" customHeight="1">
      <c r="A104" s="431">
        <v>87</v>
      </c>
      <c r="B104" s="432" t="s">
        <v>94</v>
      </c>
      <c r="C104" s="433" t="s">
        <v>152</v>
      </c>
      <c r="D104" s="392">
        <v>5928484256.0600004</v>
      </c>
      <c r="E104" s="205">
        <f t="shared" si="23"/>
        <v>1.8616440895194986E-2</v>
      </c>
      <c r="F104" s="392">
        <v>51441.43</v>
      </c>
      <c r="G104" s="392">
        <v>51441.43</v>
      </c>
      <c r="H104" s="401">
        <v>5.7209999999999997E-2</v>
      </c>
      <c r="I104" s="392">
        <v>6106876197.4099998</v>
      </c>
      <c r="J104" s="205">
        <f t="shared" si="27"/>
        <v>1.9361890014305265E-2</v>
      </c>
      <c r="K104" s="392">
        <v>52996.639999999999</v>
      </c>
      <c r="L104" s="392">
        <v>52996.639999999999</v>
      </c>
      <c r="M104" s="359">
        <v>5.5010000000000003E-2</v>
      </c>
      <c r="N104" s="84">
        <f t="shared" si="24"/>
        <v>3.0090649421502653E-2</v>
      </c>
      <c r="O104" s="84">
        <f t="shared" si="25"/>
        <v>3.023263544578755E-2</v>
      </c>
      <c r="P104" s="242">
        <f t="shared" si="26"/>
        <v>-2.1999999999999936E-3</v>
      </c>
      <c r="Q104" s="121"/>
      <c r="R104" s="189"/>
      <c r="S104" s="190"/>
      <c r="T104" s="191"/>
      <c r="U104" s="198"/>
      <c r="V104" s="196"/>
      <c r="W104" s="153"/>
    </row>
    <row r="105" spans="1:41" s="123" customFormat="1" ht="12.95" customHeight="1" thickBot="1">
      <c r="A105" s="431">
        <v>88</v>
      </c>
      <c r="B105" s="432" t="s">
        <v>157</v>
      </c>
      <c r="C105" s="433" t="s">
        <v>158</v>
      </c>
      <c r="D105" s="392">
        <v>389448978.44</v>
      </c>
      <c r="E105" s="205">
        <f t="shared" si="23"/>
        <v>1.2229355052113594E-3</v>
      </c>
      <c r="F105" s="393">
        <v>44718.38</v>
      </c>
      <c r="G105" s="393">
        <v>44718.38</v>
      </c>
      <c r="H105" s="401">
        <v>4.9399999999999999E-2</v>
      </c>
      <c r="I105" s="392">
        <v>375190911.54000002</v>
      </c>
      <c r="J105" s="205">
        <f>(I105/$I$87)</f>
        <v>1.0833450731767183E-3</v>
      </c>
      <c r="K105" s="393">
        <v>44789.85</v>
      </c>
      <c r="L105" s="393">
        <v>44789.85</v>
      </c>
      <c r="M105" s="359">
        <v>2.3199999999999998E-2</v>
      </c>
      <c r="N105" s="84">
        <f t="shared" si="24"/>
        <v>-3.6610872513038649E-2</v>
      </c>
      <c r="O105" s="84">
        <f t="shared" si="25"/>
        <v>1.5982242648325178E-3</v>
      </c>
      <c r="P105" s="242">
        <f t="shared" si="26"/>
        <v>-2.6200000000000001E-2</v>
      </c>
      <c r="Q105" s="121"/>
      <c r="R105" s="178"/>
      <c r="S105" s="172"/>
      <c r="T105" s="191"/>
      <c r="U105" s="198"/>
      <c r="V105" s="196"/>
      <c r="W105" s="154"/>
    </row>
    <row r="106" spans="1:41" s="123" customFormat="1" ht="12.75" customHeight="1">
      <c r="A106" s="431">
        <v>89</v>
      </c>
      <c r="B106" s="432" t="s">
        <v>9</v>
      </c>
      <c r="C106" s="433" t="s">
        <v>163</v>
      </c>
      <c r="D106" s="392">
        <v>1743199502.8051081</v>
      </c>
      <c r="E106" s="205">
        <f t="shared" si="23"/>
        <v>5.4739405741581421E-3</v>
      </c>
      <c r="F106" s="392">
        <v>524.2104612801852</v>
      </c>
      <c r="G106" s="392">
        <v>524.2104612801852</v>
      </c>
      <c r="H106" s="401">
        <v>5.9700762385382668E-2</v>
      </c>
      <c r="I106" s="392">
        <v>1780308825.2450969</v>
      </c>
      <c r="J106" s="205">
        <f t="shared" si="27"/>
        <v>5.6444805087929872E-3</v>
      </c>
      <c r="K106" s="358">
        <v>524.71771100104058</v>
      </c>
      <c r="L106" s="392">
        <v>524.71771100104058</v>
      </c>
      <c r="M106" s="359">
        <v>5.7842999999999999E-2</v>
      </c>
      <c r="N106" s="84">
        <f t="shared" si="24"/>
        <v>2.1288052446248158E-2</v>
      </c>
      <c r="O106" s="84">
        <f t="shared" si="25"/>
        <v>9.6764516987436517E-4</v>
      </c>
      <c r="P106" s="242">
        <f t="shared" si="26"/>
        <v>-1.8577623853826691E-3</v>
      </c>
      <c r="Q106" s="121"/>
      <c r="S106" s="196"/>
      <c r="T106" s="196"/>
      <c r="U106" s="196"/>
      <c r="V106" s="198"/>
    </row>
    <row r="107" spans="1:41" s="123" customFormat="1" ht="12.75" customHeight="1">
      <c r="A107" s="431">
        <v>90</v>
      </c>
      <c r="B107" s="432" t="s">
        <v>171</v>
      </c>
      <c r="C107" s="433" t="s">
        <v>173</v>
      </c>
      <c r="D107" s="392">
        <v>106673959.47499999</v>
      </c>
      <c r="E107" s="205">
        <f t="shared" si="23"/>
        <v>3.3497423217288951E-4</v>
      </c>
      <c r="F107" s="392">
        <v>419.89</v>
      </c>
      <c r="G107" s="392">
        <v>419.89</v>
      </c>
      <c r="H107" s="401">
        <v>-2.1118000000000001E-2</v>
      </c>
      <c r="I107" s="392">
        <v>102211691.23999999</v>
      </c>
      <c r="J107" s="205">
        <f t="shared" si="27"/>
        <v>3.2406282033428668E-4</v>
      </c>
      <c r="K107" s="392">
        <v>401.44</v>
      </c>
      <c r="L107" s="392">
        <v>401.44</v>
      </c>
      <c r="M107" s="401">
        <v>-4.1831E-2</v>
      </c>
      <c r="N107" s="84">
        <f t="shared" si="24"/>
        <v>-4.1830904720901188E-2</v>
      </c>
      <c r="O107" s="84">
        <f t="shared" si="25"/>
        <v>-4.3940079544642616E-2</v>
      </c>
      <c r="P107" s="242">
        <f t="shared" si="26"/>
        <v>-2.0712999999999999E-2</v>
      </c>
      <c r="Q107" s="121"/>
      <c r="S107" s="196"/>
      <c r="T107" s="196"/>
      <c r="U107" s="196"/>
      <c r="V107" s="198"/>
    </row>
    <row r="108" spans="1:41" s="123" customFormat="1" ht="12.75" customHeight="1">
      <c r="A108" s="431">
        <v>91</v>
      </c>
      <c r="B108" s="436" t="s">
        <v>12</v>
      </c>
      <c r="C108" s="432" t="s">
        <v>208</v>
      </c>
      <c r="D108" s="393">
        <v>4121040307.46</v>
      </c>
      <c r="E108" s="205">
        <f t="shared" si="23"/>
        <v>1.294076192108029E-2</v>
      </c>
      <c r="F108" s="392">
        <f>1.0571*460.91</f>
        <v>487.22796099999999</v>
      </c>
      <c r="G108" s="392">
        <f>1.0571*460.91</f>
        <v>487.22796099999999</v>
      </c>
      <c r="H108" s="401">
        <v>7.2400000000000006E-2</v>
      </c>
      <c r="I108" s="393">
        <v>4187987405.4299998</v>
      </c>
      <c r="J108" s="205">
        <f t="shared" si="27"/>
        <v>1.3278040835283587E-2</v>
      </c>
      <c r="K108" s="392">
        <f>1.0582*460.2</f>
        <v>486.98363999999998</v>
      </c>
      <c r="L108" s="392">
        <f>1.0582*460.2</f>
        <v>486.98363999999998</v>
      </c>
      <c r="M108" s="359">
        <v>7.0800000000000002E-2</v>
      </c>
      <c r="N108" s="84">
        <f t="shared" si="24"/>
        <v>1.6245193682966567E-2</v>
      </c>
      <c r="O108" s="84">
        <f>((L108-G108)/G108)</f>
        <v>-5.0145110616919939E-4</v>
      </c>
      <c r="P108" s="242">
        <f t="shared" si="26"/>
        <v>-1.6000000000000042E-3</v>
      </c>
      <c r="Q108" s="121"/>
      <c r="R108"/>
      <c r="S108" s="319"/>
      <c r="T108" s="319"/>
      <c r="U108" s="319"/>
      <c r="V108" s="320"/>
    </row>
    <row r="109" spans="1:41" s="123" customFormat="1" ht="12.95" customHeight="1">
      <c r="A109" s="431">
        <v>92</v>
      </c>
      <c r="B109" s="432" t="s">
        <v>86</v>
      </c>
      <c r="C109" s="432" t="s">
        <v>248</v>
      </c>
      <c r="D109" s="393">
        <v>2841562724.5466137</v>
      </c>
      <c r="E109" s="205">
        <f>(D109/$I$110)</f>
        <v>9.0091927792403832E-3</v>
      </c>
      <c r="F109" s="392">
        <v>57274.312830500006</v>
      </c>
      <c r="G109" s="392">
        <v>57676.641169500006</v>
      </c>
      <c r="H109" s="401">
        <v>2.9759510978846215E-3</v>
      </c>
      <c r="I109" s="393">
        <f>6177462.23 *406.2</f>
        <v>2509285157.8260002</v>
      </c>
      <c r="J109" s="205">
        <f t="shared" si="27"/>
        <v>7.9557046302921475E-3</v>
      </c>
      <c r="K109" s="358">
        <f>124.35 *406.2</f>
        <v>50510.969999999994</v>
      </c>
      <c r="L109" s="358">
        <f>125.23*460.2</f>
        <v>57630.845999999998</v>
      </c>
      <c r="M109" s="359">
        <v>3.7000000000000002E-3</v>
      </c>
      <c r="N109" s="84">
        <f t="shared" si="24"/>
        <v>-0.11693479923925668</v>
      </c>
      <c r="O109" s="84">
        <f>((L109-G109)/G109)</f>
        <v>-7.9399855073782088E-4</v>
      </c>
      <c r="P109" s="242">
        <f t="shared" si="26"/>
        <v>7.2404890211537863E-4</v>
      </c>
      <c r="Q109" s="121"/>
      <c r="S109" s="196"/>
      <c r="T109" s="196"/>
      <c r="U109" s="196"/>
      <c r="V109" s="198"/>
    </row>
    <row r="110" spans="1:41" s="123" customFormat="1" ht="13.5" customHeight="1">
      <c r="A110" s="229"/>
      <c r="B110" s="118"/>
      <c r="C110" s="312" t="s">
        <v>46</v>
      </c>
      <c r="D110" s="82">
        <f>SUM(D91:D109)</f>
        <v>318454224920.62793</v>
      </c>
      <c r="E110" s="285">
        <f>(D110/$D$166)</f>
        <v>0.21666152587270082</v>
      </c>
      <c r="F110" s="287"/>
      <c r="G110" s="77"/>
      <c r="H110" s="301"/>
      <c r="I110" s="82">
        <f>SUM(I91:I109)</f>
        <v>315407028595.76306</v>
      </c>
      <c r="J110" s="285">
        <f>(I110/$I$166)</f>
        <v>0.21155166347756624</v>
      </c>
      <c r="K110" s="287"/>
      <c r="L110" s="77"/>
      <c r="M110" s="303"/>
      <c r="N110" s="289">
        <f t="shared" si="24"/>
        <v>-9.5687106227727286E-3</v>
      </c>
      <c r="O110" s="289"/>
      <c r="P110" s="290">
        <f t="shared" si="26"/>
        <v>0</v>
      </c>
      <c r="Q110" s="121"/>
      <c r="S110" s="196"/>
      <c r="T110" s="196"/>
      <c r="U110" s="196"/>
      <c r="V110" s="196"/>
    </row>
    <row r="111" spans="1:41" s="123" customFormat="1" ht="4.5" customHeight="1">
      <c r="A111" s="447"/>
      <c r="B111" s="448"/>
      <c r="C111" s="448"/>
      <c r="D111" s="448"/>
      <c r="E111" s="448"/>
      <c r="F111" s="448"/>
      <c r="G111" s="448"/>
      <c r="H111" s="448"/>
      <c r="I111" s="448"/>
      <c r="J111" s="448"/>
      <c r="K111" s="448"/>
      <c r="L111" s="448"/>
      <c r="M111" s="448"/>
      <c r="N111" s="448"/>
      <c r="O111" s="448"/>
      <c r="P111" s="449"/>
      <c r="Q111" s="121"/>
      <c r="R111" s="129"/>
      <c r="S111" s="144"/>
    </row>
    <row r="112" spans="1:41" s="123" customFormat="1" ht="12.95" customHeight="1">
      <c r="A112" s="444" t="s">
        <v>231</v>
      </c>
      <c r="B112" s="445"/>
      <c r="C112" s="445"/>
      <c r="D112" s="445"/>
      <c r="E112" s="445"/>
      <c r="F112" s="445"/>
      <c r="G112" s="445"/>
      <c r="H112" s="445"/>
      <c r="I112" s="445"/>
      <c r="J112" s="445"/>
      <c r="K112" s="445"/>
      <c r="L112" s="445"/>
      <c r="M112" s="445"/>
      <c r="N112" s="445"/>
      <c r="O112" s="445"/>
      <c r="P112" s="446"/>
      <c r="Q112" s="121"/>
    </row>
    <row r="113" spans="1:21" s="123" customFormat="1" ht="12.95" customHeight="1">
      <c r="A113" s="431">
        <v>93</v>
      </c>
      <c r="B113" s="432" t="s">
        <v>24</v>
      </c>
      <c r="C113" s="433" t="s">
        <v>150</v>
      </c>
      <c r="D113" s="393">
        <v>2283435577.96</v>
      </c>
      <c r="E113" s="205">
        <f>(D113/$D$117)</f>
        <v>4.941189590275559E-2</v>
      </c>
      <c r="F113" s="394">
        <v>77</v>
      </c>
      <c r="G113" s="394">
        <v>77</v>
      </c>
      <c r="H113" s="401">
        <v>9.3100000000000002E-2</v>
      </c>
      <c r="I113" s="393">
        <v>2298704113.3499999</v>
      </c>
      <c r="J113" s="205">
        <f>(I113/$I$117)</f>
        <v>4.9659830592787176E-2</v>
      </c>
      <c r="K113" s="361">
        <v>77</v>
      </c>
      <c r="L113" s="361">
        <v>77</v>
      </c>
      <c r="M113" s="362">
        <v>9.9599999999999994E-2</v>
      </c>
      <c r="N113" s="84">
        <f>((I113-D113)/D113)</f>
        <v>6.6866503865375664E-3</v>
      </c>
      <c r="O113" s="84">
        <f>((L113-G113)/G113)</f>
        <v>0</v>
      </c>
      <c r="P113" s="242">
        <f>M113-H113</f>
        <v>6.4999999999999919E-3</v>
      </c>
      <c r="Q113" s="121"/>
    </row>
    <row r="114" spans="1:21" s="123" customFormat="1" ht="12.95" customHeight="1">
      <c r="A114" s="431">
        <v>94</v>
      </c>
      <c r="B114" s="432" t="s">
        <v>24</v>
      </c>
      <c r="C114" s="433" t="s">
        <v>25</v>
      </c>
      <c r="D114" s="393">
        <v>9984464335.5900002</v>
      </c>
      <c r="E114" s="205">
        <f>(D114/$D$117)</f>
        <v>0.21605659347556644</v>
      </c>
      <c r="F114" s="394">
        <v>36.6</v>
      </c>
      <c r="G114" s="394">
        <v>36.6</v>
      </c>
      <c r="H114" s="401">
        <v>9.9000000000000005E-2</v>
      </c>
      <c r="I114" s="393">
        <v>10032401869.309999</v>
      </c>
      <c r="J114" s="205">
        <f>(I114/$I$117)</f>
        <v>0.2167340173862729</v>
      </c>
      <c r="K114" s="361">
        <v>36.6</v>
      </c>
      <c r="L114" s="361">
        <v>36.6</v>
      </c>
      <c r="M114" s="362">
        <v>0.1096</v>
      </c>
      <c r="N114" s="84">
        <f>((I114-D114)/D114)</f>
        <v>4.8012123744209457E-3</v>
      </c>
      <c r="O114" s="84">
        <f>((L114-G114)/G114)</f>
        <v>0</v>
      </c>
      <c r="P114" s="242">
        <f>M114-H114</f>
        <v>1.0599999999999998E-2</v>
      </c>
      <c r="Q114" s="121"/>
      <c r="R114" s="145"/>
      <c r="S114" s="177"/>
    </row>
    <row r="115" spans="1:21" s="123" customFormat="1" ht="12.95" customHeight="1">
      <c r="A115" s="431">
        <v>95</v>
      </c>
      <c r="B115" s="432" t="s">
        <v>5</v>
      </c>
      <c r="C115" s="433" t="s">
        <v>198</v>
      </c>
      <c r="D115" s="393">
        <v>26432551896.450001</v>
      </c>
      <c r="E115" s="205">
        <f>(D115/$D$117)</f>
        <v>0.5719813229495242</v>
      </c>
      <c r="F115" s="394">
        <v>9.91</v>
      </c>
      <c r="G115" s="394">
        <v>9.91</v>
      </c>
      <c r="H115" s="401">
        <v>0.05</v>
      </c>
      <c r="I115" s="393">
        <v>26446086162.439999</v>
      </c>
      <c r="J115" s="205">
        <f>(I115/$I$117)</f>
        <v>0.57132544856113876</v>
      </c>
      <c r="K115" s="361">
        <v>9.91</v>
      </c>
      <c r="L115" s="361">
        <v>9.91</v>
      </c>
      <c r="M115" s="362">
        <v>0.1333</v>
      </c>
      <c r="N115" s="84">
        <f>((I115-D115)/D115)</f>
        <v>5.1203024373199359E-4</v>
      </c>
      <c r="O115" s="84">
        <f>((L115-G115)/G115)</f>
        <v>0</v>
      </c>
      <c r="P115" s="242">
        <f>M115-H115</f>
        <v>8.3299999999999999E-2</v>
      </c>
      <c r="Q115" s="121"/>
      <c r="R115" s="146"/>
      <c r="S115" s="124"/>
    </row>
    <row r="116" spans="1:21" s="147" customFormat="1" ht="12.95" customHeight="1">
      <c r="A116" s="431">
        <v>96</v>
      </c>
      <c r="B116" s="432" t="s">
        <v>12</v>
      </c>
      <c r="C116" s="433" t="s">
        <v>245</v>
      </c>
      <c r="D116" s="393">
        <v>7511812185.1700001</v>
      </c>
      <c r="E116" s="205">
        <f>(D116/$D$117)</f>
        <v>0.16255018767215382</v>
      </c>
      <c r="F116" s="394">
        <v>101.31</v>
      </c>
      <c r="G116" s="394">
        <v>101.31</v>
      </c>
      <c r="H116" s="401">
        <v>7.6999999999999999E-2</v>
      </c>
      <c r="I116" s="360">
        <v>7511812185.1700001</v>
      </c>
      <c r="J116" s="205">
        <f>(I116/$I$117)</f>
        <v>0.16228070345980122</v>
      </c>
      <c r="K116" s="361">
        <v>101.31</v>
      </c>
      <c r="L116" s="361">
        <v>101.31</v>
      </c>
      <c r="M116" s="362">
        <v>7.6999999999999999E-2</v>
      </c>
      <c r="N116" s="84">
        <f>((I116-D116)/D116)</f>
        <v>0</v>
      </c>
      <c r="O116" s="84">
        <f>((L116-G116)/G116)</f>
        <v>0</v>
      </c>
      <c r="P116" s="242">
        <f>M116-H116</f>
        <v>0</v>
      </c>
      <c r="Q116" s="121"/>
      <c r="R116" s="146"/>
      <c r="S116" s="172"/>
    </row>
    <row r="117" spans="1:21" s="123" customFormat="1" ht="12.75" customHeight="1">
      <c r="A117" s="229"/>
      <c r="B117" s="118"/>
      <c r="C117" s="266" t="s">
        <v>46</v>
      </c>
      <c r="D117" s="73">
        <f>SUM(D113:D116)</f>
        <v>46212263995.169998</v>
      </c>
      <c r="E117" s="285">
        <f>(D117/$D$166)</f>
        <v>3.1440687068042879E-2</v>
      </c>
      <c r="F117" s="75"/>
      <c r="G117" s="75"/>
      <c r="H117" s="268"/>
      <c r="I117" s="73">
        <f>SUM(I113:I116)</f>
        <v>46289004330.269997</v>
      </c>
      <c r="J117" s="285">
        <f>(I117/$I$166)</f>
        <v>3.1047234141821624E-2</v>
      </c>
      <c r="K117" s="287"/>
      <c r="L117" s="75"/>
      <c r="M117" s="288"/>
      <c r="N117" s="289">
        <f>((I117-D117)/D117)</f>
        <v>1.6606053992078639E-3</v>
      </c>
      <c r="O117" s="289"/>
      <c r="P117" s="290">
        <f>M117-H117</f>
        <v>0</v>
      </c>
      <c r="Q117" s="121"/>
      <c r="R117" s="172"/>
      <c r="S117" s="172"/>
      <c r="T117" s="192"/>
      <c r="U117" s="450"/>
    </row>
    <row r="118" spans="1:21" s="123" customFormat="1" ht="5.25" customHeight="1">
      <c r="A118" s="447"/>
      <c r="B118" s="448"/>
      <c r="C118" s="448"/>
      <c r="D118" s="448"/>
      <c r="E118" s="448"/>
      <c r="F118" s="448"/>
      <c r="G118" s="448"/>
      <c r="H118" s="448"/>
      <c r="I118" s="448"/>
      <c r="J118" s="448"/>
      <c r="K118" s="448"/>
      <c r="L118" s="448"/>
      <c r="M118" s="448"/>
      <c r="N118" s="448"/>
      <c r="O118" s="448"/>
      <c r="P118" s="449"/>
      <c r="Q118" s="121"/>
      <c r="R118" s="172"/>
      <c r="S118" s="172"/>
      <c r="T118" s="192"/>
      <c r="U118" s="450"/>
    </row>
    <row r="119" spans="1:21" s="123" customFormat="1" ht="12" customHeight="1">
      <c r="A119" s="441" t="s">
        <v>242</v>
      </c>
      <c r="B119" s="442"/>
      <c r="C119" s="442"/>
      <c r="D119" s="442"/>
      <c r="E119" s="442"/>
      <c r="F119" s="442"/>
      <c r="G119" s="442"/>
      <c r="H119" s="442"/>
      <c r="I119" s="442"/>
      <c r="J119" s="442"/>
      <c r="K119" s="442"/>
      <c r="L119" s="442"/>
      <c r="M119" s="442"/>
      <c r="N119" s="442"/>
      <c r="O119" s="442"/>
      <c r="P119" s="443"/>
      <c r="Q119" s="121"/>
      <c r="R119" s="196"/>
      <c r="S119" s="198"/>
      <c r="T119" s="192"/>
      <c r="U119" s="450"/>
    </row>
    <row r="120" spans="1:21" s="123" customFormat="1" ht="12" customHeight="1">
      <c r="A120" s="431">
        <v>97</v>
      </c>
      <c r="B120" s="432" t="s">
        <v>5</v>
      </c>
      <c r="C120" s="433" t="s">
        <v>26</v>
      </c>
      <c r="D120" s="393">
        <v>1545707045.6800001</v>
      </c>
      <c r="E120" s="205">
        <f>(D120/$D$144)</f>
        <v>5.0426826536358361E-2</v>
      </c>
      <c r="F120" s="392">
        <v>3736.76</v>
      </c>
      <c r="G120" s="392">
        <v>3768.25</v>
      </c>
      <c r="H120" s="401">
        <v>2.4799999999999999E-2</v>
      </c>
      <c r="I120" s="393">
        <v>1573599523.54</v>
      </c>
      <c r="J120" s="205">
        <f t="shared" ref="J120:J143" si="28">(I120/$I$144)</f>
        <v>5.0515956934870827E-2</v>
      </c>
      <c r="K120" s="392">
        <v>3792.17</v>
      </c>
      <c r="L120" s="392">
        <v>3823.71</v>
      </c>
      <c r="M120" s="374">
        <v>3.9899999999999998E-2</v>
      </c>
      <c r="N120" s="84">
        <f>((I120-D120)/D120)</f>
        <v>1.8045125651691137E-2</v>
      </c>
      <c r="O120" s="84">
        <f t="shared" ref="O120:O143" si="29">((L120-G120)/G120)</f>
        <v>1.4717707158495333E-2</v>
      </c>
      <c r="P120" s="242">
        <f t="shared" ref="P120:P144" si="30">M120-H120</f>
        <v>1.5099999999999999E-2</v>
      </c>
      <c r="Q120" s="121"/>
      <c r="R120" s="452"/>
      <c r="S120" s="178"/>
      <c r="T120" s="196"/>
    </row>
    <row r="121" spans="1:21" s="123" customFormat="1" ht="12" customHeight="1">
      <c r="A121" s="431">
        <v>98</v>
      </c>
      <c r="B121" s="432" t="s">
        <v>12</v>
      </c>
      <c r="C121" s="433" t="s">
        <v>254</v>
      </c>
      <c r="D121" s="393">
        <v>196962817.83000001</v>
      </c>
      <c r="E121" s="205">
        <f t="shared" ref="E121:E143" si="31">(D121/$D$144)</f>
        <v>6.4256741771247499E-3</v>
      </c>
      <c r="F121" s="392">
        <v>148.69</v>
      </c>
      <c r="G121" s="392">
        <v>150.49</v>
      </c>
      <c r="H121" s="401">
        <v>2.0799999999999999E-2</v>
      </c>
      <c r="I121" s="393">
        <v>203347299.5</v>
      </c>
      <c r="J121" s="206">
        <f t="shared" si="28"/>
        <v>6.5278892568901856E-3</v>
      </c>
      <c r="K121" s="373">
        <v>148.68</v>
      </c>
      <c r="L121" s="373">
        <v>150.49</v>
      </c>
      <c r="M121" s="374">
        <v>5.3800000000000001E-2</v>
      </c>
      <c r="N121" s="84">
        <f>((I121-D121)/D121)</f>
        <v>3.241465440198199E-2</v>
      </c>
      <c r="O121" s="84">
        <f t="shared" si="29"/>
        <v>0</v>
      </c>
      <c r="P121" s="242">
        <f t="shared" si="30"/>
        <v>3.3000000000000002E-2</v>
      </c>
      <c r="Q121" s="121"/>
      <c r="R121" s="452"/>
      <c r="U121" s="199"/>
    </row>
    <row r="122" spans="1:21" s="123" customFormat="1" ht="12" customHeight="1">
      <c r="A122" s="431">
        <v>99</v>
      </c>
      <c r="B122" s="432" t="s">
        <v>45</v>
      </c>
      <c r="C122" s="433" t="s">
        <v>80</v>
      </c>
      <c r="D122" s="392">
        <v>1140276730.72</v>
      </c>
      <c r="E122" s="205">
        <f t="shared" si="31"/>
        <v>3.7200151907289231E-2</v>
      </c>
      <c r="F122" s="392">
        <v>1.4556</v>
      </c>
      <c r="G122" s="392">
        <v>1.4814000000000001</v>
      </c>
      <c r="H122" s="401">
        <v>6.2600000000000003E-2</v>
      </c>
      <c r="I122" s="392">
        <v>1198519067.8099999</v>
      </c>
      <c r="J122" s="206">
        <f t="shared" si="28"/>
        <v>3.847506097288958E-2</v>
      </c>
      <c r="K122" s="392">
        <v>1.5306999999999999</v>
      </c>
      <c r="L122" s="392">
        <v>1.5573999999999999</v>
      </c>
      <c r="M122" s="374">
        <v>0.1174</v>
      </c>
      <c r="N122" s="84">
        <f t="shared" ref="N122:N127" si="32">((I122-D122)/D122)</f>
        <v>5.1077370537259151E-2</v>
      </c>
      <c r="O122" s="84">
        <f t="shared" si="29"/>
        <v>5.1302821655190928E-2</v>
      </c>
      <c r="P122" s="242">
        <f t="shared" si="30"/>
        <v>5.4800000000000001E-2</v>
      </c>
      <c r="Q122" s="121"/>
      <c r="R122" s="198"/>
      <c r="S122" s="124"/>
      <c r="U122" s="199"/>
    </row>
    <row r="123" spans="1:21" s="123" customFormat="1" ht="12" customHeight="1">
      <c r="A123" s="431">
        <v>100</v>
      </c>
      <c r="B123" s="432" t="s">
        <v>7</v>
      </c>
      <c r="C123" s="433" t="s">
        <v>165</v>
      </c>
      <c r="D123" s="392">
        <v>4870560924.9799995</v>
      </c>
      <c r="E123" s="205">
        <f t="shared" si="31"/>
        <v>0.15889617090454691</v>
      </c>
      <c r="F123" s="392">
        <v>536.93309999999997</v>
      </c>
      <c r="G123" s="392">
        <v>553.12210000000005</v>
      </c>
      <c r="H123" s="377">
        <v>0.15720000000000001</v>
      </c>
      <c r="I123" s="392">
        <v>4967832864.75</v>
      </c>
      <c r="J123" s="206">
        <f t="shared" si="28"/>
        <v>0.15947820732100512</v>
      </c>
      <c r="K123" s="392">
        <v>547.34109999999998</v>
      </c>
      <c r="L123" s="392">
        <v>563.84389999999996</v>
      </c>
      <c r="M123" s="377">
        <v>1.0106999999999999</v>
      </c>
      <c r="N123" s="84">
        <f>((I123-D123)/D123)</f>
        <v>1.9971403965221911E-2</v>
      </c>
      <c r="O123" s="84">
        <f t="shared" si="29"/>
        <v>1.9384146827617112E-2</v>
      </c>
      <c r="P123" s="242">
        <f t="shared" si="30"/>
        <v>0.85349999999999993</v>
      </c>
      <c r="Q123" s="121"/>
      <c r="R123" s="198"/>
      <c r="S123" s="124"/>
      <c r="U123" s="199"/>
    </row>
    <row r="124" spans="1:21" s="123" customFormat="1" ht="12" customHeight="1">
      <c r="A124" s="431">
        <v>101</v>
      </c>
      <c r="B124" s="432" t="s">
        <v>15</v>
      </c>
      <c r="C124" s="433" t="s">
        <v>263</v>
      </c>
      <c r="D124" s="392">
        <v>2600183971.02</v>
      </c>
      <c r="E124" s="205">
        <f t="shared" si="31"/>
        <v>8.4827863362401931E-2</v>
      </c>
      <c r="F124" s="392">
        <v>14.239100000000001</v>
      </c>
      <c r="G124" s="392">
        <v>14.371</v>
      </c>
      <c r="H124" s="401">
        <v>2.6599999999999999E-2</v>
      </c>
      <c r="I124" s="392">
        <v>2621902464.75</v>
      </c>
      <c r="J124" s="370">
        <f t="shared" si="28"/>
        <v>8.4168754511812063E-2</v>
      </c>
      <c r="K124" s="392">
        <v>14.302899999999999</v>
      </c>
      <c r="L124" s="392">
        <v>14.436</v>
      </c>
      <c r="M124" s="401">
        <v>3.1199999999999999E-2</v>
      </c>
      <c r="N124" s="84">
        <f>((I124-D124)/D124)</f>
        <v>8.3526757998897624E-3</v>
      </c>
      <c r="O124" s="84">
        <f t="shared" si="29"/>
        <v>4.5229977037088229E-3</v>
      </c>
      <c r="P124" s="242">
        <f t="shared" si="30"/>
        <v>4.5999999999999999E-3</v>
      </c>
      <c r="Q124" s="121"/>
      <c r="R124" s="198"/>
      <c r="S124" s="124"/>
      <c r="U124" s="199"/>
    </row>
    <row r="125" spans="1:21" s="123" customFormat="1" ht="12" customHeight="1">
      <c r="A125" s="431">
        <v>102</v>
      </c>
      <c r="B125" s="432" t="s">
        <v>201</v>
      </c>
      <c r="C125" s="433" t="s">
        <v>207</v>
      </c>
      <c r="D125" s="392">
        <v>5048291896.7399998</v>
      </c>
      <c r="E125" s="205">
        <f t="shared" si="31"/>
        <v>0.16469442931847367</v>
      </c>
      <c r="F125" s="392">
        <v>205.79</v>
      </c>
      <c r="G125" s="392">
        <v>207.22</v>
      </c>
      <c r="H125" s="401">
        <v>6.4000000000000003E-3</v>
      </c>
      <c r="I125" s="392">
        <v>5172019010.4799995</v>
      </c>
      <c r="J125" s="206">
        <f t="shared" si="28"/>
        <v>0.16603302536085165</v>
      </c>
      <c r="K125" s="392">
        <v>210.83</v>
      </c>
      <c r="L125" s="392">
        <v>212.34</v>
      </c>
      <c r="M125" s="401">
        <v>2.46E-2</v>
      </c>
      <c r="N125" s="84">
        <f t="shared" si="32"/>
        <v>2.4508708345469914E-2</v>
      </c>
      <c r="O125" s="84">
        <f t="shared" si="29"/>
        <v>2.4708039764501519E-2</v>
      </c>
      <c r="P125" s="242">
        <f t="shared" si="30"/>
        <v>1.8200000000000001E-2</v>
      </c>
      <c r="Q125" s="121"/>
      <c r="S125" s="124"/>
      <c r="U125" s="199"/>
    </row>
    <row r="126" spans="1:21" s="123" customFormat="1" ht="12" customHeight="1">
      <c r="A126" s="431">
        <v>103</v>
      </c>
      <c r="B126" s="432" t="s">
        <v>113</v>
      </c>
      <c r="C126" s="433" t="s">
        <v>168</v>
      </c>
      <c r="D126" s="392">
        <v>4358487953.5100002</v>
      </c>
      <c r="E126" s="205">
        <f t="shared" si="31"/>
        <v>0.14219040833560206</v>
      </c>
      <c r="F126" s="392">
        <v>192.5187</v>
      </c>
      <c r="G126" s="392">
        <v>197.07220000000001</v>
      </c>
      <c r="H126" s="401">
        <v>-1.34E-2</v>
      </c>
      <c r="I126" s="392">
        <v>4466328069.54</v>
      </c>
      <c r="J126" s="206">
        <f t="shared" si="28"/>
        <v>0.14337881592028345</v>
      </c>
      <c r="K126" s="392">
        <v>197.23419999999999</v>
      </c>
      <c r="L126" s="392">
        <v>201.97900000000001</v>
      </c>
      <c r="M126" s="401">
        <v>1.11E-2</v>
      </c>
      <c r="N126" s="84">
        <f>((I126-D126)/D126)</f>
        <v>2.47425522750736E-2</v>
      </c>
      <c r="O126" s="84">
        <f t="shared" si="29"/>
        <v>2.4898488980180888E-2</v>
      </c>
      <c r="P126" s="242">
        <f t="shared" si="30"/>
        <v>2.4500000000000001E-2</v>
      </c>
      <c r="Q126" s="121"/>
      <c r="S126" s="124"/>
    </row>
    <row r="127" spans="1:21" s="123" customFormat="1" ht="12" customHeight="1">
      <c r="A127" s="431">
        <v>104</v>
      </c>
      <c r="B127" s="432" t="s">
        <v>9</v>
      </c>
      <c r="C127" s="433" t="s">
        <v>182</v>
      </c>
      <c r="D127" s="393">
        <v>2295295653.5358701</v>
      </c>
      <c r="E127" s="205">
        <f t="shared" si="31"/>
        <v>7.4881250036349142E-2</v>
      </c>
      <c r="F127" s="392">
        <v>4299.5745814535103</v>
      </c>
      <c r="G127" s="392">
        <v>4331.0935922234903</v>
      </c>
      <c r="H127" s="401">
        <v>0.2943946353836992</v>
      </c>
      <c r="I127" s="364">
        <v>2316028075.9534702</v>
      </c>
      <c r="J127" s="206">
        <f t="shared" si="28"/>
        <v>7.4349523366415329E-2</v>
      </c>
      <c r="K127" s="373">
        <v>4339.4289395775704</v>
      </c>
      <c r="L127" s="392">
        <v>4371.0717596189597</v>
      </c>
      <c r="M127" s="374">
        <v>0.33546044531056574</v>
      </c>
      <c r="N127" s="84">
        <f t="shared" si="32"/>
        <v>9.0325716365393521E-3</v>
      </c>
      <c r="O127" s="84">
        <f t="shared" si="29"/>
        <v>9.2305018453654551E-3</v>
      </c>
      <c r="P127" s="242">
        <f t="shared" si="30"/>
        <v>4.1065809926866537E-2</v>
      </c>
      <c r="Q127" s="121"/>
      <c r="S127" s="122"/>
    </row>
    <row r="128" spans="1:21" s="123" customFormat="1" ht="11.25" customHeight="1">
      <c r="A128" s="431">
        <v>105</v>
      </c>
      <c r="B128" s="432" t="s">
        <v>191</v>
      </c>
      <c r="C128" s="433" t="s">
        <v>197</v>
      </c>
      <c r="D128" s="392">
        <v>1912302860.9400001</v>
      </c>
      <c r="E128" s="205">
        <f t="shared" si="31"/>
        <v>6.2386572489989744E-2</v>
      </c>
      <c r="F128" s="392">
        <v>1.3117000000000001</v>
      </c>
      <c r="G128" s="392">
        <v>1.3361000000000001</v>
      </c>
      <c r="H128" s="401">
        <v>0.1358</v>
      </c>
      <c r="I128" s="363">
        <v>1906203341.72</v>
      </c>
      <c r="J128" s="206">
        <f t="shared" si="28"/>
        <v>6.119326072418365E-2</v>
      </c>
      <c r="K128" s="373">
        <v>1.3075000000000001</v>
      </c>
      <c r="L128" s="373">
        <v>1.3318000000000001</v>
      </c>
      <c r="M128" s="374">
        <v>0.12859999999999999</v>
      </c>
      <c r="N128" s="84">
        <f t="shared" ref="N128:N135" si="33">((I128-D128)/D128)</f>
        <v>-3.1896198790403868E-3</v>
      </c>
      <c r="O128" s="84">
        <f t="shared" si="29"/>
        <v>-3.218321981887561E-3</v>
      </c>
      <c r="P128" s="242">
        <f t="shared" si="30"/>
        <v>-7.2000000000000119E-3</v>
      </c>
      <c r="Q128" s="121"/>
    </row>
    <row r="129" spans="1:20" s="123" customFormat="1" ht="12" customHeight="1">
      <c r="A129" s="431">
        <v>106</v>
      </c>
      <c r="B129" s="432" t="s">
        <v>61</v>
      </c>
      <c r="C129" s="433" t="s">
        <v>31</v>
      </c>
      <c r="D129" s="393">
        <v>1157423183.53</v>
      </c>
      <c r="E129" s="205">
        <f t="shared" si="31"/>
        <v>3.7759534232665988E-2</v>
      </c>
      <c r="F129" s="392">
        <v>552.20000000000005</v>
      </c>
      <c r="G129" s="392">
        <v>552.20000000000005</v>
      </c>
      <c r="H129" s="401">
        <v>5.64E-3</v>
      </c>
      <c r="I129" s="393">
        <v>1157423183.53</v>
      </c>
      <c r="J129" s="370">
        <f t="shared" si="28"/>
        <v>3.7155793974245149E-2</v>
      </c>
      <c r="K129" s="373">
        <v>552.20000000000005</v>
      </c>
      <c r="L129" s="373">
        <v>552.20000000000005</v>
      </c>
      <c r="M129" s="374">
        <v>-1.6999999999999999E-3</v>
      </c>
      <c r="N129" s="84">
        <f t="shared" si="33"/>
        <v>0</v>
      </c>
      <c r="O129" s="84">
        <f t="shared" si="29"/>
        <v>0</v>
      </c>
      <c r="P129" s="242">
        <f t="shared" si="30"/>
        <v>-7.3400000000000002E-3</v>
      </c>
      <c r="Q129" s="121"/>
    </row>
    <row r="130" spans="1:20" s="123" customFormat="1" ht="13.5" customHeight="1">
      <c r="A130" s="431">
        <v>107</v>
      </c>
      <c r="B130" s="432" t="s">
        <v>265</v>
      </c>
      <c r="C130" s="433" t="s">
        <v>56</v>
      </c>
      <c r="D130" s="393">
        <v>2220554097.4200001</v>
      </c>
      <c r="E130" s="205">
        <f t="shared" si="31"/>
        <v>7.2442896988890268E-2</v>
      </c>
      <c r="F130" s="392">
        <v>3.13</v>
      </c>
      <c r="G130" s="392">
        <v>3.19</v>
      </c>
      <c r="H130" s="401">
        <v>1E-4</v>
      </c>
      <c r="I130" s="393">
        <v>2237071708.4200001</v>
      </c>
      <c r="J130" s="206">
        <f t="shared" si="28"/>
        <v>7.1814852757795741E-2</v>
      </c>
      <c r="K130" s="373">
        <v>3.16</v>
      </c>
      <c r="L130" s="373">
        <v>3.21</v>
      </c>
      <c r="M130" s="374">
        <v>7.4000000000000003E-3</v>
      </c>
      <c r="N130" s="84">
        <f t="shared" si="33"/>
        <v>7.4385087123936102E-3</v>
      </c>
      <c r="O130" s="84">
        <f t="shared" si="29"/>
        <v>6.269592476489034E-3</v>
      </c>
      <c r="P130" s="242">
        <f t="shared" si="30"/>
        <v>7.3000000000000001E-3</v>
      </c>
      <c r="Q130" s="121"/>
    </row>
    <row r="131" spans="1:20" s="123" customFormat="1" ht="12" customHeight="1">
      <c r="A131" s="431">
        <v>108</v>
      </c>
      <c r="B131" s="432" t="s">
        <v>96</v>
      </c>
      <c r="C131" s="433" t="s">
        <v>52</v>
      </c>
      <c r="D131" s="392">
        <v>158513199.77000001</v>
      </c>
      <c r="E131" s="205">
        <f t="shared" si="31"/>
        <v>5.1713018005998838E-3</v>
      </c>
      <c r="F131" s="392">
        <v>1.6102350000000001</v>
      </c>
      <c r="G131" s="392">
        <v>1.6572929999999999</v>
      </c>
      <c r="H131" s="401">
        <v>6.1199999999999997E-2</v>
      </c>
      <c r="I131" s="392">
        <v>159451728.80000001</v>
      </c>
      <c r="J131" s="206">
        <f t="shared" si="28"/>
        <v>5.1187462532596229E-3</v>
      </c>
      <c r="K131" s="392">
        <v>1.619521</v>
      </c>
      <c r="L131" s="392">
        <v>1.668471</v>
      </c>
      <c r="M131" s="374">
        <v>3.4000000000000002E-2</v>
      </c>
      <c r="N131" s="84">
        <f t="shared" si="33"/>
        <v>5.9208257190050484E-3</v>
      </c>
      <c r="O131" s="84">
        <f t="shared" si="29"/>
        <v>6.744733731452515E-3</v>
      </c>
      <c r="P131" s="242">
        <f t="shared" si="30"/>
        <v>-2.7199999999999995E-2</v>
      </c>
      <c r="Q131" s="121"/>
    </row>
    <row r="132" spans="1:20" s="123" customFormat="1" ht="12" customHeight="1">
      <c r="A132" s="431">
        <v>109</v>
      </c>
      <c r="B132" s="432" t="s">
        <v>45</v>
      </c>
      <c r="C132" s="433" t="s">
        <v>262</v>
      </c>
      <c r="D132" s="392">
        <v>661733060.10000002</v>
      </c>
      <c r="E132" s="205">
        <f t="shared" si="31"/>
        <v>2.1588242305226924E-2</v>
      </c>
      <c r="F132" s="392">
        <v>1.1922999999999999</v>
      </c>
      <c r="G132" s="392">
        <v>1.2059</v>
      </c>
      <c r="H132" s="401">
        <v>2.5999999999999999E-2</v>
      </c>
      <c r="I132" s="392">
        <v>667911648.46000004</v>
      </c>
      <c r="J132" s="206">
        <f t="shared" si="28"/>
        <v>2.1441412230477387E-2</v>
      </c>
      <c r="K132" s="392">
        <v>1.2038</v>
      </c>
      <c r="L132" s="392">
        <v>1.2177</v>
      </c>
      <c r="M132" s="374">
        <v>3.5900000000000001E-2</v>
      </c>
      <c r="N132" s="84">
        <f t="shared" si="33"/>
        <v>9.3369800189011497E-3</v>
      </c>
      <c r="O132" s="84">
        <f t="shared" si="29"/>
        <v>9.7852226552782428E-3</v>
      </c>
      <c r="P132" s="242">
        <f t="shared" si="30"/>
        <v>9.9000000000000025E-3</v>
      </c>
      <c r="Q132" s="121"/>
    </row>
    <row r="133" spans="1:20" s="123" customFormat="1" ht="12" customHeight="1">
      <c r="A133" s="431">
        <v>110</v>
      </c>
      <c r="B133" s="432" t="s">
        <v>114</v>
      </c>
      <c r="C133" s="433" t="s">
        <v>116</v>
      </c>
      <c r="D133" s="392">
        <v>124323995.27</v>
      </c>
      <c r="E133" s="205">
        <f t="shared" si="31"/>
        <v>4.0559202737083348E-3</v>
      </c>
      <c r="F133" s="392">
        <v>1.224</v>
      </c>
      <c r="G133" s="392">
        <v>1.2177</v>
      </c>
      <c r="H133" s="401">
        <v>8.5000000000000006E-3</v>
      </c>
      <c r="I133" s="363">
        <v>125482699.62</v>
      </c>
      <c r="J133" s="206">
        <f t="shared" si="28"/>
        <v>4.028266757360976E-3</v>
      </c>
      <c r="K133" s="373">
        <v>1.2224999999999999</v>
      </c>
      <c r="L133" s="373">
        <v>1.2354000000000001</v>
      </c>
      <c r="M133" s="374">
        <v>1.77E-2</v>
      </c>
      <c r="N133" s="84">
        <f t="shared" si="33"/>
        <v>9.320037917729387E-3</v>
      </c>
      <c r="O133" s="84">
        <f t="shared" si="29"/>
        <v>1.4535599901453601E-2</v>
      </c>
      <c r="P133" s="242">
        <f t="shared" si="30"/>
        <v>9.1999999999999998E-3</v>
      </c>
      <c r="Q133" s="121"/>
    </row>
    <row r="134" spans="1:20" s="123" customFormat="1" ht="12" customHeight="1">
      <c r="A134" s="431">
        <v>111</v>
      </c>
      <c r="B134" s="432" t="s">
        <v>93</v>
      </c>
      <c r="C134" s="433" t="s">
        <v>255</v>
      </c>
      <c r="D134" s="392">
        <v>170022963.21000001</v>
      </c>
      <c r="E134" s="205">
        <f t="shared" si="31"/>
        <v>5.5467939393499298E-3</v>
      </c>
      <c r="F134" s="392">
        <v>110.07</v>
      </c>
      <c r="G134" s="392">
        <v>114.74</v>
      </c>
      <c r="H134" s="401">
        <v>0.1474</v>
      </c>
      <c r="I134" s="70">
        <v>170786218.60334182</v>
      </c>
      <c r="J134" s="206">
        <f t="shared" si="28"/>
        <v>5.4826079539141053E-3</v>
      </c>
      <c r="K134" s="373">
        <v>111.56</v>
      </c>
      <c r="L134" s="373">
        <v>115.28</v>
      </c>
      <c r="M134" s="374">
        <v>0.15280000000000005</v>
      </c>
      <c r="N134" s="84">
        <f t="shared" si="33"/>
        <v>4.4891312263455373E-3</v>
      </c>
      <c r="O134" s="84">
        <f t="shared" si="29"/>
        <v>4.7062924873627881E-3</v>
      </c>
      <c r="P134" s="242">
        <f t="shared" si="30"/>
        <v>5.4000000000000437E-3</v>
      </c>
      <c r="Q134" s="121"/>
      <c r="R134" s="241"/>
      <c r="S134" s="241"/>
      <c r="T134" s="122"/>
    </row>
    <row r="135" spans="1:20" s="123" customFormat="1" ht="12" customHeight="1">
      <c r="A135" s="431">
        <v>112</v>
      </c>
      <c r="B135" s="432" t="s">
        <v>40</v>
      </c>
      <c r="C135" s="433" t="s">
        <v>124</v>
      </c>
      <c r="D135" s="392">
        <v>169737621.38999999</v>
      </c>
      <c r="E135" s="205">
        <f t="shared" si="31"/>
        <v>5.5374850069096438E-3</v>
      </c>
      <c r="F135" s="392">
        <v>3.8292999999999999</v>
      </c>
      <c r="G135" s="392">
        <v>3.8915000000000002</v>
      </c>
      <c r="H135" s="401">
        <v>1.9324999999999998E-2</v>
      </c>
      <c r="I135" s="392">
        <v>172282013.24000001</v>
      </c>
      <c r="J135" s="206">
        <f t="shared" si="28"/>
        <v>5.5306262052661724E-3</v>
      </c>
      <c r="K135" s="392">
        <v>3.8862000000000001</v>
      </c>
      <c r="L135" s="392">
        <v>3.9502000000000002</v>
      </c>
      <c r="M135" s="401">
        <v>3.4472000000000003E-2</v>
      </c>
      <c r="N135" s="84">
        <f t="shared" si="33"/>
        <v>1.4990146728602181E-2</v>
      </c>
      <c r="O135" s="84">
        <f t="shared" si="29"/>
        <v>1.5084157779776428E-2</v>
      </c>
      <c r="P135" s="242">
        <f t="shared" si="30"/>
        <v>1.5147000000000004E-2</v>
      </c>
      <c r="Q135" s="121"/>
      <c r="S135" s="235"/>
      <c r="T135" s="122"/>
    </row>
    <row r="136" spans="1:20" s="123" customFormat="1" ht="12" customHeight="1">
      <c r="A136" s="431">
        <v>113</v>
      </c>
      <c r="B136" s="432" t="s">
        <v>94</v>
      </c>
      <c r="C136" s="433" t="s">
        <v>166</v>
      </c>
      <c r="D136" s="392">
        <v>357629848.88</v>
      </c>
      <c r="E136" s="205">
        <f t="shared" si="31"/>
        <v>1.1667242123336566E-2</v>
      </c>
      <c r="F136" s="392">
        <v>140.87</v>
      </c>
      <c r="G136" s="392">
        <v>141.9</v>
      </c>
      <c r="H136" s="401">
        <v>2.3560000000000001E-2</v>
      </c>
      <c r="I136" s="392">
        <v>361352560.54000002</v>
      </c>
      <c r="J136" s="206">
        <f t="shared" si="28"/>
        <v>1.1600200758499999E-2</v>
      </c>
      <c r="K136" s="392">
        <v>142.37</v>
      </c>
      <c r="L136" s="392">
        <v>143.27000000000001</v>
      </c>
      <c r="M136" s="401">
        <v>3.3950000000000001E-2</v>
      </c>
      <c r="N136" s="84">
        <f t="shared" ref="N136:N142" si="34">((I136-D136)/D136)</f>
        <v>1.0409398632856158E-2</v>
      </c>
      <c r="O136" s="84">
        <f t="shared" si="29"/>
        <v>9.6546863988724776E-3</v>
      </c>
      <c r="P136" s="242">
        <f t="shared" si="30"/>
        <v>1.039E-2</v>
      </c>
      <c r="Q136" s="121"/>
    </row>
    <row r="137" spans="1:20" s="123" customFormat="1" ht="12" customHeight="1">
      <c r="A137" s="431">
        <v>114</v>
      </c>
      <c r="B137" s="432" t="s">
        <v>110</v>
      </c>
      <c r="C137" s="433" t="s">
        <v>139</v>
      </c>
      <c r="D137" s="393">
        <v>159508902.55000001</v>
      </c>
      <c r="E137" s="205">
        <f t="shared" si="31"/>
        <v>5.2037854018807074E-3</v>
      </c>
      <c r="F137" s="392">
        <v>146.58886899999999</v>
      </c>
      <c r="G137" s="392">
        <v>152.54738</v>
      </c>
      <c r="H137" s="401">
        <v>8.3999999999999995E-3</v>
      </c>
      <c r="I137" s="393">
        <v>159508902.55000001</v>
      </c>
      <c r="J137" s="206">
        <v>1.4052378000000001</v>
      </c>
      <c r="K137" s="392">
        <v>146.58886899999999</v>
      </c>
      <c r="L137" s="392">
        <v>152.54738</v>
      </c>
      <c r="M137" s="401">
        <v>8.3999999999999995E-3</v>
      </c>
      <c r="N137" s="84">
        <f t="shared" si="34"/>
        <v>0</v>
      </c>
      <c r="O137" s="84">
        <f t="shared" ref="O137:O142" si="35">((L137-G137)/G137)</f>
        <v>0</v>
      </c>
      <c r="P137" s="242">
        <f t="shared" si="30"/>
        <v>0</v>
      </c>
      <c r="Q137" s="121"/>
      <c r="R137" s="122"/>
      <c r="T137" s="150"/>
    </row>
    <row r="138" spans="1:20" s="123" customFormat="1" ht="12" customHeight="1">
      <c r="A138" s="431">
        <v>115</v>
      </c>
      <c r="B138" s="432" t="s">
        <v>109</v>
      </c>
      <c r="C138" s="433" t="s">
        <v>153</v>
      </c>
      <c r="D138" s="393">
        <v>1038050562.1</v>
      </c>
      <c r="E138" s="205">
        <f>(D138/$D$144)</f>
        <v>3.3865146553665147E-2</v>
      </c>
      <c r="F138" s="392">
        <v>2.3595999999999999</v>
      </c>
      <c r="G138" s="392">
        <v>2.4081000000000001</v>
      </c>
      <c r="H138" s="401">
        <v>0.1106652398787253</v>
      </c>
      <c r="I138" s="365">
        <v>1041534961.77</v>
      </c>
      <c r="J138" s="206">
        <f>(I138/$I$144)</f>
        <v>3.3435530761075652E-2</v>
      </c>
      <c r="K138" s="392">
        <v>2.3672</v>
      </c>
      <c r="L138" s="373">
        <v>2.4165999999999999</v>
      </c>
      <c r="M138" s="401">
        <v>0.18405144541932297</v>
      </c>
      <c r="N138" s="84">
        <f t="shared" si="34"/>
        <v>3.3566762518301005E-3</v>
      </c>
      <c r="O138" s="84">
        <f t="shared" si="35"/>
        <v>3.5297537477678377E-3</v>
      </c>
      <c r="P138" s="242">
        <f t="shared" si="30"/>
        <v>7.3386205540597674E-2</v>
      </c>
      <c r="Q138" s="121"/>
      <c r="R138" s="129"/>
      <c r="T138" s="150"/>
    </row>
    <row r="139" spans="1:20" s="123" customFormat="1" ht="12" customHeight="1">
      <c r="A139" s="431">
        <v>116</v>
      </c>
      <c r="B139" s="432" t="s">
        <v>171</v>
      </c>
      <c r="C139" s="433" t="s">
        <v>203</v>
      </c>
      <c r="D139" s="393">
        <v>19547733.41</v>
      </c>
      <c r="E139" s="205">
        <f>(D139/$D$144)</f>
        <v>6.3772120635666543E-4</v>
      </c>
      <c r="F139" s="392">
        <v>1.24</v>
      </c>
      <c r="G139" s="392">
        <v>1.24</v>
      </c>
      <c r="H139" s="401">
        <v>-3.9199999999999999E-3</v>
      </c>
      <c r="I139" s="393">
        <v>19966931.129999999</v>
      </c>
      <c r="J139" s="206">
        <f>(I139/$I$144)</f>
        <v>6.4098178602363593E-4</v>
      </c>
      <c r="K139" s="392">
        <v>1.25</v>
      </c>
      <c r="L139" s="392">
        <v>1.25</v>
      </c>
      <c r="M139" s="401">
        <v>9.3080000000000003E-3</v>
      </c>
      <c r="N139" s="84">
        <f t="shared" si="34"/>
        <v>2.1444824891337557E-2</v>
      </c>
      <c r="O139" s="84">
        <f t="shared" si="35"/>
        <v>8.0645161290322648E-3</v>
      </c>
      <c r="P139" s="242">
        <f t="shared" si="30"/>
        <v>1.3228E-2</v>
      </c>
      <c r="Q139" s="121"/>
      <c r="R139" s="122"/>
      <c r="T139" s="150"/>
    </row>
    <row r="140" spans="1:20" s="123" customFormat="1" ht="12" customHeight="1">
      <c r="A140" s="431">
        <v>117</v>
      </c>
      <c r="B140" s="432" t="s">
        <v>184</v>
      </c>
      <c r="C140" s="433" t="s">
        <v>229</v>
      </c>
      <c r="D140" s="393">
        <v>223066127.62</v>
      </c>
      <c r="E140" s="205">
        <f>(D140/$D$144)</f>
        <v>7.2772631496173185E-3</v>
      </c>
      <c r="F140" s="392">
        <v>1.1121000000000001</v>
      </c>
      <c r="G140" s="392">
        <v>1.1121000000000001</v>
      </c>
      <c r="H140" s="401">
        <v>0.42542445316446575</v>
      </c>
      <c r="I140" s="393">
        <v>226052034.74000001</v>
      </c>
      <c r="J140" s="206">
        <f>(I140/$I$144)</f>
        <v>7.2567604915619397E-3</v>
      </c>
      <c r="K140" s="373">
        <v>1.1265000000000001</v>
      </c>
      <c r="L140" s="373">
        <v>1.1265000000000001</v>
      </c>
      <c r="M140" s="374">
        <v>0.6751705268025745</v>
      </c>
      <c r="N140" s="84">
        <f t="shared" si="34"/>
        <v>1.338574866501735E-2</v>
      </c>
      <c r="O140" s="84">
        <f t="shared" si="35"/>
        <v>1.2948475856487696E-2</v>
      </c>
      <c r="P140" s="242">
        <f>M140-H140</f>
        <v>0.24974607363810875</v>
      </c>
      <c r="Q140" s="121"/>
      <c r="R140" s="122"/>
      <c r="S140" s="151"/>
      <c r="T140" s="150"/>
    </row>
    <row r="141" spans="1:20" s="367" customFormat="1" ht="12" customHeight="1">
      <c r="A141" s="431">
        <v>118</v>
      </c>
      <c r="B141" s="432" t="s">
        <v>194</v>
      </c>
      <c r="C141" s="433" t="s">
        <v>196</v>
      </c>
      <c r="D141" s="392">
        <v>3432190.96652241</v>
      </c>
      <c r="E141" s="369">
        <f>(D141/$D$144)</f>
        <v>1.1197108727180666E-4</v>
      </c>
      <c r="F141" s="392">
        <v>98.703180501155146</v>
      </c>
      <c r="G141" s="392">
        <v>102.99</v>
      </c>
      <c r="H141" s="401">
        <v>2.0020001356289906E-2</v>
      </c>
      <c r="I141" s="372">
        <v>3432190.96652241</v>
      </c>
      <c r="J141" s="370">
        <f>(I141/$I$144)</f>
        <v>1.1018077246684648E-4</v>
      </c>
      <c r="K141" s="373">
        <v>98.703180501155146</v>
      </c>
      <c r="L141" s="373">
        <v>102.99</v>
      </c>
      <c r="M141" s="374">
        <v>2.0020001356289906E-2</v>
      </c>
      <c r="N141" s="366">
        <f t="shared" si="34"/>
        <v>0</v>
      </c>
      <c r="O141" s="366">
        <f t="shared" si="35"/>
        <v>0</v>
      </c>
      <c r="P141" s="371">
        <f>M141-H141</f>
        <v>0</v>
      </c>
      <c r="Q141" s="121"/>
      <c r="R141" s="122"/>
      <c r="S141" s="368"/>
      <c r="T141" s="150"/>
    </row>
    <row r="142" spans="1:20" s="397" customFormat="1" ht="12" customHeight="1">
      <c r="A142" s="431">
        <v>119</v>
      </c>
      <c r="B142" s="432" t="s">
        <v>105</v>
      </c>
      <c r="C142" s="433" t="s">
        <v>256</v>
      </c>
      <c r="D142" s="387">
        <v>164751448.41999999</v>
      </c>
      <c r="E142" s="400">
        <f>(D142/$D$144)</f>
        <v>5.3748171325920663E-3</v>
      </c>
      <c r="F142" s="392">
        <v>104.28</v>
      </c>
      <c r="G142" s="392">
        <v>105.97</v>
      </c>
      <c r="H142" s="401">
        <v>1.11E-2</v>
      </c>
      <c r="I142" s="387">
        <v>165484066.63</v>
      </c>
      <c r="J142" s="370">
        <f>(I142/$I$144)</f>
        <v>5.3123973782620926E-3</v>
      </c>
      <c r="K142" s="392">
        <v>104.74</v>
      </c>
      <c r="L142" s="392">
        <v>106.51</v>
      </c>
      <c r="M142" s="401">
        <v>1.5900000000000001E-2</v>
      </c>
      <c r="N142" s="396">
        <f t="shared" si="34"/>
        <v>4.446808917469112E-3</v>
      </c>
      <c r="O142" s="396">
        <f t="shared" si="35"/>
        <v>5.0957818250448829E-3</v>
      </c>
      <c r="P142" s="403">
        <f>M142-H142</f>
        <v>4.8000000000000004E-3</v>
      </c>
      <c r="Q142" s="121"/>
      <c r="R142" s="122"/>
      <c r="S142" s="368"/>
      <c r="T142" s="150"/>
    </row>
    <row r="143" spans="1:20" s="123" customFormat="1" ht="12" customHeight="1">
      <c r="A143" s="431">
        <v>120</v>
      </c>
      <c r="B143" s="432" t="s">
        <v>270</v>
      </c>
      <c r="C143" s="433" t="s">
        <v>272</v>
      </c>
      <c r="D143" s="387">
        <v>56110328.299999997</v>
      </c>
      <c r="E143" s="205">
        <f t="shared" si="31"/>
        <v>1.8305317297932467E-3</v>
      </c>
      <c r="F143" s="392">
        <v>104.73520000000001</v>
      </c>
      <c r="G143" s="392">
        <v>104.8262</v>
      </c>
      <c r="H143" s="401">
        <v>3.5671000000000001E-2</v>
      </c>
      <c r="I143" s="387">
        <v>57023122.920000002</v>
      </c>
      <c r="J143" s="206">
        <f t="shared" si="28"/>
        <v>1.8305658959773721E-3</v>
      </c>
      <c r="K143" s="392">
        <v>105.9706</v>
      </c>
      <c r="L143" s="392">
        <v>106.3028</v>
      </c>
      <c r="M143" s="401">
        <v>2.3050999999999999E-2</v>
      </c>
      <c r="N143" s="84">
        <f>((I143-D143)/D143)</f>
        <v>1.6267853845367802E-2</v>
      </c>
      <c r="O143" s="84">
        <f t="shared" si="29"/>
        <v>1.4086173113210292E-2</v>
      </c>
      <c r="P143" s="242">
        <f t="shared" si="30"/>
        <v>-1.2620000000000003E-2</v>
      </c>
      <c r="Q143" s="121"/>
      <c r="R143" s="122"/>
      <c r="S143" s="151"/>
      <c r="T143" s="150"/>
    </row>
    <row r="144" spans="1:20" s="123" customFormat="1" ht="12" customHeight="1">
      <c r="A144" s="316"/>
      <c r="B144" s="317"/>
      <c r="C144" s="266" t="s">
        <v>46</v>
      </c>
      <c r="D144" s="232">
        <f>SUM(D120:D143)</f>
        <v>30652475117.892384</v>
      </c>
      <c r="E144" s="285">
        <f>(D144/$D$166)</f>
        <v>2.0854526368657301E-2</v>
      </c>
      <c r="F144" s="287"/>
      <c r="G144" s="195"/>
      <c r="H144" s="302"/>
      <c r="I144" s="232">
        <f>SUM(I120:I143)</f>
        <v>31150543689.963333</v>
      </c>
      <c r="J144" s="285">
        <f>(I144/$I$166)</f>
        <v>2.0893476487133907E-2</v>
      </c>
      <c r="K144" s="287"/>
      <c r="L144" s="195"/>
      <c r="M144" s="302"/>
      <c r="N144" s="289">
        <f>((I144-D144)/D144)</f>
        <v>1.6248885943315496E-2</v>
      </c>
      <c r="O144" s="289"/>
      <c r="P144" s="290">
        <f t="shared" si="30"/>
        <v>0</v>
      </c>
      <c r="Q144" s="121"/>
      <c r="R144" s="122"/>
      <c r="S144" s="151"/>
      <c r="T144" s="150"/>
    </row>
    <row r="145" spans="1:23" s="123" customFormat="1" ht="5.25" customHeight="1">
      <c r="A145" s="447"/>
      <c r="B145" s="448"/>
      <c r="C145" s="448"/>
      <c r="D145" s="448"/>
      <c r="E145" s="448"/>
      <c r="F145" s="448"/>
      <c r="G145" s="448"/>
      <c r="H145" s="448"/>
      <c r="I145" s="448"/>
      <c r="J145" s="448"/>
      <c r="K145" s="448"/>
      <c r="L145" s="448"/>
      <c r="M145" s="448"/>
      <c r="N145" s="448"/>
      <c r="O145" s="448"/>
      <c r="P145" s="449"/>
      <c r="R145" s="122"/>
      <c r="S145" s="151"/>
      <c r="T145" s="150"/>
    </row>
    <row r="146" spans="1:23" s="123" customFormat="1" ht="12" customHeight="1">
      <c r="A146" s="441" t="s">
        <v>71</v>
      </c>
      <c r="B146" s="442"/>
      <c r="C146" s="442"/>
      <c r="D146" s="442"/>
      <c r="E146" s="442"/>
      <c r="F146" s="442"/>
      <c r="G146" s="442"/>
      <c r="H146" s="442"/>
      <c r="I146" s="442"/>
      <c r="J146" s="442"/>
      <c r="K146" s="442"/>
      <c r="L146" s="442"/>
      <c r="M146" s="442"/>
      <c r="N146" s="442"/>
      <c r="O146" s="442"/>
      <c r="P146" s="443"/>
      <c r="S146" s="152"/>
      <c r="T146" s="150"/>
    </row>
    <row r="147" spans="1:23" s="123" customFormat="1" ht="12" customHeight="1">
      <c r="A147" s="431">
        <v>121</v>
      </c>
      <c r="B147" s="432" t="s">
        <v>206</v>
      </c>
      <c r="C147" s="433" t="s">
        <v>264</v>
      </c>
      <c r="D147" s="387">
        <v>600439918.73000002</v>
      </c>
      <c r="E147" s="205">
        <f>(D147/$D$150)</f>
        <v>0.19706374408923172</v>
      </c>
      <c r="F147" s="388">
        <v>16.287700000000001</v>
      </c>
      <c r="G147" s="388">
        <v>16.447800000000001</v>
      </c>
      <c r="H147" s="401">
        <v>3.0300000000000001E-2</v>
      </c>
      <c r="I147" s="387">
        <v>603188613.46000004</v>
      </c>
      <c r="J147" s="205">
        <f>(I147/$I$150)</f>
        <v>0.19778050728634014</v>
      </c>
      <c r="K147" s="388">
        <v>16.360600000000002</v>
      </c>
      <c r="L147" s="388">
        <v>16.522099999999998</v>
      </c>
      <c r="M147" s="376">
        <v>3.5000000000000003E-2</v>
      </c>
      <c r="N147" s="84">
        <f>((I147-D147)/D147)</f>
        <v>4.5778014490006373E-3</v>
      </c>
      <c r="O147" s="120">
        <f>((L147-G147)/G147)</f>
        <v>4.5173214654845853E-3</v>
      </c>
      <c r="P147" s="242">
        <f>M147-H147</f>
        <v>4.7000000000000028E-3</v>
      </c>
      <c r="Q147" s="121"/>
      <c r="S147" s="124"/>
      <c r="T147" s="150"/>
    </row>
    <row r="148" spans="1:23" s="123" customFormat="1" ht="11.25" customHeight="1">
      <c r="A148" s="431">
        <v>122</v>
      </c>
      <c r="B148" s="432" t="s">
        <v>5</v>
      </c>
      <c r="C148" s="433" t="s">
        <v>29</v>
      </c>
      <c r="D148" s="387">
        <v>1855851229.21</v>
      </c>
      <c r="E148" s="205">
        <f>(D148/$D$150)</f>
        <v>0.60908840383941798</v>
      </c>
      <c r="F148" s="388">
        <v>1.47</v>
      </c>
      <c r="G148" s="388">
        <v>1.49</v>
      </c>
      <c r="H148" s="401">
        <v>3.4700000000000002E-2</v>
      </c>
      <c r="I148" s="387">
        <v>1907133816.53</v>
      </c>
      <c r="J148" s="205">
        <f>(I148/$I$150)</f>
        <v>0.62533324615095809</v>
      </c>
      <c r="K148" s="375">
        <v>1.51</v>
      </c>
      <c r="L148" s="375">
        <v>1.53</v>
      </c>
      <c r="M148" s="376">
        <v>6.25E-2</v>
      </c>
      <c r="N148" s="84">
        <f>((I148-D148)/D148)</f>
        <v>2.7632919337952502E-2</v>
      </c>
      <c r="O148" s="84">
        <f>((L148-G148)/G148)</f>
        <v>2.6845637583892641E-2</v>
      </c>
      <c r="P148" s="242">
        <f>M148-H148</f>
        <v>2.7799999999999998E-2</v>
      </c>
      <c r="Q148" s="121"/>
    </row>
    <row r="149" spans="1:23" s="123" customFormat="1" ht="12" customHeight="1">
      <c r="A149" s="431">
        <v>123</v>
      </c>
      <c r="B149" s="432" t="s">
        <v>7</v>
      </c>
      <c r="C149" s="433" t="s">
        <v>30</v>
      </c>
      <c r="D149" s="388">
        <v>590641312.95000005</v>
      </c>
      <c r="E149" s="205">
        <f>(D149/$D$150)</f>
        <v>0.19384785207135027</v>
      </c>
      <c r="F149" s="388">
        <v>46.190800000000003</v>
      </c>
      <c r="G149" s="388">
        <v>47.583500000000001</v>
      </c>
      <c r="H149" s="377">
        <v>0.2235</v>
      </c>
      <c r="I149" s="388">
        <v>539465548.28999996</v>
      </c>
      <c r="J149" s="205">
        <f>(I149/$I$150)</f>
        <v>0.17688624656270183</v>
      </c>
      <c r="K149" s="388" t="s">
        <v>285</v>
      </c>
      <c r="L149" s="388" t="s">
        <v>286</v>
      </c>
      <c r="M149" s="377">
        <v>0.14860000000000001</v>
      </c>
      <c r="N149" s="84">
        <f>((I149-D149)/D149)</f>
        <v>-8.6644404205996173E-2</v>
      </c>
      <c r="O149" s="84" t="e">
        <f>((L149-G149)/G149)</f>
        <v>#VALUE!</v>
      </c>
      <c r="P149" s="242">
        <f>M149-H149</f>
        <v>-7.4899999999999994E-2</v>
      </c>
      <c r="Q149" s="121"/>
      <c r="U149" s="193"/>
      <c r="V149" s="194"/>
      <c r="W149" s="121"/>
    </row>
    <row r="150" spans="1:23" s="123" customFormat="1" ht="12.75" customHeight="1">
      <c r="A150" s="229"/>
      <c r="B150" s="13"/>
      <c r="C150" s="312" t="s">
        <v>46</v>
      </c>
      <c r="D150" s="232">
        <f>SUM(D147:D149)</f>
        <v>3046932460.8900003</v>
      </c>
      <c r="E150" s="285">
        <f>(D150/$D$166)</f>
        <v>2.0729919233196809E-3</v>
      </c>
      <c r="F150" s="13"/>
      <c r="G150" s="13"/>
      <c r="H150" s="301"/>
      <c r="I150" s="232">
        <f>SUM(I147:I149)</f>
        <v>3049787978.2799997</v>
      </c>
      <c r="J150" s="285">
        <f>(I150/$I$166)</f>
        <v>2.045571789986688E-3</v>
      </c>
      <c r="K150" s="287"/>
      <c r="L150" s="195"/>
      <c r="M150" s="302"/>
      <c r="N150" s="289">
        <f>((I150-D150)/D150)</f>
        <v>9.3717777687966908E-4</v>
      </c>
      <c r="O150" s="289"/>
      <c r="P150" s="290">
        <f>M150-H150</f>
        <v>0</v>
      </c>
      <c r="Q150" s="121"/>
      <c r="T150" s="122"/>
    </row>
    <row r="151" spans="1:23" s="123" customFormat="1" ht="4.5" customHeight="1">
      <c r="A151" s="447"/>
      <c r="B151" s="448"/>
      <c r="C151" s="448"/>
      <c r="D151" s="448"/>
      <c r="E151" s="448"/>
      <c r="F151" s="448"/>
      <c r="G151" s="448"/>
      <c r="H151" s="448"/>
      <c r="I151" s="448"/>
      <c r="J151" s="448"/>
      <c r="K151" s="448"/>
      <c r="L151" s="448"/>
      <c r="M151" s="448"/>
      <c r="N151" s="448"/>
      <c r="O151" s="448"/>
      <c r="P151" s="449"/>
      <c r="T151" s="122"/>
    </row>
    <row r="152" spans="1:23" s="123" customFormat="1" ht="12.75" customHeight="1">
      <c r="A152" s="441" t="s">
        <v>214</v>
      </c>
      <c r="B152" s="442"/>
      <c r="C152" s="442"/>
      <c r="D152" s="442"/>
      <c r="E152" s="442"/>
      <c r="F152" s="442"/>
      <c r="G152" s="442"/>
      <c r="H152" s="442"/>
      <c r="I152" s="442"/>
      <c r="J152" s="442"/>
      <c r="K152" s="442"/>
      <c r="L152" s="442"/>
      <c r="M152" s="442"/>
      <c r="N152" s="442"/>
      <c r="O152" s="442"/>
      <c r="P152" s="443"/>
      <c r="T152" s="122"/>
    </row>
    <row r="153" spans="1:23" s="123" customFormat="1" ht="12.75" customHeight="1">
      <c r="A153" s="438" t="s">
        <v>215</v>
      </c>
      <c r="B153" s="439"/>
      <c r="C153" s="439"/>
      <c r="D153" s="439"/>
      <c r="E153" s="439"/>
      <c r="F153" s="439"/>
      <c r="G153" s="439"/>
      <c r="H153" s="439"/>
      <c r="I153" s="439"/>
      <c r="J153" s="439"/>
      <c r="K153" s="439"/>
      <c r="L153" s="439"/>
      <c r="M153" s="439"/>
      <c r="N153" s="439"/>
      <c r="O153" s="439"/>
      <c r="P153" s="440"/>
      <c r="T153" s="122"/>
    </row>
    <row r="154" spans="1:23" s="123" customFormat="1" ht="12" customHeight="1">
      <c r="A154" s="431">
        <v>124</v>
      </c>
      <c r="B154" s="432" t="s">
        <v>27</v>
      </c>
      <c r="C154" s="433" t="s">
        <v>138</v>
      </c>
      <c r="D154" s="378">
        <v>3621726018.6799998</v>
      </c>
      <c r="E154" s="205">
        <f>(D154/$D$165)</f>
        <v>0.15598374539458867</v>
      </c>
      <c r="F154" s="380">
        <v>1.79</v>
      </c>
      <c r="G154" s="380">
        <v>1.8</v>
      </c>
      <c r="H154" s="384">
        <v>1.6299999999999999E-2</v>
      </c>
      <c r="I154" s="378">
        <v>3655398927.79</v>
      </c>
      <c r="J154" s="205">
        <f>(I154/$I$165)</f>
        <v>0.15770799690100934</v>
      </c>
      <c r="K154" s="380">
        <v>1.81</v>
      </c>
      <c r="L154" s="380">
        <v>1.82</v>
      </c>
      <c r="M154" s="384">
        <v>2.5700000000000001E-2</v>
      </c>
      <c r="N154" s="120">
        <f>((I154-D154)/D154)</f>
        <v>9.2974755506969025E-3</v>
      </c>
      <c r="O154" s="120">
        <f>((L154-G154)/G154)</f>
        <v>1.111111111111112E-2</v>
      </c>
      <c r="P154" s="242">
        <f>M154-H154</f>
        <v>9.4000000000000021E-3</v>
      </c>
      <c r="Q154" s="121"/>
      <c r="T154" s="122"/>
    </row>
    <row r="155" spans="1:23" s="123" customFormat="1" ht="12.75" customHeight="1">
      <c r="A155" s="431">
        <v>125</v>
      </c>
      <c r="B155" s="432" t="s">
        <v>5</v>
      </c>
      <c r="C155" s="433" t="s">
        <v>70</v>
      </c>
      <c r="D155" s="378">
        <v>307237826.99000001</v>
      </c>
      <c r="E155" s="205">
        <f>(D155/$D$165)</f>
        <v>1.3232394370422755E-2</v>
      </c>
      <c r="F155" s="380">
        <v>271.01</v>
      </c>
      <c r="G155" s="380">
        <v>274.3</v>
      </c>
      <c r="H155" s="384">
        <v>3.32E-2</v>
      </c>
      <c r="I155" s="378">
        <v>311533840.92000002</v>
      </c>
      <c r="J155" s="205">
        <f>(I155/$I$165)</f>
        <v>1.3440770484680042E-2</v>
      </c>
      <c r="K155" s="380">
        <v>274.06</v>
      </c>
      <c r="L155" s="380">
        <v>277.17</v>
      </c>
      <c r="M155" s="384">
        <v>4.3999999999999997E-2</v>
      </c>
      <c r="N155" s="84">
        <f>((I155-D155)/D155)</f>
        <v>1.3982698589193687E-2</v>
      </c>
      <c r="O155" s="84">
        <f>((L155-G155)/G155)</f>
        <v>1.0462996718920906E-2</v>
      </c>
      <c r="P155" s="242">
        <f>M155-H155</f>
        <v>1.0799999999999997E-2</v>
      </c>
      <c r="Q155" s="121"/>
      <c r="R155" s="200"/>
    </row>
    <row r="156" spans="1:23" s="123" customFormat="1" ht="6" customHeight="1">
      <c r="A156" s="447"/>
      <c r="B156" s="448"/>
      <c r="C156" s="448"/>
      <c r="D156" s="448"/>
      <c r="E156" s="448"/>
      <c r="F156" s="448"/>
      <c r="G156" s="448"/>
      <c r="H156" s="448"/>
      <c r="I156" s="448"/>
      <c r="J156" s="448"/>
      <c r="K156" s="448"/>
      <c r="L156" s="448"/>
      <c r="M156" s="448"/>
      <c r="N156" s="448"/>
      <c r="O156" s="448"/>
      <c r="P156" s="449"/>
      <c r="R156" s="200"/>
    </row>
    <row r="157" spans="1:23" s="123" customFormat="1" ht="12" customHeight="1">
      <c r="A157" s="438" t="s">
        <v>216</v>
      </c>
      <c r="B157" s="439"/>
      <c r="C157" s="439"/>
      <c r="D157" s="439"/>
      <c r="E157" s="439"/>
      <c r="F157" s="439"/>
      <c r="G157" s="439"/>
      <c r="H157" s="439"/>
      <c r="I157" s="439"/>
      <c r="J157" s="439"/>
      <c r="K157" s="439"/>
      <c r="L157" s="439"/>
      <c r="M157" s="439"/>
      <c r="N157" s="439"/>
      <c r="O157" s="439"/>
      <c r="P157" s="440"/>
      <c r="R157" s="200"/>
    </row>
    <row r="158" spans="1:23" s="123" customFormat="1" ht="12" customHeight="1">
      <c r="A158" s="431">
        <v>126</v>
      </c>
      <c r="B158" s="432" t="s">
        <v>5</v>
      </c>
      <c r="C158" s="433" t="s">
        <v>140</v>
      </c>
      <c r="D158" s="393">
        <v>8587337090.29</v>
      </c>
      <c r="E158" s="205">
        <f t="shared" ref="E158:E164" si="36">(D158/$D$165)</f>
        <v>0.36984713791174673</v>
      </c>
      <c r="F158" s="394">
        <v>121.55</v>
      </c>
      <c r="G158" s="394">
        <v>121.55</v>
      </c>
      <c r="H158" s="401">
        <v>4.4000000000000003E-3</v>
      </c>
      <c r="I158" s="393">
        <v>8548497294.0100002</v>
      </c>
      <c r="J158" s="205">
        <f t="shared" ref="J158:J164" si="37">(I158/$I$165)</f>
        <v>0.36881511741513184</v>
      </c>
      <c r="K158" s="394">
        <v>121.7</v>
      </c>
      <c r="L158" s="394">
        <v>121.7</v>
      </c>
      <c r="M158" s="386">
        <v>5.5999999999999999E-3</v>
      </c>
      <c r="N158" s="84">
        <f t="shared" ref="N158:N166" si="38">((I158-D158)/D158)</f>
        <v>-4.5229150633806191E-3</v>
      </c>
      <c r="O158" s="84">
        <f t="shared" ref="O158:O164" si="39">((L158-G158)/G158)</f>
        <v>1.2340600575895162E-3</v>
      </c>
      <c r="P158" s="242">
        <f t="shared" ref="P158:P165" si="40">M158-H158</f>
        <v>1.1999999999999997E-3</v>
      </c>
      <c r="Q158" s="121"/>
      <c r="R158" s="200"/>
    </row>
    <row r="159" spans="1:23" s="123" customFormat="1" ht="12" customHeight="1">
      <c r="A159" s="431">
        <v>127</v>
      </c>
      <c r="B159" s="432" t="s">
        <v>201</v>
      </c>
      <c r="C159" s="433" t="s">
        <v>202</v>
      </c>
      <c r="D159" s="393">
        <v>7575814955.4200001</v>
      </c>
      <c r="E159" s="205">
        <f t="shared" si="36"/>
        <v>0.326281995122713</v>
      </c>
      <c r="F159" s="393">
        <v>124.04</v>
      </c>
      <c r="G159" s="393">
        <v>124.04</v>
      </c>
      <c r="H159" s="401">
        <v>0.13139999999999999</v>
      </c>
      <c r="I159" s="393">
        <v>7529804652.3900003</v>
      </c>
      <c r="J159" s="205">
        <f t="shared" si="37"/>
        <v>0.32486479102358307</v>
      </c>
      <c r="K159" s="393">
        <v>124.36</v>
      </c>
      <c r="L159" s="393">
        <v>124.36</v>
      </c>
      <c r="M159" s="401">
        <v>0.13189999999999999</v>
      </c>
      <c r="N159" s="84">
        <f t="shared" si="38"/>
        <v>-6.0733139999786254E-3</v>
      </c>
      <c r="O159" s="84">
        <f t="shared" si="39"/>
        <v>2.5798129635600867E-3</v>
      </c>
      <c r="P159" s="242">
        <f t="shared" si="40"/>
        <v>5.0000000000000044E-4</v>
      </c>
      <c r="Q159" s="121"/>
      <c r="R159" s="200"/>
    </row>
    <row r="160" spans="1:23" s="123" customFormat="1" ht="12" customHeight="1">
      <c r="A160" s="431">
        <v>128</v>
      </c>
      <c r="B160" s="432" t="s">
        <v>45</v>
      </c>
      <c r="C160" s="433" t="s">
        <v>176</v>
      </c>
      <c r="D160" s="393">
        <v>2211081913.5500002</v>
      </c>
      <c r="E160" s="205">
        <f t="shared" si="36"/>
        <v>9.5228859519159673E-2</v>
      </c>
      <c r="F160" s="394">
        <v>1.1094999999999999</v>
      </c>
      <c r="G160" s="394">
        <v>1.1094999999999999</v>
      </c>
      <c r="H160" s="401">
        <v>9.8699999999999996E-2</v>
      </c>
      <c r="I160" s="393">
        <v>2215642157.8800001</v>
      </c>
      <c r="J160" s="205">
        <f t="shared" si="37"/>
        <v>9.5591341320423698E-2</v>
      </c>
      <c r="K160" s="394">
        <v>1.1136999999999999</v>
      </c>
      <c r="L160" s="394">
        <v>1.1136999999999999</v>
      </c>
      <c r="M160" s="386">
        <v>9.9699999999999997E-2</v>
      </c>
      <c r="N160" s="84">
        <f t="shared" si="38"/>
        <v>2.0624492932865739E-3</v>
      </c>
      <c r="O160" s="84">
        <f t="shared" si="39"/>
        <v>3.7854889589905199E-3</v>
      </c>
      <c r="P160" s="242">
        <f t="shared" si="40"/>
        <v>1.0000000000000009E-3</v>
      </c>
      <c r="Q160" s="121"/>
      <c r="R160" s="200"/>
    </row>
    <row r="161" spans="1:18" s="123" customFormat="1" ht="12" customHeight="1">
      <c r="A161" s="431">
        <v>129</v>
      </c>
      <c r="B161" s="432" t="s">
        <v>188</v>
      </c>
      <c r="C161" s="433" t="s">
        <v>189</v>
      </c>
      <c r="D161" s="393">
        <v>338450268.92000002</v>
      </c>
      <c r="E161" s="205">
        <f t="shared" si="36"/>
        <v>1.4576679821625096E-2</v>
      </c>
      <c r="F161" s="394">
        <v>101.32164828667599</v>
      </c>
      <c r="G161" s="394">
        <v>101.32164828667599</v>
      </c>
      <c r="H161" s="401">
        <v>8.8400000000000006E-2</v>
      </c>
      <c r="I161" s="393">
        <v>339471323</v>
      </c>
      <c r="J161" s="205">
        <f t="shared" si="37"/>
        <v>1.4646101126924996E-2</v>
      </c>
      <c r="K161" s="394">
        <v>101.48</v>
      </c>
      <c r="L161" s="394">
        <v>101.48</v>
      </c>
      <c r="M161" s="386">
        <v>8.8300000000000003E-2</v>
      </c>
      <c r="N161" s="84">
        <f t="shared" si="38"/>
        <v>3.0168511411090984E-3</v>
      </c>
      <c r="O161" s="84">
        <f t="shared" si="39"/>
        <v>1.5628615996847429E-3</v>
      </c>
      <c r="P161" s="242">
        <f t="shared" si="40"/>
        <v>-1.0000000000000286E-4</v>
      </c>
      <c r="Q161" s="121"/>
      <c r="R161" s="200"/>
    </row>
    <row r="162" spans="1:18" s="123" customFormat="1" ht="12" customHeight="1">
      <c r="A162" s="431">
        <v>130</v>
      </c>
      <c r="B162" s="432" t="s">
        <v>250</v>
      </c>
      <c r="C162" s="433" t="s">
        <v>249</v>
      </c>
      <c r="D162" s="393">
        <v>471519498.49000001</v>
      </c>
      <c r="E162" s="205">
        <f t="shared" si="36"/>
        <v>2.0307824783459084E-2</v>
      </c>
      <c r="F162" s="393">
        <v>1013.84</v>
      </c>
      <c r="G162" s="393">
        <v>1013.84</v>
      </c>
      <c r="H162" s="401">
        <v>1.38E-2</v>
      </c>
      <c r="I162" s="393">
        <v>472284192.94999999</v>
      </c>
      <c r="J162" s="205">
        <f t="shared" si="37"/>
        <v>2.0376160170070854E-2</v>
      </c>
      <c r="K162" s="393">
        <v>1010.85</v>
      </c>
      <c r="L162" s="393">
        <v>1010.85</v>
      </c>
      <c r="M162" s="386">
        <v>1.09E-2</v>
      </c>
      <c r="N162" s="84">
        <f t="shared" si="38"/>
        <v>1.6217663584408401E-3</v>
      </c>
      <c r="O162" s="84">
        <f t="shared" si="39"/>
        <v>-2.9491833030853083E-3</v>
      </c>
      <c r="P162" s="242">
        <f t="shared" si="40"/>
        <v>-2.8999999999999998E-3</v>
      </c>
      <c r="Q162" s="121"/>
      <c r="R162" s="200"/>
    </row>
    <row r="163" spans="1:18" s="381" customFormat="1" ht="12" customHeight="1">
      <c r="A163" s="431">
        <v>131</v>
      </c>
      <c r="B163" s="432" t="s">
        <v>94</v>
      </c>
      <c r="C163" s="433" t="s">
        <v>252</v>
      </c>
      <c r="D163" s="393">
        <v>54230733.600000001</v>
      </c>
      <c r="E163" s="383">
        <f>(D163/$D$165)</f>
        <v>2.3356578876464087E-3</v>
      </c>
      <c r="F163" s="393">
        <v>103.79</v>
      </c>
      <c r="G163" s="393">
        <v>103.79</v>
      </c>
      <c r="H163" s="401">
        <v>8.5440000000000002E-2</v>
      </c>
      <c r="I163" s="393">
        <v>54381270.920000002</v>
      </c>
      <c r="J163" s="383">
        <f>(I163/$I$165)</f>
        <v>2.346217601729574E-3</v>
      </c>
      <c r="K163" s="393">
        <v>103.87</v>
      </c>
      <c r="L163" s="393">
        <v>103.87</v>
      </c>
      <c r="M163" s="401">
        <v>6.0330000000000002E-2</v>
      </c>
      <c r="N163" s="379">
        <f>((I163-D163)/D163)</f>
        <v>2.775867298981187E-3</v>
      </c>
      <c r="O163" s="379">
        <f>((L163-G163)/G163)</f>
        <v>7.7078716639366305E-4</v>
      </c>
      <c r="P163" s="385">
        <f>M163-H163</f>
        <v>-2.511E-2</v>
      </c>
      <c r="Q163" s="121"/>
      <c r="R163" s="382"/>
    </row>
    <row r="164" spans="1:18" s="123" customFormat="1" ht="12" customHeight="1">
      <c r="A164" s="431">
        <v>132</v>
      </c>
      <c r="B164" s="432" t="s">
        <v>105</v>
      </c>
      <c r="C164" s="434" t="s">
        <v>257</v>
      </c>
      <c r="D164" s="387">
        <v>51213412.340000004</v>
      </c>
      <c r="E164" s="205">
        <f t="shared" si="36"/>
        <v>2.2057051886388073E-3</v>
      </c>
      <c r="F164" s="388">
        <v>98.44</v>
      </c>
      <c r="G164" s="388">
        <v>100.95</v>
      </c>
      <c r="H164" s="401">
        <v>5.7000000000000002E-3</v>
      </c>
      <c r="I164" s="387">
        <v>51258841.340000004</v>
      </c>
      <c r="J164" s="205">
        <f t="shared" si="37"/>
        <v>2.211503956446547E-3</v>
      </c>
      <c r="K164" s="388">
        <v>98.53</v>
      </c>
      <c r="L164" s="388">
        <v>101.15</v>
      </c>
      <c r="M164" s="401">
        <v>7.1000000000000004E-3</v>
      </c>
      <c r="N164" s="84">
        <f t="shared" si="38"/>
        <v>8.8705278411057729E-4</v>
      </c>
      <c r="O164" s="84">
        <f t="shared" si="39"/>
        <v>1.9811788013868533E-3</v>
      </c>
      <c r="P164" s="242">
        <f t="shared" si="40"/>
        <v>1.4000000000000002E-3</v>
      </c>
      <c r="Q164" s="121"/>
      <c r="R164" s="200"/>
    </row>
    <row r="165" spans="1:18" s="123" customFormat="1" ht="12" customHeight="1">
      <c r="A165" s="284"/>
      <c r="B165" s="13"/>
      <c r="C165" s="312" t="s">
        <v>46</v>
      </c>
      <c r="D165" s="82">
        <f>SUM(D154:D164)</f>
        <v>23218611718.279995</v>
      </c>
      <c r="E165" s="285">
        <f>(D165/$D$166)</f>
        <v>1.5796869533705026E-2</v>
      </c>
      <c r="F165" s="286"/>
      <c r="G165" s="75"/>
      <c r="H165" s="268"/>
      <c r="I165" s="82">
        <f>SUM(I154:I164)</f>
        <v>23178272501.200001</v>
      </c>
      <c r="J165" s="285">
        <f>(I165/$I$166)</f>
        <v>1.5546267709999468E-2</v>
      </c>
      <c r="K165" s="287"/>
      <c r="L165" s="75"/>
      <c r="M165" s="288"/>
      <c r="N165" s="289">
        <f t="shared" si="38"/>
        <v>-1.7373655914248813E-3</v>
      </c>
      <c r="O165" s="289"/>
      <c r="P165" s="290">
        <f t="shared" si="40"/>
        <v>0</v>
      </c>
      <c r="Q165" s="121"/>
      <c r="R165" s="148" t="s">
        <v>181</v>
      </c>
    </row>
    <row r="166" spans="1:18" s="123" customFormat="1" ht="12" customHeight="1">
      <c r="A166" s="291"/>
      <c r="B166" s="292"/>
      <c r="C166" s="293" t="s">
        <v>32</v>
      </c>
      <c r="D166" s="294">
        <f>SUM(D22,D54,D87,D110,D117,D144,D150,D165)</f>
        <v>1469823604527.4382</v>
      </c>
      <c r="E166" s="295"/>
      <c r="F166" s="295"/>
      <c r="G166" s="296"/>
      <c r="H166" s="297"/>
      <c r="I166" s="294">
        <f>SUM(I22,I54,I87,I110,I117,I144,I150,I165)</f>
        <v>1490921997071.4626</v>
      </c>
      <c r="J166" s="295"/>
      <c r="K166" s="295"/>
      <c r="L166" s="296"/>
      <c r="M166" s="298"/>
      <c r="N166" s="299">
        <f t="shared" si="38"/>
        <v>1.4354370469378699E-2</v>
      </c>
      <c r="O166" s="299"/>
      <c r="P166" s="300"/>
      <c r="R166" s="149">
        <f>((I166-D166)/D166)</f>
        <v>1.4354370469378699E-2</v>
      </c>
    </row>
    <row r="167" spans="1:18" s="123" customFormat="1" ht="6.75" customHeight="1">
      <c r="A167" s="447"/>
      <c r="B167" s="448"/>
      <c r="C167" s="448"/>
      <c r="D167" s="448"/>
      <c r="E167" s="448"/>
      <c r="F167" s="448"/>
      <c r="G167" s="448"/>
      <c r="H167" s="448"/>
      <c r="I167" s="448"/>
      <c r="J167" s="448"/>
      <c r="K167" s="448"/>
      <c r="L167" s="448"/>
      <c r="M167" s="448"/>
      <c r="N167" s="448"/>
      <c r="O167" s="448"/>
      <c r="P167" s="449"/>
      <c r="R167" s="200"/>
    </row>
    <row r="168" spans="1:18" s="123" customFormat="1" ht="12" customHeight="1">
      <c r="A168" s="455" t="s">
        <v>217</v>
      </c>
      <c r="B168" s="456"/>
      <c r="C168" s="456"/>
      <c r="D168" s="456"/>
      <c r="E168" s="456"/>
      <c r="F168" s="456"/>
      <c r="G168" s="456"/>
      <c r="H168" s="456"/>
      <c r="I168" s="456"/>
      <c r="J168" s="456"/>
      <c r="K168" s="456"/>
      <c r="L168" s="456"/>
      <c r="M168" s="456"/>
      <c r="N168" s="456"/>
      <c r="O168" s="456"/>
      <c r="P168" s="457"/>
      <c r="R168" s="200"/>
    </row>
    <row r="169" spans="1:18" s="123" customFormat="1" ht="25.5" customHeight="1">
      <c r="A169" s="263"/>
      <c r="B169" s="264"/>
      <c r="C169" s="264"/>
      <c r="D169" s="280" t="s">
        <v>222</v>
      </c>
      <c r="E169" s="281"/>
      <c r="F169" s="281"/>
      <c r="G169" s="333" t="s">
        <v>223</v>
      </c>
      <c r="H169" s="282"/>
      <c r="I169" s="283" t="s">
        <v>222</v>
      </c>
      <c r="J169" s="281"/>
      <c r="K169" s="279" t="s">
        <v>233</v>
      </c>
      <c r="L169" s="279" t="s">
        <v>234</v>
      </c>
      <c r="M169" s="333"/>
      <c r="N169" s="453" t="s">
        <v>67</v>
      </c>
      <c r="O169" s="453"/>
      <c r="P169" s="454"/>
      <c r="R169" s="200"/>
    </row>
    <row r="170" spans="1:18" s="123" customFormat="1" ht="12" customHeight="1">
      <c r="A170" s="308" t="s">
        <v>1</v>
      </c>
      <c r="B170" s="309" t="s">
        <v>210</v>
      </c>
      <c r="C170" s="310" t="s">
        <v>2</v>
      </c>
      <c r="D170" s="213"/>
      <c r="E170" s="213"/>
      <c r="F170" s="213"/>
      <c r="G170" s="213"/>
      <c r="H170" s="213"/>
      <c r="I170" s="244"/>
      <c r="J170" s="245"/>
      <c r="K170" s="245"/>
      <c r="L170" s="246"/>
      <c r="M170" s="246"/>
      <c r="N170" s="327" t="s">
        <v>221</v>
      </c>
      <c r="O170" s="324" t="s">
        <v>224</v>
      </c>
      <c r="P170" s="329" t="s">
        <v>235</v>
      </c>
      <c r="R170" s="200"/>
    </row>
    <row r="171" spans="1:18" s="123" customFormat="1" ht="12" customHeight="1">
      <c r="A171" s="431">
        <v>1</v>
      </c>
      <c r="B171" s="432" t="s">
        <v>125</v>
      </c>
      <c r="C171" s="433" t="s">
        <v>239</v>
      </c>
      <c r="D171" s="393">
        <v>91117290437</v>
      </c>
      <c r="E171" s="205">
        <f>(D171/$D$175)</f>
        <v>0.90706404910897664</v>
      </c>
      <c r="F171" s="394">
        <v>107.59</v>
      </c>
      <c r="G171" s="394">
        <v>107.59</v>
      </c>
      <c r="H171" s="390">
        <v>0.13800000000000001</v>
      </c>
      <c r="I171" s="393">
        <v>91117290437</v>
      </c>
      <c r="J171" s="205">
        <f>(I171/$I$175)</f>
        <v>0.77909900140479393</v>
      </c>
      <c r="K171" s="389">
        <v>107.59</v>
      </c>
      <c r="L171" s="389">
        <v>107.59</v>
      </c>
      <c r="M171" s="390">
        <v>0.13800000000000001</v>
      </c>
      <c r="N171" s="84">
        <f>((I171-D171)/D171)</f>
        <v>0</v>
      </c>
      <c r="O171" s="84">
        <f>((L171-G171)/G171)</f>
        <v>0</v>
      </c>
      <c r="P171" s="242">
        <f>M171-H171</f>
        <v>0</v>
      </c>
      <c r="R171" s="200"/>
    </row>
    <row r="172" spans="1:18" s="397" customFormat="1" ht="12" customHeight="1">
      <c r="A172" s="431">
        <v>2</v>
      </c>
      <c r="B172" s="432" t="s">
        <v>43</v>
      </c>
      <c r="C172" s="433" t="s">
        <v>218</v>
      </c>
      <c r="D172" s="393">
        <v>7197170411.4300003</v>
      </c>
      <c r="E172" s="400">
        <f>(D172/$D$175)</f>
        <v>7.1647153950794726E-2</v>
      </c>
      <c r="F172" s="395">
        <v>106.7</v>
      </c>
      <c r="G172" s="395">
        <v>106.7</v>
      </c>
      <c r="H172" s="390"/>
      <c r="I172" s="393">
        <v>7529275172.3100004</v>
      </c>
      <c r="J172" s="400">
        <f>(I172/$I$175)</f>
        <v>6.4379117727436305E-2</v>
      </c>
      <c r="K172" s="395">
        <v>111.63</v>
      </c>
      <c r="L172" s="395">
        <v>111.63</v>
      </c>
      <c r="M172" s="390"/>
      <c r="N172" s="396">
        <f>((I172-D172)/D172)</f>
        <v>4.6143795671779078E-2</v>
      </c>
      <c r="O172" s="396">
        <f>((L172-G172)/G172)</f>
        <v>4.6204311152764688E-2</v>
      </c>
      <c r="P172" s="403">
        <f>M172-H172</f>
        <v>0</v>
      </c>
      <c r="R172" s="382"/>
    </row>
    <row r="173" spans="1:18" s="397" customFormat="1" ht="12" customHeight="1">
      <c r="A173" s="431">
        <v>3</v>
      </c>
      <c r="B173" s="432" t="s">
        <v>43</v>
      </c>
      <c r="C173" s="433" t="s">
        <v>287</v>
      </c>
      <c r="D173" s="393">
        <v>0</v>
      </c>
      <c r="E173" s="400"/>
      <c r="F173" s="395">
        <v>0</v>
      </c>
      <c r="G173" s="395">
        <v>0</v>
      </c>
      <c r="H173" s="390"/>
      <c r="I173" s="393">
        <v>16160350694.93</v>
      </c>
      <c r="J173" s="400"/>
      <c r="K173" s="395">
        <v>103.29</v>
      </c>
      <c r="L173" s="395">
        <v>103.29</v>
      </c>
      <c r="M173" s="390"/>
      <c r="N173" s="396"/>
      <c r="O173" s="396"/>
      <c r="P173" s="403"/>
      <c r="R173" s="382"/>
    </row>
    <row r="174" spans="1:18" s="123" customFormat="1" ht="12" customHeight="1">
      <c r="A174" s="431">
        <v>4</v>
      </c>
      <c r="B174" s="432" t="s">
        <v>45</v>
      </c>
      <c r="C174" s="433" t="s">
        <v>266</v>
      </c>
      <c r="D174" s="393">
        <v>2138523179</v>
      </c>
      <c r="E174" s="205">
        <f>(D174/$D$175)</f>
        <v>2.1288796940228758E-2</v>
      </c>
      <c r="F174" s="395">
        <v>1000000</v>
      </c>
      <c r="G174" s="395">
        <v>1000000</v>
      </c>
      <c r="H174" s="390">
        <v>6.9599999999999995E-2</v>
      </c>
      <c r="I174" s="393">
        <v>2145217215</v>
      </c>
      <c r="J174" s="205">
        <f>(I174/$I$175)</f>
        <v>1.8342694147149414E-2</v>
      </c>
      <c r="K174" s="395">
        <v>1000000</v>
      </c>
      <c r="L174" s="395">
        <v>1000000</v>
      </c>
      <c r="M174" s="390">
        <v>7.2599999999999998E-2</v>
      </c>
      <c r="N174" s="84">
        <f>((I174-D174)/D174)</f>
        <v>3.1302143767879169E-3</v>
      </c>
      <c r="O174" s="84">
        <f>((L174-G174)/G174)</f>
        <v>0</v>
      </c>
      <c r="P174" s="242">
        <f>M174-H174</f>
        <v>3.0000000000000027E-3</v>
      </c>
      <c r="R174" s="148" t="s">
        <v>226</v>
      </c>
    </row>
    <row r="175" spans="1:18" s="123" customFormat="1" ht="12" customHeight="1">
      <c r="A175" s="265"/>
      <c r="B175" s="266"/>
      <c r="C175" s="266" t="s">
        <v>219</v>
      </c>
      <c r="D175" s="83">
        <f>SUM(D171:D174)</f>
        <v>100452984027.42999</v>
      </c>
      <c r="E175" s="267"/>
      <c r="F175" s="80"/>
      <c r="G175" s="80"/>
      <c r="H175" s="243"/>
      <c r="I175" s="83">
        <f>SUM(I171:I174)</f>
        <v>116952133519.23999</v>
      </c>
      <c r="J175" s="248"/>
      <c r="K175" s="80"/>
      <c r="L175" s="80"/>
      <c r="M175" s="243"/>
      <c r="N175" s="84">
        <f>((I175-D175)/D175)</f>
        <v>0.16424748006793596</v>
      </c>
      <c r="O175" s="230"/>
      <c r="P175" s="242">
        <f>M175-H175</f>
        <v>0</v>
      </c>
      <c r="R175" s="149">
        <f>((I175-D175)/D175)</f>
        <v>0.16424748006793596</v>
      </c>
    </row>
    <row r="176" spans="1:18" s="123" customFormat="1" ht="7.5" customHeight="1">
      <c r="A176" s="458"/>
      <c r="B176" s="459"/>
      <c r="C176" s="459"/>
      <c r="D176" s="459"/>
      <c r="E176" s="459"/>
      <c r="F176" s="459"/>
      <c r="G176" s="459"/>
      <c r="H176" s="459"/>
      <c r="I176" s="459"/>
      <c r="J176" s="459"/>
      <c r="K176" s="459"/>
      <c r="L176" s="459"/>
      <c r="M176" s="459"/>
      <c r="N176" s="459"/>
      <c r="O176" s="459"/>
      <c r="P176" s="460"/>
      <c r="R176" s="200"/>
    </row>
    <row r="177" spans="1:18" s="123" customFormat="1" ht="12" customHeight="1">
      <c r="A177" s="455" t="s">
        <v>240</v>
      </c>
      <c r="B177" s="456"/>
      <c r="C177" s="456"/>
      <c r="D177" s="456"/>
      <c r="E177" s="456"/>
      <c r="F177" s="456"/>
      <c r="G177" s="456"/>
      <c r="H177" s="456"/>
      <c r="I177" s="456"/>
      <c r="J177" s="456"/>
      <c r="K177" s="456"/>
      <c r="L177" s="456"/>
      <c r="M177" s="456"/>
      <c r="N177" s="456"/>
      <c r="O177" s="456"/>
      <c r="P177" s="457"/>
      <c r="R177" s="200"/>
    </row>
    <row r="178" spans="1:18" s="123" customFormat="1" ht="25.5" customHeight="1">
      <c r="A178" s="274"/>
      <c r="B178" s="275" t="s">
        <v>210</v>
      </c>
      <c r="C178" s="276" t="s">
        <v>50</v>
      </c>
      <c r="D178" s="276" t="s">
        <v>78</v>
      </c>
      <c r="E178" s="277" t="s">
        <v>66</v>
      </c>
      <c r="F178" s="277"/>
      <c r="G178" s="277" t="s">
        <v>79</v>
      </c>
      <c r="H178" s="278"/>
      <c r="I178" s="279" t="s">
        <v>78</v>
      </c>
      <c r="J178" s="277" t="s">
        <v>66</v>
      </c>
      <c r="K178" s="279" t="s">
        <v>233</v>
      </c>
      <c r="L178" s="279" t="s">
        <v>234</v>
      </c>
      <c r="M178" s="277"/>
      <c r="N178" s="453" t="s">
        <v>67</v>
      </c>
      <c r="O178" s="453"/>
      <c r="P178" s="454"/>
      <c r="R178" s="200"/>
    </row>
    <row r="179" spans="1:18" s="123" customFormat="1" ht="12" customHeight="1">
      <c r="A179" s="201"/>
      <c r="B179" s="71"/>
      <c r="C179" s="71"/>
      <c r="D179" s="213"/>
      <c r="E179" s="213"/>
      <c r="F179" s="213"/>
      <c r="G179" s="213"/>
      <c r="H179" s="237"/>
      <c r="I179" s="233"/>
      <c r="J179" s="213"/>
      <c r="K179" s="213"/>
      <c r="L179" s="213"/>
      <c r="M179" s="236"/>
      <c r="N179" s="324" t="s">
        <v>128</v>
      </c>
      <c r="O179" s="328" t="s">
        <v>127</v>
      </c>
      <c r="P179" s="329" t="s">
        <v>235</v>
      </c>
      <c r="R179" s="200"/>
    </row>
    <row r="180" spans="1:18" s="123" customFormat="1" ht="12" customHeight="1">
      <c r="A180" s="431">
        <v>1</v>
      </c>
      <c r="B180" s="432" t="s">
        <v>33</v>
      </c>
      <c r="C180" s="433" t="s">
        <v>34</v>
      </c>
      <c r="D180" s="391">
        <v>2884581000</v>
      </c>
      <c r="E180" s="207">
        <f t="shared" ref="E180:E191" si="41">(D180/$D$192)</f>
        <v>0.38272216435348932</v>
      </c>
      <c r="F180" s="395">
        <v>19.22</v>
      </c>
      <c r="G180" s="395">
        <v>19.420000000000002</v>
      </c>
      <c r="H180" s="402"/>
      <c r="I180" s="391">
        <v>3208128000</v>
      </c>
      <c r="J180" s="207">
        <f t="shared" ref="J180:J190" si="42">(I180/$I$192)</f>
        <v>0.40933392400360313</v>
      </c>
      <c r="K180" s="395">
        <v>19.7</v>
      </c>
      <c r="L180" s="395">
        <v>19.899999999999999</v>
      </c>
      <c r="M180" s="402"/>
      <c r="N180" s="84">
        <f>((I180-D180)/D180)</f>
        <v>0.11216429699842022</v>
      </c>
      <c r="O180" s="84">
        <f t="shared" ref="O180:O191" si="43">((L180-G180)/G180)</f>
        <v>2.4716786817713533E-2</v>
      </c>
      <c r="P180" s="242">
        <f t="shared" ref="P180:P192" si="44">M180-H180</f>
        <v>0</v>
      </c>
      <c r="R180" s="200"/>
    </row>
    <row r="181" spans="1:18" s="123" customFormat="1" ht="12" customHeight="1">
      <c r="A181" s="431">
        <v>2</v>
      </c>
      <c r="B181" s="432" t="s">
        <v>33</v>
      </c>
      <c r="C181" s="433" t="s">
        <v>64</v>
      </c>
      <c r="D181" s="81">
        <v>374046407.26999998</v>
      </c>
      <c r="E181" s="207">
        <f t="shared" si="41"/>
        <v>4.9627953092328182E-2</v>
      </c>
      <c r="F181" s="395">
        <v>4.41</v>
      </c>
      <c r="G181" s="395">
        <v>4.51</v>
      </c>
      <c r="H181" s="402"/>
      <c r="I181" s="81">
        <v>420056671.49000001</v>
      </c>
      <c r="J181" s="207">
        <f t="shared" si="42"/>
        <v>5.3596192435243897E-2</v>
      </c>
      <c r="K181" s="395">
        <v>4.5199999999999996</v>
      </c>
      <c r="L181" s="395">
        <v>4.62</v>
      </c>
      <c r="M181" s="402"/>
      <c r="N181" s="84">
        <f t="shared" ref="N181:N191" si="45">((I181-D181)/D181)</f>
        <v>0.12300683371298414</v>
      </c>
      <c r="O181" s="84">
        <f t="shared" si="43"/>
        <v>2.4390243902439098E-2</v>
      </c>
      <c r="P181" s="242">
        <f t="shared" si="44"/>
        <v>0</v>
      </c>
      <c r="R181" s="200"/>
    </row>
    <row r="182" spans="1:18" s="123" customFormat="1" ht="12" customHeight="1">
      <c r="A182" s="431">
        <v>3</v>
      </c>
      <c r="B182" s="432" t="s">
        <v>33</v>
      </c>
      <c r="C182" s="433" t="s">
        <v>54</v>
      </c>
      <c r="D182" s="391">
        <v>162305285.12</v>
      </c>
      <c r="E182" s="207">
        <f t="shared" si="41"/>
        <v>2.1534437759638776E-2</v>
      </c>
      <c r="F182" s="395">
        <v>6.17</v>
      </c>
      <c r="G182" s="395">
        <v>6.27</v>
      </c>
      <c r="H182" s="402"/>
      <c r="I182" s="391">
        <v>159737163.52000001</v>
      </c>
      <c r="J182" s="207">
        <f t="shared" si="42"/>
        <v>2.0381306466838858E-2</v>
      </c>
      <c r="K182" s="395">
        <v>6.14</v>
      </c>
      <c r="L182" s="395">
        <v>6.24</v>
      </c>
      <c r="M182" s="402"/>
      <c r="N182" s="84">
        <f t="shared" si="45"/>
        <v>-1.5822784810126545E-2</v>
      </c>
      <c r="O182" s="84">
        <f t="shared" si="43"/>
        <v>-4.7846889952152093E-3</v>
      </c>
      <c r="P182" s="242">
        <f t="shared" si="44"/>
        <v>0</v>
      </c>
      <c r="R182" s="200"/>
    </row>
    <row r="183" spans="1:18" s="123" customFormat="1" ht="12" customHeight="1">
      <c r="A183" s="431">
        <v>4</v>
      </c>
      <c r="B183" s="432" t="s">
        <v>33</v>
      </c>
      <c r="C183" s="433" t="s">
        <v>55</v>
      </c>
      <c r="D183" s="81">
        <v>257162956.88999999</v>
      </c>
      <c r="E183" s="207">
        <f t="shared" si="41"/>
        <v>3.4120020707507907E-2</v>
      </c>
      <c r="F183" s="395">
        <v>24.42</v>
      </c>
      <c r="G183" s="395">
        <v>24.62</v>
      </c>
      <c r="H183" s="402"/>
      <c r="I183" s="81">
        <v>258426139.65000001</v>
      </c>
      <c r="J183" s="207">
        <f t="shared" si="42"/>
        <v>3.2973305868106768E-2</v>
      </c>
      <c r="K183" s="395">
        <v>24.45</v>
      </c>
      <c r="L183" s="395">
        <v>24.65</v>
      </c>
      <c r="M183" s="402"/>
      <c r="N183" s="84">
        <f t="shared" si="45"/>
        <v>4.9119934506754778E-3</v>
      </c>
      <c r="O183" s="84">
        <f t="shared" si="43"/>
        <v>1.2185215272135493E-3</v>
      </c>
      <c r="P183" s="242">
        <f t="shared" si="44"/>
        <v>0</v>
      </c>
      <c r="R183" s="200"/>
    </row>
    <row r="184" spans="1:18" s="123" customFormat="1" ht="12" customHeight="1">
      <c r="A184" s="431">
        <v>5</v>
      </c>
      <c r="B184" s="432" t="s">
        <v>33</v>
      </c>
      <c r="C184" s="433" t="s">
        <v>98</v>
      </c>
      <c r="D184" s="391">
        <v>575332271.37</v>
      </c>
      <c r="E184" s="207">
        <f t="shared" si="41"/>
        <v>7.6334279439937883E-2</v>
      </c>
      <c r="F184" s="395">
        <v>140.30000000000001</v>
      </c>
      <c r="G184" s="395">
        <v>142.30000000000001</v>
      </c>
      <c r="H184" s="402"/>
      <c r="I184" s="391">
        <v>575332271.37</v>
      </c>
      <c r="J184" s="207">
        <f t="shared" si="42"/>
        <v>7.3408235658236815E-2</v>
      </c>
      <c r="K184" s="395">
        <v>139.9</v>
      </c>
      <c r="L184" s="395">
        <v>141.9</v>
      </c>
      <c r="M184" s="402"/>
      <c r="N184" s="84">
        <f t="shared" si="45"/>
        <v>0</v>
      </c>
      <c r="O184" s="84">
        <f t="shared" si="43"/>
        <v>-2.8109627547435396E-3</v>
      </c>
      <c r="P184" s="242">
        <f t="shared" si="44"/>
        <v>0</v>
      </c>
      <c r="R184" s="200"/>
    </row>
    <row r="185" spans="1:18" s="123" customFormat="1" ht="12" customHeight="1">
      <c r="A185" s="431">
        <v>6</v>
      </c>
      <c r="B185" s="432" t="s">
        <v>35</v>
      </c>
      <c r="C185" s="433" t="s">
        <v>36</v>
      </c>
      <c r="D185" s="391">
        <v>656544429.39999998</v>
      </c>
      <c r="E185" s="207">
        <f t="shared" si="41"/>
        <v>8.7109394748906221E-2</v>
      </c>
      <c r="F185" s="395">
        <v>12295.3</v>
      </c>
      <c r="G185" s="395">
        <v>12295.3</v>
      </c>
      <c r="H185" s="402"/>
      <c r="I185" s="391">
        <v>539346499</v>
      </c>
      <c r="J185" s="207">
        <f t="shared" si="42"/>
        <v>6.8816711438345168E-2</v>
      </c>
      <c r="K185" s="395">
        <v>10100</v>
      </c>
      <c r="L185" s="395">
        <v>10100</v>
      </c>
      <c r="M185" s="402"/>
      <c r="N185" s="84">
        <f t="shared" si="45"/>
        <v>-0.17850723447170866</v>
      </c>
      <c r="O185" s="84">
        <f t="shared" si="43"/>
        <v>-0.17854790041723256</v>
      </c>
      <c r="P185" s="242">
        <f t="shared" si="44"/>
        <v>0</v>
      </c>
      <c r="R185" s="200"/>
    </row>
    <row r="186" spans="1:18" s="123" customFormat="1" ht="12" customHeight="1">
      <c r="A186" s="431">
        <v>7</v>
      </c>
      <c r="B186" s="432" t="s">
        <v>27</v>
      </c>
      <c r="C186" s="433" t="s">
        <v>102</v>
      </c>
      <c r="D186" s="391">
        <v>542561141.20000005</v>
      </c>
      <c r="E186" s="207">
        <f t="shared" si="41"/>
        <v>7.1986251817564892E-2</v>
      </c>
      <c r="F186" s="395">
        <v>16.239999999999998</v>
      </c>
      <c r="G186" s="395">
        <v>16.239999999999998</v>
      </c>
      <c r="H186" s="402">
        <v>4.6399999999999997E-2</v>
      </c>
      <c r="I186" s="391">
        <v>556354073.90999997</v>
      </c>
      <c r="J186" s="207">
        <f t="shared" si="42"/>
        <v>7.0986754957710826E-2</v>
      </c>
      <c r="K186" s="395">
        <v>16.66</v>
      </c>
      <c r="L186" s="395">
        <v>16.66</v>
      </c>
      <c r="M186" s="402">
        <v>7.2999999999999995E-2</v>
      </c>
      <c r="N186" s="84">
        <f t="shared" si="45"/>
        <v>2.5421895640173647E-2</v>
      </c>
      <c r="O186" s="84">
        <f t="shared" si="43"/>
        <v>2.5862068965517349E-2</v>
      </c>
      <c r="P186" s="242">
        <f t="shared" si="44"/>
        <v>2.6599999999999999E-2</v>
      </c>
      <c r="R186" s="200"/>
    </row>
    <row r="187" spans="1:18" s="123" customFormat="1" ht="12" customHeight="1">
      <c r="A187" s="431">
        <v>8</v>
      </c>
      <c r="B187" s="432" t="s">
        <v>43</v>
      </c>
      <c r="C187" s="433" t="s">
        <v>44</v>
      </c>
      <c r="D187" s="391">
        <v>465985818.86000001</v>
      </c>
      <c r="E187" s="207">
        <f t="shared" si="41"/>
        <v>6.1826345369442641E-2</v>
      </c>
      <c r="F187" s="395">
        <v>107.37</v>
      </c>
      <c r="G187" s="395">
        <v>109.23</v>
      </c>
      <c r="H187" s="402">
        <v>4.2799999999999998E-2</v>
      </c>
      <c r="I187" s="391">
        <v>477270455.54000002</v>
      </c>
      <c r="J187" s="207">
        <f t="shared" si="42"/>
        <v>6.0896257374137008E-2</v>
      </c>
      <c r="K187" s="395">
        <v>109.97</v>
      </c>
      <c r="L187" s="395">
        <v>111.87</v>
      </c>
      <c r="M187" s="402">
        <v>6.8000000000000005E-2</v>
      </c>
      <c r="N187" s="84">
        <f t="shared" si="45"/>
        <v>2.4216695494311477E-2</v>
      </c>
      <c r="O187" s="84">
        <f t="shared" si="43"/>
        <v>2.4169184290030215E-2</v>
      </c>
      <c r="P187" s="242">
        <f t="shared" si="44"/>
        <v>2.5200000000000007E-2</v>
      </c>
      <c r="R187" s="200"/>
    </row>
    <row r="188" spans="1:18" s="123" customFormat="1" ht="12" customHeight="1">
      <c r="A188" s="431">
        <v>9</v>
      </c>
      <c r="B188" s="432" t="s">
        <v>43</v>
      </c>
      <c r="C188" s="433" t="s">
        <v>100</v>
      </c>
      <c r="D188" s="391">
        <v>640673529.03999996</v>
      </c>
      <c r="E188" s="207">
        <f t="shared" si="41"/>
        <v>8.5003665932132558E-2</v>
      </c>
      <c r="F188" s="395">
        <v>140.09</v>
      </c>
      <c r="G188" s="395">
        <v>137.69</v>
      </c>
      <c r="H188" s="402">
        <v>4.1700000000000001E-2</v>
      </c>
      <c r="I188" s="391">
        <v>661972389.97000003</v>
      </c>
      <c r="J188" s="207">
        <f t="shared" si="42"/>
        <v>8.4462888004613129E-2</v>
      </c>
      <c r="K188" s="395">
        <v>142.27000000000001</v>
      </c>
      <c r="L188" s="395">
        <v>144.75</v>
      </c>
      <c r="M188" s="402">
        <v>7.6399999999999996E-2</v>
      </c>
      <c r="N188" s="84">
        <f>((I188-D188)/D188)</f>
        <v>3.3244484069623999E-2</v>
      </c>
      <c r="O188" s="84">
        <f t="shared" si="43"/>
        <v>5.1274602367637465E-2</v>
      </c>
      <c r="P188" s="242">
        <f t="shared" si="44"/>
        <v>3.4699999999999995E-2</v>
      </c>
      <c r="R188" s="200"/>
    </row>
    <row r="189" spans="1:18" s="123" customFormat="1" ht="12" customHeight="1">
      <c r="A189" s="431">
        <v>10</v>
      </c>
      <c r="B189" s="432" t="s">
        <v>93</v>
      </c>
      <c r="C189" s="433" t="s">
        <v>244</v>
      </c>
      <c r="D189" s="391">
        <v>541250290.91999996</v>
      </c>
      <c r="E189" s="207">
        <f t="shared" si="41"/>
        <v>7.1812330039564887E-2</v>
      </c>
      <c r="F189" s="395">
        <v>124.61</v>
      </c>
      <c r="G189" s="395">
        <v>127.58</v>
      </c>
      <c r="H189" s="402"/>
      <c r="I189" s="391">
        <v>549775340.68957698</v>
      </c>
      <c r="J189" s="207">
        <f t="shared" si="42"/>
        <v>7.0147356191798557E-2</v>
      </c>
      <c r="K189" s="395">
        <v>126.57</v>
      </c>
      <c r="L189" s="395">
        <v>129.54</v>
      </c>
      <c r="M189" s="402"/>
      <c r="N189" s="84">
        <f>((I189-D189)/D189)</f>
        <v>1.5750660854309047E-2</v>
      </c>
      <c r="O189" s="84">
        <f t="shared" si="43"/>
        <v>1.5362909546950883E-2</v>
      </c>
      <c r="P189" s="242">
        <f t="shared" si="44"/>
        <v>0</v>
      </c>
      <c r="R189" s="200"/>
    </row>
    <row r="190" spans="1:18" s="123" customFormat="1" ht="12" customHeight="1">
      <c r="A190" s="431">
        <v>11</v>
      </c>
      <c r="B190" s="432" t="s">
        <v>59</v>
      </c>
      <c r="C190" s="433" t="s">
        <v>199</v>
      </c>
      <c r="D190" s="391">
        <v>244737027.19</v>
      </c>
      <c r="E190" s="207">
        <f t="shared" si="41"/>
        <v>3.2471365769793106E-2</v>
      </c>
      <c r="F190" s="395">
        <v>16.399999999999999</v>
      </c>
      <c r="G190" s="395">
        <v>16.5</v>
      </c>
      <c r="H190" s="402"/>
      <c r="I190" s="391">
        <v>239091543.55000001</v>
      </c>
      <c r="J190" s="207">
        <f t="shared" si="42"/>
        <v>3.0506351279437686E-2</v>
      </c>
      <c r="K190" s="395">
        <v>16.399999999999999</v>
      </c>
      <c r="L190" s="395">
        <v>16.5</v>
      </c>
      <c r="M190" s="402"/>
      <c r="N190" s="84">
        <f>((I190-D190)/D190)</f>
        <v>-2.3067550116219852E-2</v>
      </c>
      <c r="O190" s="84">
        <f t="shared" si="43"/>
        <v>0</v>
      </c>
      <c r="P190" s="242">
        <f t="shared" si="44"/>
        <v>0</v>
      </c>
      <c r="R190" s="200"/>
    </row>
    <row r="191" spans="1:18" s="123" customFormat="1" ht="12" customHeight="1">
      <c r="A191" s="431">
        <v>12</v>
      </c>
      <c r="B191" s="432" t="s">
        <v>59</v>
      </c>
      <c r="C191" s="433" t="s">
        <v>200</v>
      </c>
      <c r="D191" s="391">
        <v>191830417.69</v>
      </c>
      <c r="E191" s="207">
        <f t="shared" si="41"/>
        <v>2.5451790969693928E-2</v>
      </c>
      <c r="F191" s="395">
        <v>17.399999999999999</v>
      </c>
      <c r="G191" s="395">
        <v>17.5</v>
      </c>
      <c r="H191" s="402"/>
      <c r="I191" s="391">
        <v>191944395.91999999</v>
      </c>
      <c r="J191" s="207">
        <f>(I191/$I$192)</f>
        <v>2.4490716321928171E-2</v>
      </c>
      <c r="K191" s="395">
        <v>17.399999999999999</v>
      </c>
      <c r="L191" s="395">
        <v>17.5</v>
      </c>
      <c r="M191" s="402"/>
      <c r="N191" s="84">
        <f t="shared" si="45"/>
        <v>5.941614024120998E-4</v>
      </c>
      <c r="O191" s="84">
        <f t="shared" si="43"/>
        <v>0</v>
      </c>
      <c r="P191" s="242">
        <f t="shared" si="44"/>
        <v>0</v>
      </c>
      <c r="R191" s="202"/>
    </row>
    <row r="192" spans="1:18" s="123" customFormat="1" ht="12" customHeight="1">
      <c r="A192" s="265"/>
      <c r="B192" s="266"/>
      <c r="C192" s="266" t="s">
        <v>37</v>
      </c>
      <c r="D192" s="83">
        <f>SUM(D180:D191)</f>
        <v>7537010574.9499979</v>
      </c>
      <c r="E192" s="267"/>
      <c r="F192" s="247"/>
      <c r="G192" s="80"/>
      <c r="H192" s="243"/>
      <c r="I192" s="83">
        <f>SUM(I180:I191)</f>
        <v>7837434944.6095772</v>
      </c>
      <c r="J192" s="248"/>
      <c r="K192" s="247"/>
      <c r="L192" s="80"/>
      <c r="M192" s="243"/>
      <c r="N192" s="84">
        <f>((I192-D192)/D192)</f>
        <v>3.9859884323112063E-2</v>
      </c>
      <c r="O192" s="230"/>
      <c r="P192" s="403">
        <f t="shared" si="44"/>
        <v>0</v>
      </c>
      <c r="R192" s="148" t="s">
        <v>180</v>
      </c>
    </row>
    <row r="193" spans="1:18" s="123" customFormat="1" ht="12" customHeight="1" thickBot="1">
      <c r="A193" s="269"/>
      <c r="B193" s="270"/>
      <c r="C193" s="270" t="s">
        <v>47</v>
      </c>
      <c r="D193" s="271">
        <f>SUM(D166,D175,D192)</f>
        <v>1577813599129.8181</v>
      </c>
      <c r="E193" s="271"/>
      <c r="F193" s="271"/>
      <c r="G193" s="272"/>
      <c r="H193" s="273"/>
      <c r="I193" s="271">
        <f>SUM(I166,I175,I192)</f>
        <v>1615711565535.3123</v>
      </c>
      <c r="J193" s="249"/>
      <c r="K193" s="249"/>
      <c r="L193" s="250"/>
      <c r="M193" s="251"/>
      <c r="N193" s="226"/>
      <c r="O193" s="231"/>
      <c r="P193" s="227"/>
      <c r="R193" s="149">
        <f>((I192-D192)/D192)</f>
        <v>3.9859884323112063E-2</v>
      </c>
    </row>
    <row r="194" spans="1:18" ht="12" customHeight="1">
      <c r="A194" s="252"/>
      <c r="B194" s="253"/>
      <c r="C194" s="101"/>
      <c r="D194" s="68"/>
      <c r="E194" s="68"/>
      <c r="F194" s="68"/>
      <c r="G194" s="254"/>
      <c r="H194" s="255"/>
      <c r="I194" s="8"/>
      <c r="J194" s="68"/>
      <c r="K194" s="68"/>
      <c r="L194" s="256"/>
      <c r="M194" s="257"/>
    </row>
    <row r="195" spans="1:18" ht="12" customHeight="1">
      <c r="A195" s="257"/>
      <c r="B195" s="259"/>
      <c r="C195" s="256"/>
      <c r="D195" s="256"/>
      <c r="E195" s="256"/>
      <c r="F195" s="256"/>
      <c r="G195" s="256"/>
      <c r="H195" s="258"/>
      <c r="I195" s="260"/>
      <c r="J195" s="256"/>
      <c r="K195" s="256"/>
      <c r="L195" s="256"/>
      <c r="M195" s="257"/>
    </row>
    <row r="196" spans="1:18" ht="12" customHeight="1">
      <c r="A196" s="257"/>
      <c r="B196" s="256"/>
      <c r="C196" s="259"/>
      <c r="D196" s="256"/>
      <c r="E196" s="256"/>
      <c r="F196" s="256"/>
      <c r="G196" s="256"/>
      <c r="H196" s="258"/>
      <c r="I196" s="260"/>
      <c r="J196" s="256"/>
      <c r="K196" s="256"/>
      <c r="L196" s="256"/>
      <c r="M196" s="257"/>
    </row>
    <row r="197" spans="1:18" ht="12" customHeight="1">
      <c r="A197" s="257"/>
      <c r="B197" s="261"/>
      <c r="C197" s="262"/>
      <c r="D197" s="256"/>
      <c r="E197" s="256"/>
      <c r="F197" s="256"/>
      <c r="G197" s="256"/>
      <c r="H197" s="258"/>
      <c r="I197" s="260"/>
      <c r="J197" s="256"/>
      <c r="K197" s="256"/>
      <c r="L197" s="256"/>
      <c r="M197" s="257"/>
    </row>
    <row r="198" spans="1:18" ht="12" customHeight="1">
      <c r="A198" s="257"/>
      <c r="B198" s="261"/>
      <c r="C198" s="261"/>
      <c r="D198" s="256"/>
      <c r="E198" s="256"/>
      <c r="F198" s="256"/>
      <c r="G198" s="256"/>
      <c r="H198" s="258"/>
      <c r="I198" s="260"/>
      <c r="J198" s="256"/>
      <c r="K198" s="256"/>
      <c r="L198" s="256"/>
      <c r="M198" s="257"/>
    </row>
    <row r="199" spans="1:18" ht="12" customHeight="1">
      <c r="A199" s="257"/>
      <c r="B199" s="261"/>
      <c r="C199" s="261"/>
      <c r="D199" s="256"/>
      <c r="E199" s="256"/>
      <c r="F199" s="256"/>
      <c r="G199" s="256"/>
      <c r="H199" s="258"/>
      <c r="I199" s="260"/>
      <c r="J199" s="256"/>
      <c r="K199" s="256"/>
      <c r="L199" s="256"/>
      <c r="M199" s="257"/>
    </row>
    <row r="200" spans="1:18" ht="12" customHeight="1">
      <c r="A200" s="257"/>
      <c r="B200" s="261"/>
      <c r="C200" s="261"/>
      <c r="D200" s="256"/>
      <c r="E200" s="256"/>
      <c r="F200" s="256"/>
      <c r="G200" s="256"/>
      <c r="H200" s="258"/>
      <c r="I200" s="260"/>
      <c r="J200" s="256"/>
      <c r="K200" s="256"/>
      <c r="L200" s="256"/>
      <c r="M200" s="257"/>
    </row>
    <row r="201" spans="1:18" ht="12" customHeight="1">
      <c r="A201" s="257"/>
      <c r="B201" s="261"/>
      <c r="C201" s="262"/>
      <c r="D201" s="256"/>
      <c r="E201" s="256"/>
      <c r="F201" s="256"/>
      <c r="G201" s="256"/>
      <c r="H201" s="258"/>
      <c r="I201" s="260"/>
      <c r="J201" s="256"/>
      <c r="K201" s="256"/>
      <c r="L201" s="256"/>
      <c r="M201" s="257"/>
    </row>
    <row r="202" spans="1:18" ht="12" customHeight="1">
      <c r="B202" s="261"/>
      <c r="C202" s="261"/>
      <c r="D202" s="256"/>
      <c r="E202" s="256"/>
      <c r="F202" s="256"/>
      <c r="G202" s="256"/>
      <c r="H202" s="258"/>
      <c r="I202" s="260"/>
      <c r="J202" s="256"/>
      <c r="K202" s="256"/>
      <c r="L202" s="256"/>
      <c r="M202" s="257"/>
    </row>
    <row r="203" spans="1:18" ht="12" customHeight="1">
      <c r="B203" s="5"/>
      <c r="C203" s="5"/>
    </row>
    <row r="204" spans="1:18" ht="12" customHeight="1">
      <c r="B204" s="5"/>
      <c r="C204" s="5"/>
    </row>
    <row r="205" spans="1:18" ht="12" customHeight="1">
      <c r="B205" s="5"/>
      <c r="C205" s="7"/>
    </row>
    <row r="206" spans="1:18" ht="12" customHeight="1">
      <c r="B206" s="5"/>
      <c r="C206" s="5"/>
    </row>
    <row r="207" spans="1:18" ht="12" customHeight="1">
      <c r="B207" s="5"/>
      <c r="C207" s="5"/>
    </row>
    <row r="208" spans="1:18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5"/>
      <c r="C233" s="5"/>
    </row>
    <row r="234" spans="2:3" ht="12" customHeight="1">
      <c r="B234" s="5"/>
      <c r="C234" s="5"/>
    </row>
    <row r="235" spans="2:3" ht="12" customHeight="1">
      <c r="B235" s="5"/>
      <c r="C235" s="5"/>
    </row>
    <row r="236" spans="2:3" ht="12" customHeight="1">
      <c r="B236" s="5"/>
      <c r="C236" s="5"/>
    </row>
    <row r="237" spans="2:3" ht="12" customHeight="1">
      <c r="B237" s="5"/>
      <c r="C237" s="5"/>
    </row>
    <row r="238" spans="2:3" ht="12" customHeight="1">
      <c r="B238" s="6"/>
      <c r="C238" s="6"/>
    </row>
    <row r="239" spans="2:3" ht="12" customHeight="1">
      <c r="B239" s="6"/>
      <c r="C239" s="6"/>
    </row>
    <row r="240" spans="2:3" ht="12" customHeight="1">
      <c r="B240" s="6"/>
      <c r="C240" s="6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52 H52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41:I143 D141:D143" name="Fund Name_1_1_1_2"/>
    <protectedRange password="CADF" sqref="M141:M143 H141:H143" name="Yield_1_1_2_2"/>
    <protectedRange password="CADF" sqref="K141:L143 F141:G143" name="Fund Name_1_1_1_1_2"/>
    <protectedRange password="CADF" sqref="M47 H47" name="Yield_1_1_2_1_1_1_1_1"/>
    <protectedRange password="CADF" sqref="I94 D94" name="Yield_2_1_2_6_3"/>
  </protectedRanges>
  <mergeCells count="42"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  <mergeCell ref="A101:P101"/>
    <mergeCell ref="A90:P90"/>
    <mergeCell ref="A89:P89"/>
    <mergeCell ref="S70:T70"/>
    <mergeCell ref="S102:S103"/>
    <mergeCell ref="T31:U31"/>
    <mergeCell ref="T32:U32"/>
    <mergeCell ref="T30:U30"/>
    <mergeCell ref="T35:U35"/>
    <mergeCell ref="S40:S41"/>
    <mergeCell ref="U117:U119"/>
    <mergeCell ref="T71:T83"/>
    <mergeCell ref="R120:R121"/>
    <mergeCell ref="N178:P178"/>
    <mergeCell ref="A177:P177"/>
    <mergeCell ref="N169:P169"/>
    <mergeCell ref="A168:P168"/>
    <mergeCell ref="A157:P157"/>
    <mergeCell ref="A156:P156"/>
    <mergeCell ref="A167:P167"/>
    <mergeCell ref="A176:P176"/>
    <mergeCell ref="A88:P88"/>
    <mergeCell ref="A100:P100"/>
    <mergeCell ref="A111:P111"/>
    <mergeCell ref="A118:P118"/>
    <mergeCell ref="A152:P152"/>
    <mergeCell ref="A153:P153"/>
    <mergeCell ref="A146:P146"/>
    <mergeCell ref="A119:P119"/>
    <mergeCell ref="A112:P112"/>
    <mergeCell ref="A151:P151"/>
    <mergeCell ref="A145:P14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7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11"/>
      <c r="F3" s="111"/>
      <c r="G3" s="111"/>
    </row>
    <row r="4" spans="1:7">
      <c r="E4" s="111"/>
      <c r="F4" s="111"/>
      <c r="G4" s="111"/>
    </row>
    <row r="5" spans="1:7">
      <c r="E5" s="111"/>
      <c r="F5" s="111"/>
      <c r="G5" s="111"/>
    </row>
    <row r="6" spans="1:7">
      <c r="E6" s="108" t="s">
        <v>69</v>
      </c>
      <c r="F6" s="109" t="s">
        <v>162</v>
      </c>
      <c r="G6" s="111"/>
    </row>
    <row r="7" spans="1:7">
      <c r="E7" s="208" t="s">
        <v>0</v>
      </c>
      <c r="F7" s="110">
        <f>'NAV Trend'!J2</f>
        <v>16797381909.850002</v>
      </c>
      <c r="G7" s="111"/>
    </row>
    <row r="8" spans="1:7">
      <c r="E8" s="208" t="s">
        <v>48</v>
      </c>
      <c r="F8" s="110">
        <f>'NAV Trend'!J3</f>
        <v>689393093044.69934</v>
      </c>
      <c r="G8" s="111"/>
    </row>
    <row r="9" spans="1:7">
      <c r="A9" s="111"/>
      <c r="B9" s="111"/>
      <c r="E9" s="208" t="s">
        <v>209</v>
      </c>
      <c r="F9" s="110">
        <f>'NAV Trend'!J4</f>
        <v>342048621360.02881</v>
      </c>
      <c r="G9" s="111"/>
    </row>
    <row r="10" spans="1:7">
      <c r="A10" s="478"/>
      <c r="B10" s="478"/>
      <c r="E10" s="208" t="s">
        <v>211</v>
      </c>
      <c r="F10" s="110">
        <f>'NAV Trend'!J5</f>
        <v>318454224920.62793</v>
      </c>
      <c r="G10" s="111"/>
    </row>
    <row r="11" spans="1:7">
      <c r="A11" s="104"/>
      <c r="B11" s="104"/>
      <c r="E11" s="208" t="s">
        <v>231</v>
      </c>
      <c r="F11" s="110">
        <f>'NAV Trend'!J6</f>
        <v>46212263995.169998</v>
      </c>
      <c r="G11" s="111"/>
    </row>
    <row r="12" spans="1:7">
      <c r="A12" s="105"/>
      <c r="B12" s="106"/>
      <c r="E12" s="208" t="s">
        <v>65</v>
      </c>
      <c r="F12" s="110">
        <f>'NAV Trend'!J7</f>
        <v>30652475117.892384</v>
      </c>
      <c r="G12" s="111"/>
    </row>
    <row r="13" spans="1:7">
      <c r="A13" s="105"/>
      <c r="B13" s="106"/>
      <c r="E13" s="208" t="s">
        <v>71</v>
      </c>
      <c r="F13" s="110">
        <f>'NAV Trend'!J8</f>
        <v>3046932460.8900003</v>
      </c>
      <c r="G13" s="111"/>
    </row>
    <row r="14" spans="1:7">
      <c r="A14" s="105"/>
      <c r="B14" s="106"/>
      <c r="E14" s="208" t="s">
        <v>225</v>
      </c>
      <c r="F14" s="209">
        <f>'NAV Trend'!J9</f>
        <v>23218611718.279995</v>
      </c>
      <c r="G14" s="111"/>
    </row>
    <row r="15" spans="1:7">
      <c r="A15" s="105"/>
      <c r="B15" s="106"/>
      <c r="E15" s="111"/>
      <c r="F15" s="111"/>
      <c r="G15" s="111"/>
    </row>
    <row r="16" spans="1:7">
      <c r="A16" s="105"/>
      <c r="B16" s="106"/>
      <c r="E16" s="111"/>
      <c r="F16" s="111"/>
      <c r="G16" s="111"/>
    </row>
    <row r="17" spans="1:13">
      <c r="A17" s="105"/>
      <c r="B17" s="106"/>
      <c r="E17" s="111"/>
      <c r="F17" s="111"/>
      <c r="G17" s="111"/>
    </row>
    <row r="18" spans="1:13">
      <c r="A18" s="105"/>
      <c r="B18" s="106"/>
      <c r="E18" s="111"/>
      <c r="F18" s="111"/>
      <c r="G18" s="111"/>
    </row>
    <row r="19" spans="1:13">
      <c r="A19" s="105"/>
      <c r="B19" s="106"/>
      <c r="E19" s="111"/>
      <c r="F19" s="111"/>
      <c r="G19" s="111"/>
    </row>
    <row r="24" spans="1:13" s="102" customFormat="1" ht="21.75" customHeight="1"/>
    <row r="25" spans="1:13" ht="30.75" customHeight="1">
      <c r="B25" s="112" t="s">
        <v>164</v>
      </c>
      <c r="M25" s="103"/>
    </row>
    <row r="26" spans="1:13" ht="68.25" customHeight="1">
      <c r="B26" s="479" t="s">
        <v>289</v>
      </c>
      <c r="C26" s="479"/>
      <c r="D26" s="479"/>
      <c r="E26" s="479"/>
      <c r="F26" s="479"/>
      <c r="G26" s="479"/>
      <c r="H26" s="479"/>
      <c r="I26" s="479"/>
      <c r="J26" s="479"/>
      <c r="K26" s="479"/>
      <c r="L26" s="479"/>
      <c r="M26" s="10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419" t="s">
        <v>69</v>
      </c>
      <c r="C1" s="412">
        <v>44904</v>
      </c>
      <c r="D1" s="412">
        <v>44911</v>
      </c>
      <c r="E1" s="412">
        <v>45283</v>
      </c>
      <c r="F1" s="412">
        <v>45290</v>
      </c>
      <c r="G1" s="412">
        <v>44932</v>
      </c>
      <c r="H1" s="412">
        <v>44939</v>
      </c>
      <c r="I1" s="412">
        <v>44946</v>
      </c>
      <c r="J1" s="412">
        <v>44953</v>
      </c>
      <c r="K1" s="412">
        <v>44960</v>
      </c>
      <c r="L1" s="332"/>
    </row>
    <row r="2" spans="2:24" s="119" customFormat="1" ht="16.5">
      <c r="B2" s="420" t="s">
        <v>0</v>
      </c>
      <c r="C2" s="413">
        <v>15444795301.529999</v>
      </c>
      <c r="D2" s="413">
        <v>15526960302.890003</v>
      </c>
      <c r="E2" s="413">
        <v>15749133335.319998</v>
      </c>
      <c r="F2" s="413">
        <v>16107237306.709997</v>
      </c>
      <c r="G2" s="413">
        <v>16254149306.32</v>
      </c>
      <c r="H2" s="413">
        <v>16656064177.77</v>
      </c>
      <c r="I2" s="413">
        <v>16651193594.34</v>
      </c>
      <c r="J2" s="413">
        <v>16797381909.850002</v>
      </c>
      <c r="K2" s="413">
        <v>17133825597.439997</v>
      </c>
    </row>
    <row r="3" spans="2:24" s="119" customFormat="1" ht="16.5">
      <c r="B3" s="420" t="s">
        <v>48</v>
      </c>
      <c r="C3" s="414">
        <v>588565606910.96375</v>
      </c>
      <c r="D3" s="414">
        <v>590991900611.65771</v>
      </c>
      <c r="E3" s="414">
        <v>599441283293.77356</v>
      </c>
      <c r="F3" s="414">
        <v>614697197461.63013</v>
      </c>
      <c r="G3" s="414">
        <v>638005833111.39978</v>
      </c>
      <c r="H3" s="414">
        <v>652456174435.47937</v>
      </c>
      <c r="I3" s="414">
        <v>668991989528.35986</v>
      </c>
      <c r="J3" s="414">
        <v>689393093044.69934</v>
      </c>
      <c r="K3" s="414">
        <v>708387215249.38928</v>
      </c>
    </row>
    <row r="4" spans="2:24" s="119" customFormat="1" ht="16.5">
      <c r="B4" s="420" t="s">
        <v>209</v>
      </c>
      <c r="C4" s="413">
        <v>341163967419.0567</v>
      </c>
      <c r="D4" s="413">
        <v>337768215375.69989</v>
      </c>
      <c r="E4" s="413">
        <v>345947135557.62299</v>
      </c>
      <c r="F4" s="413">
        <v>347146151227.32391</v>
      </c>
      <c r="G4" s="413">
        <v>346020331729.3703</v>
      </c>
      <c r="H4" s="413">
        <v>345947135557.62299</v>
      </c>
      <c r="I4" s="413">
        <v>343126814140.64636</v>
      </c>
      <c r="J4" s="413">
        <v>342048621360.02881</v>
      </c>
      <c r="K4" s="413">
        <v>346326319129.15698</v>
      </c>
    </row>
    <row r="5" spans="2:24" s="119" customFormat="1" ht="16.5">
      <c r="B5" s="420" t="s">
        <v>211</v>
      </c>
      <c r="C5" s="414">
        <v>328523247840.62286</v>
      </c>
      <c r="D5" s="414">
        <v>324899490879.42987</v>
      </c>
      <c r="E5" s="414">
        <v>328659495248.42633</v>
      </c>
      <c r="F5" s="414">
        <v>331525669640.7597</v>
      </c>
      <c r="G5" s="414">
        <v>320193218057.02887</v>
      </c>
      <c r="H5" s="414">
        <v>318934755543.12677</v>
      </c>
      <c r="I5" s="414">
        <v>317633858239.45715</v>
      </c>
      <c r="J5" s="414">
        <v>318454224920.62793</v>
      </c>
      <c r="K5" s="414">
        <v>315407028595.76306</v>
      </c>
    </row>
    <row r="6" spans="2:24" s="119" customFormat="1" ht="16.5">
      <c r="B6" s="420" t="s">
        <v>232</v>
      </c>
      <c r="C6" s="413">
        <v>45612800548.009995</v>
      </c>
      <c r="D6" s="413">
        <v>45641120931.690002</v>
      </c>
      <c r="E6" s="413">
        <v>45659418904.860001</v>
      </c>
      <c r="F6" s="413">
        <v>45655500617.019997</v>
      </c>
      <c r="G6" s="413">
        <v>46204685553.529999</v>
      </c>
      <c r="H6" s="413">
        <v>46216946191.18</v>
      </c>
      <c r="I6" s="413">
        <v>46235461396.509995</v>
      </c>
      <c r="J6" s="413">
        <v>46212263995.169998</v>
      </c>
      <c r="K6" s="413">
        <v>46289004330.269997</v>
      </c>
    </row>
    <row r="7" spans="2:24" s="119" customFormat="1" ht="16.5">
      <c r="B7" s="420" t="s">
        <v>242</v>
      </c>
      <c r="C7" s="415">
        <v>29903381585.981205</v>
      </c>
      <c r="D7" s="415">
        <v>29870422741.332851</v>
      </c>
      <c r="E7" s="415">
        <v>30095632697.342506</v>
      </c>
      <c r="F7" s="415">
        <v>30126566651.346909</v>
      </c>
      <c r="G7" s="415">
        <v>30336361937.028297</v>
      </c>
      <c r="H7" s="415">
        <v>31041156130.042023</v>
      </c>
      <c r="I7" s="415">
        <v>30761564463.892384</v>
      </c>
      <c r="J7" s="415">
        <v>30652475117.892384</v>
      </c>
      <c r="K7" s="415">
        <v>31150543689.963333</v>
      </c>
    </row>
    <row r="8" spans="2:24" s="311" customFormat="1" ht="16.5">
      <c r="B8" s="420" t="s">
        <v>71</v>
      </c>
      <c r="C8" s="413">
        <v>2869997501.9300003</v>
      </c>
      <c r="D8" s="413">
        <v>2873228056.0900002</v>
      </c>
      <c r="E8" s="413">
        <v>2888057210.21</v>
      </c>
      <c r="F8" s="413">
        <v>2949746784.8499999</v>
      </c>
      <c r="G8" s="413">
        <v>2980827214.75</v>
      </c>
      <c r="H8" s="413">
        <v>3032033408.75</v>
      </c>
      <c r="I8" s="413">
        <v>3037541892</v>
      </c>
      <c r="J8" s="413">
        <v>3046932460.8900003</v>
      </c>
      <c r="K8" s="413">
        <v>3049787978.2799997</v>
      </c>
    </row>
    <row r="9" spans="2:24" ht="16.5">
      <c r="B9" s="420" t="s">
        <v>225</v>
      </c>
      <c r="C9" s="416">
        <v>22922161098.549999</v>
      </c>
      <c r="D9" s="416">
        <v>22933528265.999996</v>
      </c>
      <c r="E9" s="416">
        <v>22759261173.869999</v>
      </c>
      <c r="F9" s="416">
        <v>22836936554.239998</v>
      </c>
      <c r="G9" s="413">
        <v>22955463973.109997</v>
      </c>
      <c r="H9" s="413">
        <v>23622969337.439999</v>
      </c>
      <c r="I9" s="413">
        <v>22775267421.450001</v>
      </c>
      <c r="J9" s="413">
        <v>23218611718.279995</v>
      </c>
      <c r="K9" s="413">
        <v>23178272501.200001</v>
      </c>
    </row>
    <row r="10" spans="2:24" s="2" customFormat="1" ht="15.75">
      <c r="B10" s="421" t="s">
        <v>275</v>
      </c>
      <c r="C10" s="422">
        <f t="shared" ref="C10:K10" si="0">SUM(C2:C9)</f>
        <v>1375005958206.6445</v>
      </c>
      <c r="D10" s="422">
        <f t="shared" si="0"/>
        <v>1370504867164.7903</v>
      </c>
      <c r="E10" s="422">
        <f t="shared" si="0"/>
        <v>1391199417421.4255</v>
      </c>
      <c r="F10" s="422">
        <f t="shared" si="0"/>
        <v>1411045006243.8809</v>
      </c>
      <c r="G10" s="422">
        <f t="shared" si="0"/>
        <v>1422950870882.5374</v>
      </c>
      <c r="H10" s="422">
        <f t="shared" si="0"/>
        <v>1437907234781.4109</v>
      </c>
      <c r="I10" s="422">
        <f t="shared" si="0"/>
        <v>1449213690676.6555</v>
      </c>
      <c r="J10" s="422">
        <f t="shared" si="0"/>
        <v>1469823604527.4382</v>
      </c>
      <c r="K10" s="422">
        <f t="shared" si="0"/>
        <v>1490921997071.4626</v>
      </c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2:24" ht="6.75" customHeight="1">
      <c r="B11" s="417"/>
      <c r="C11" s="418"/>
      <c r="D11" s="418"/>
      <c r="E11" s="418"/>
      <c r="F11" s="418"/>
      <c r="G11" s="418"/>
      <c r="H11" s="418"/>
      <c r="I11" s="418"/>
      <c r="J11" s="417"/>
      <c r="K11" s="417"/>
    </row>
    <row r="12" spans="2:24" ht="15.75">
      <c r="B12" s="423" t="s">
        <v>122</v>
      </c>
      <c r="C12" s="424" t="s">
        <v>121</v>
      </c>
      <c r="D12" s="425">
        <f>(C10+D10)/2</f>
        <v>1372755412685.7173</v>
      </c>
      <c r="E12" s="426">
        <f t="shared" ref="E12:K12" si="1">(D10+E10)/2</f>
        <v>1380852142293.1079</v>
      </c>
      <c r="F12" s="426">
        <f t="shared" si="1"/>
        <v>1401122211832.6533</v>
      </c>
      <c r="G12" s="426">
        <f t="shared" si="1"/>
        <v>1416997938563.209</v>
      </c>
      <c r="H12" s="426">
        <f>(G10+H10)/2</f>
        <v>1430429052831.9741</v>
      </c>
      <c r="I12" s="426">
        <f t="shared" si="1"/>
        <v>1443560462729.0332</v>
      </c>
      <c r="J12" s="426">
        <f t="shared" si="1"/>
        <v>1459518647602.0469</v>
      </c>
      <c r="K12" s="426">
        <f t="shared" si="1"/>
        <v>1480372800799.4504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13"/>
      <c r="I14" s="99"/>
      <c r="J14" s="98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99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00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7"/>
  <sheetViews>
    <sheetView zoomScaleNormal="100" workbookViewId="0">
      <pane xSplit="1" ySplit="8" topLeftCell="AC123" activePane="bottomRight" state="frozen"/>
      <selection pane="topRight" activeCell="E1" sqref="E1"/>
      <selection pane="bottomLeft" activeCell="A8" sqref="A8"/>
      <selection pane="bottomRight" activeCell="AE125" sqref="AE125"/>
    </sheetView>
  </sheetViews>
  <sheetFormatPr defaultColWidth="8.85546875" defaultRowHeight="15"/>
  <cols>
    <col min="1" max="1" width="37.140625" customWidth="1"/>
    <col min="2" max="2" width="21" style="330" customWidth="1"/>
    <col min="3" max="3" width="11" style="330" customWidth="1"/>
    <col min="4" max="4" width="19" style="330" customWidth="1"/>
    <col min="5" max="5" width="10.5703125" style="330" customWidth="1"/>
    <col min="6" max="7" width="9.28515625" style="330" customWidth="1"/>
    <col min="8" max="8" width="21.140625" style="330" customWidth="1"/>
    <col min="9" max="11" width="9.28515625" style="330" customWidth="1"/>
    <col min="12" max="12" width="22" style="330" customWidth="1"/>
    <col min="13" max="13" width="11.140625" style="330" customWidth="1"/>
    <col min="14" max="15" width="9.28515625" style="330" customWidth="1"/>
    <col min="16" max="16" width="20.140625" style="330" customWidth="1"/>
    <col min="17" max="17" width="11.140625" style="330" customWidth="1"/>
    <col min="18" max="19" width="9.28515625" style="330" customWidth="1"/>
    <col min="20" max="20" width="23.140625" style="330" customWidth="1"/>
    <col min="21" max="23" width="9.28515625" style="330" customWidth="1"/>
    <col min="24" max="24" width="20.140625" style="330" customWidth="1"/>
    <col min="25" max="25" width="9.85546875" style="330" customWidth="1"/>
    <col min="26" max="27" width="9.28515625" style="330" customWidth="1"/>
    <col min="28" max="28" width="20" style="330" customWidth="1"/>
    <col min="29" max="31" width="9.28515625" style="330" customWidth="1"/>
    <col min="32" max="32" width="19.140625" style="330" customWidth="1"/>
    <col min="33" max="35" width="9.28515625" style="33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9" customFormat="1" ht="51" customHeight="1" thickBot="1">
      <c r="A1" s="484" t="s">
        <v>76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485"/>
      <c r="AL1" s="485"/>
      <c r="AM1" s="485"/>
      <c r="AN1" s="485"/>
      <c r="AO1" s="486"/>
    </row>
    <row r="2" spans="1:49" ht="30.75" customHeight="1">
      <c r="A2" s="214"/>
      <c r="B2" s="483" t="s">
        <v>267</v>
      </c>
      <c r="C2" s="483"/>
      <c r="D2" s="483" t="s">
        <v>268</v>
      </c>
      <c r="E2" s="483"/>
      <c r="F2" s="483" t="s">
        <v>67</v>
      </c>
      <c r="G2" s="483"/>
      <c r="H2" s="483" t="s">
        <v>273</v>
      </c>
      <c r="I2" s="483"/>
      <c r="J2" s="483" t="s">
        <v>67</v>
      </c>
      <c r="K2" s="483"/>
      <c r="L2" s="483" t="s">
        <v>274</v>
      </c>
      <c r="M2" s="483"/>
      <c r="N2" s="483" t="s">
        <v>67</v>
      </c>
      <c r="O2" s="483"/>
      <c r="P2" s="483" t="s">
        <v>276</v>
      </c>
      <c r="Q2" s="483"/>
      <c r="R2" s="483" t="s">
        <v>67</v>
      </c>
      <c r="S2" s="483"/>
      <c r="T2" s="483" t="s">
        <v>278</v>
      </c>
      <c r="U2" s="483"/>
      <c r="V2" s="483" t="s">
        <v>67</v>
      </c>
      <c r="W2" s="483"/>
      <c r="X2" s="483" t="s">
        <v>280</v>
      </c>
      <c r="Y2" s="483"/>
      <c r="Z2" s="483" t="s">
        <v>67</v>
      </c>
      <c r="AA2" s="483"/>
      <c r="AB2" s="483" t="s">
        <v>282</v>
      </c>
      <c r="AC2" s="483"/>
      <c r="AD2" s="483" t="s">
        <v>67</v>
      </c>
      <c r="AE2" s="483"/>
      <c r="AF2" s="483" t="s">
        <v>288</v>
      </c>
      <c r="AG2" s="483"/>
      <c r="AH2" s="483" t="s">
        <v>67</v>
      </c>
      <c r="AI2" s="483"/>
      <c r="AJ2" s="483" t="s">
        <v>84</v>
      </c>
      <c r="AK2" s="483"/>
      <c r="AL2" s="483" t="s">
        <v>85</v>
      </c>
      <c r="AM2" s="483"/>
      <c r="AN2" s="483" t="s">
        <v>75</v>
      </c>
      <c r="AO2" s="487"/>
      <c r="AP2" s="16"/>
      <c r="AQ2" s="480" t="s">
        <v>89</v>
      </c>
      <c r="AR2" s="481"/>
      <c r="AS2" s="16"/>
      <c r="AT2" s="16"/>
    </row>
    <row r="3" spans="1:49" ht="14.25" customHeight="1">
      <c r="A3" s="215" t="s">
        <v>2</v>
      </c>
      <c r="B3" s="203" t="s">
        <v>63</v>
      </c>
      <c r="C3" s="204" t="s">
        <v>3</v>
      </c>
      <c r="D3" s="203" t="s">
        <v>63</v>
      </c>
      <c r="E3" s="204" t="s">
        <v>3</v>
      </c>
      <c r="F3" s="210" t="s">
        <v>63</v>
      </c>
      <c r="G3" s="211" t="s">
        <v>3</v>
      </c>
      <c r="H3" s="203" t="s">
        <v>63</v>
      </c>
      <c r="I3" s="204" t="s">
        <v>3</v>
      </c>
      <c r="J3" s="210" t="s">
        <v>63</v>
      </c>
      <c r="K3" s="211" t="s">
        <v>3</v>
      </c>
      <c r="L3" s="203" t="s">
        <v>63</v>
      </c>
      <c r="M3" s="204" t="s">
        <v>3</v>
      </c>
      <c r="N3" s="210" t="s">
        <v>63</v>
      </c>
      <c r="O3" s="211" t="s">
        <v>3</v>
      </c>
      <c r="P3" s="203" t="s">
        <v>63</v>
      </c>
      <c r="Q3" s="204" t="s">
        <v>3</v>
      </c>
      <c r="R3" s="210" t="s">
        <v>63</v>
      </c>
      <c r="S3" s="211" t="s">
        <v>3</v>
      </c>
      <c r="T3" s="203" t="s">
        <v>63</v>
      </c>
      <c r="U3" s="204" t="s">
        <v>3</v>
      </c>
      <c r="V3" s="210" t="s">
        <v>63</v>
      </c>
      <c r="W3" s="211" t="s">
        <v>3</v>
      </c>
      <c r="X3" s="203" t="s">
        <v>63</v>
      </c>
      <c r="Y3" s="204" t="s">
        <v>3</v>
      </c>
      <c r="Z3" s="210" t="s">
        <v>63</v>
      </c>
      <c r="AA3" s="211" t="s">
        <v>3</v>
      </c>
      <c r="AB3" s="203" t="s">
        <v>63</v>
      </c>
      <c r="AC3" s="204" t="s">
        <v>3</v>
      </c>
      <c r="AD3" s="210" t="s">
        <v>63</v>
      </c>
      <c r="AE3" s="211" t="s">
        <v>3</v>
      </c>
      <c r="AF3" s="203" t="s">
        <v>63</v>
      </c>
      <c r="AG3" s="204" t="s">
        <v>3</v>
      </c>
      <c r="AH3" s="210" t="s">
        <v>63</v>
      </c>
      <c r="AI3" s="211" t="s">
        <v>3</v>
      </c>
      <c r="AJ3" s="210" t="s">
        <v>63</v>
      </c>
      <c r="AK3" s="211" t="s">
        <v>3</v>
      </c>
      <c r="AL3" s="210" t="s">
        <v>63</v>
      </c>
      <c r="AM3" s="211" t="s">
        <v>3</v>
      </c>
      <c r="AN3" s="210" t="s">
        <v>63</v>
      </c>
      <c r="AO3" s="212" t="s">
        <v>3</v>
      </c>
      <c r="AP3" s="16"/>
      <c r="AQ3" s="19" t="s">
        <v>63</v>
      </c>
      <c r="AR3" s="20" t="s">
        <v>3</v>
      </c>
      <c r="AS3" s="16"/>
      <c r="AT3" s="16"/>
    </row>
    <row r="4" spans="1:49">
      <c r="A4" s="216" t="s">
        <v>0</v>
      </c>
      <c r="B4" s="69" t="s">
        <v>4</v>
      </c>
      <c r="C4" s="69" t="s">
        <v>4</v>
      </c>
      <c r="D4" s="69" t="s">
        <v>4</v>
      </c>
      <c r="E4" s="69" t="s">
        <v>4</v>
      </c>
      <c r="F4" s="21" t="s">
        <v>83</v>
      </c>
      <c r="G4" s="21" t="s">
        <v>83</v>
      </c>
      <c r="H4" s="69" t="s">
        <v>4</v>
      </c>
      <c r="I4" s="69" t="s">
        <v>4</v>
      </c>
      <c r="J4" s="21" t="s">
        <v>83</v>
      </c>
      <c r="K4" s="21" t="s">
        <v>83</v>
      </c>
      <c r="L4" s="69" t="s">
        <v>4</v>
      </c>
      <c r="M4" s="69" t="s">
        <v>4</v>
      </c>
      <c r="N4" s="21" t="s">
        <v>83</v>
      </c>
      <c r="O4" s="21" t="s">
        <v>83</v>
      </c>
      <c r="P4" s="69" t="s">
        <v>4</v>
      </c>
      <c r="Q4" s="69" t="s">
        <v>4</v>
      </c>
      <c r="R4" s="21" t="s">
        <v>83</v>
      </c>
      <c r="S4" s="21" t="s">
        <v>83</v>
      </c>
      <c r="T4" s="69" t="s">
        <v>4</v>
      </c>
      <c r="U4" s="69" t="s">
        <v>4</v>
      </c>
      <c r="V4" s="21" t="s">
        <v>83</v>
      </c>
      <c r="W4" s="21" t="s">
        <v>83</v>
      </c>
      <c r="X4" s="69" t="s">
        <v>4</v>
      </c>
      <c r="Y4" s="69" t="s">
        <v>4</v>
      </c>
      <c r="Z4" s="21" t="s">
        <v>83</v>
      </c>
      <c r="AA4" s="21" t="s">
        <v>83</v>
      </c>
      <c r="AB4" s="69" t="s">
        <v>4</v>
      </c>
      <c r="AC4" s="69" t="s">
        <v>4</v>
      </c>
      <c r="AD4" s="21" t="s">
        <v>83</v>
      </c>
      <c r="AE4" s="21" t="s">
        <v>83</v>
      </c>
      <c r="AF4" s="69" t="s">
        <v>4</v>
      </c>
      <c r="AG4" s="69" t="s">
        <v>4</v>
      </c>
      <c r="AH4" s="21" t="s">
        <v>83</v>
      </c>
      <c r="AI4" s="21" t="s">
        <v>83</v>
      </c>
      <c r="AJ4" s="22" t="s">
        <v>83</v>
      </c>
      <c r="AK4" s="22" t="s">
        <v>83</v>
      </c>
      <c r="AL4" s="23" t="s">
        <v>83</v>
      </c>
      <c r="AM4" s="23" t="s">
        <v>83</v>
      </c>
      <c r="AN4" s="17" t="s">
        <v>83</v>
      </c>
      <c r="AO4" s="18" t="s">
        <v>83</v>
      </c>
      <c r="AP4" s="16"/>
      <c r="AQ4" s="24" t="s">
        <v>4</v>
      </c>
      <c r="AR4" s="24" t="s">
        <v>4</v>
      </c>
      <c r="AS4" s="16"/>
      <c r="AT4" s="16"/>
    </row>
    <row r="5" spans="1:49">
      <c r="A5" s="217" t="s">
        <v>6</v>
      </c>
      <c r="B5" s="393">
        <v>6936764471.6700001</v>
      </c>
      <c r="C5" s="392">
        <v>11856.02</v>
      </c>
      <c r="D5" s="393">
        <v>6961278920.3400002</v>
      </c>
      <c r="E5" s="392">
        <v>11895.07</v>
      </c>
      <c r="F5" s="25">
        <f t="shared" ref="F5:F20" si="0">((D5-B5)/B5)</f>
        <v>3.5339889036333843E-3</v>
      </c>
      <c r="G5" s="25">
        <f t="shared" ref="G5:G20" si="1">((E5-C5)/C5)</f>
        <v>3.2936854020151171E-3</v>
      </c>
      <c r="H5" s="393">
        <v>7078686974.9300003</v>
      </c>
      <c r="I5" s="392">
        <v>12064.98</v>
      </c>
      <c r="J5" s="25">
        <f t="shared" ref="J5:J20" si="2">((H5-D5)/D5)</f>
        <v>1.6865874206957614E-2</v>
      </c>
      <c r="K5" s="25">
        <f t="shared" ref="K5:K20" si="3">((I5-E5)/E5)</f>
        <v>1.4284068946210477E-2</v>
      </c>
      <c r="L5" s="393">
        <v>7250834145.5</v>
      </c>
      <c r="M5" s="392">
        <v>12371.07</v>
      </c>
      <c r="N5" s="25">
        <f t="shared" ref="N5:N20" si="4">((L5-H5)/H5)</f>
        <v>2.431908222240637E-2</v>
      </c>
      <c r="O5" s="25">
        <f t="shared" ref="O5:O20" si="5">((M5-I5)/I5)</f>
        <v>2.5370120795890266E-2</v>
      </c>
      <c r="P5" s="393">
        <v>7333382539.8299999</v>
      </c>
      <c r="Q5" s="392">
        <v>12515.92</v>
      </c>
      <c r="R5" s="25">
        <f t="shared" ref="R5:R20" si="6">((P5-L5)/L5)</f>
        <v>1.1384675566083795E-2</v>
      </c>
      <c r="S5" s="25">
        <f t="shared" ref="S5:S20" si="7">((Q5-M5)/M5)</f>
        <v>1.1708768926212556E-2</v>
      </c>
      <c r="T5" s="393">
        <v>7511564077.5200005</v>
      </c>
      <c r="U5" s="392">
        <v>12812.62</v>
      </c>
      <c r="V5" s="25">
        <f t="shared" ref="V5:V20" si="8">((T5-P5)/P5)</f>
        <v>2.4297319377823031E-2</v>
      </c>
      <c r="W5" s="25">
        <f t="shared" ref="W5:W20" si="9">((U5-Q5)/Q5)</f>
        <v>2.3705808282571374E-2</v>
      </c>
      <c r="X5" s="393">
        <v>7540263445.5200005</v>
      </c>
      <c r="Y5" s="392">
        <v>12867.64</v>
      </c>
      <c r="Z5" s="25">
        <f t="shared" ref="Z5:Z20" si="10">((X5-T5)/T5)</f>
        <v>3.8206913638517896E-3</v>
      </c>
      <c r="AA5" s="25">
        <f t="shared" ref="AA5:AA20" si="11">((Y5-U5)/U5)</f>
        <v>4.2942036835556365E-3</v>
      </c>
      <c r="AB5" s="393">
        <v>7580898994.7799997</v>
      </c>
      <c r="AC5" s="392">
        <v>12940.1</v>
      </c>
      <c r="AD5" s="25">
        <f t="shared" ref="AD5:AD20" si="12">((AB5-X5)/X5)</f>
        <v>5.3891418454540376E-3</v>
      </c>
      <c r="AE5" s="25">
        <f t="shared" ref="AE5:AE20" si="13">((AC5-Y5)/Y5)</f>
        <v>5.6311802319618008E-3</v>
      </c>
      <c r="AF5" s="393">
        <v>7697512730.9799995</v>
      </c>
      <c r="AG5" s="392">
        <v>13161.69</v>
      </c>
      <c r="AH5" s="25">
        <f t="shared" ref="AH5:AH20" si="14">((AF5-AB5)/AB5)</f>
        <v>1.5382573528587684E-2</v>
      </c>
      <c r="AI5" s="25">
        <f t="shared" ref="AI5:AI20" si="15">((AG5-AC5)/AC5)</f>
        <v>1.7124288065780029E-2</v>
      </c>
      <c r="AJ5" s="26">
        <f>AVERAGE(F5,J5,N5,R5,V5,Z5,AD5,AH5)</f>
        <v>1.3124168376849713E-2</v>
      </c>
      <c r="AK5" s="26">
        <f>AVERAGE(G5,K5,O5,S5,W5,AA5,AE5,AI5)</f>
        <v>1.3176515541774656E-2</v>
      </c>
      <c r="AL5" s="27">
        <f>((AF5-D5)/D5)</f>
        <v>0.10576128597416415</v>
      </c>
      <c r="AM5" s="27">
        <f>((AG5-E5)/E5)</f>
        <v>0.10648276975251099</v>
      </c>
      <c r="AN5" s="28">
        <f>STDEV(F5,J5,N5,R5,V5,Z5,AD5,AH5)</f>
        <v>8.5410676247045098E-3</v>
      </c>
      <c r="AO5" s="85">
        <f>STDEV(G5,K5,O5,S5,W5,AA5,AE5,AI5)</f>
        <v>8.5524746439057855E-3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17" t="s">
        <v>49</v>
      </c>
      <c r="B6" s="393">
        <v>959578067.91999996</v>
      </c>
      <c r="C6" s="392">
        <v>1.96</v>
      </c>
      <c r="D6" s="393">
        <v>969982955.41999996</v>
      </c>
      <c r="E6" s="392">
        <v>1.98</v>
      </c>
      <c r="F6" s="25">
        <f t="shared" si="0"/>
        <v>1.0843190197702034E-2</v>
      </c>
      <c r="G6" s="25">
        <f t="shared" si="1"/>
        <v>1.0204081632653071E-2</v>
      </c>
      <c r="H6" s="393">
        <v>977230662.92999995</v>
      </c>
      <c r="I6" s="392">
        <v>1.99</v>
      </c>
      <c r="J6" s="25">
        <f t="shared" si="2"/>
        <v>7.4719947082593358E-3</v>
      </c>
      <c r="K6" s="25">
        <f t="shared" si="3"/>
        <v>5.0505050505050553E-3</v>
      </c>
      <c r="L6" s="393">
        <v>989842690.11000001</v>
      </c>
      <c r="M6" s="392">
        <v>2.02</v>
      </c>
      <c r="N6" s="25">
        <f t="shared" si="4"/>
        <v>1.2905885640331651E-2</v>
      </c>
      <c r="O6" s="25">
        <f t="shared" si="5"/>
        <v>1.5075376884422124E-2</v>
      </c>
      <c r="P6" s="393">
        <v>997436086.54999995</v>
      </c>
      <c r="Q6" s="392">
        <v>2.0299999999999998</v>
      </c>
      <c r="R6" s="25">
        <f t="shared" si="6"/>
        <v>7.6713163777125974E-3</v>
      </c>
      <c r="S6" s="25">
        <f t="shared" si="7"/>
        <v>4.9504950495048447E-3</v>
      </c>
      <c r="T6" s="393">
        <v>1027580879.54</v>
      </c>
      <c r="U6" s="392">
        <v>2.1</v>
      </c>
      <c r="V6" s="25">
        <f t="shared" si="8"/>
        <v>3.0222280300953294E-2</v>
      </c>
      <c r="W6" s="25">
        <f t="shared" si="9"/>
        <v>3.44827586206898E-2</v>
      </c>
      <c r="X6" s="393">
        <v>1021363968.2</v>
      </c>
      <c r="Y6" s="392">
        <v>2.08</v>
      </c>
      <c r="Z6" s="25">
        <f t="shared" si="10"/>
        <v>-6.0500457567709276E-3</v>
      </c>
      <c r="AA6" s="25">
        <f t="shared" si="11"/>
        <v>-9.5238095238095316E-3</v>
      </c>
      <c r="AB6" s="393">
        <v>1020955662.3</v>
      </c>
      <c r="AC6" s="392">
        <v>2.08</v>
      </c>
      <c r="AD6" s="25">
        <f t="shared" si="12"/>
        <v>-3.9976532628194526E-4</v>
      </c>
      <c r="AE6" s="25">
        <f t="shared" si="13"/>
        <v>0</v>
      </c>
      <c r="AF6" s="393">
        <v>1039220961.4</v>
      </c>
      <c r="AG6" s="392">
        <v>2.12</v>
      </c>
      <c r="AH6" s="25">
        <f t="shared" si="14"/>
        <v>1.789039404400003E-2</v>
      </c>
      <c r="AI6" s="25">
        <f t="shared" si="15"/>
        <v>1.9230769230769246E-2</v>
      </c>
      <c r="AJ6" s="26">
        <f t="shared" ref="AJ6:AJ69" si="16">AVERAGE(F6,J6,N6,R6,V6,Z6,AD6,AH6)</f>
        <v>1.0069406273238258E-2</v>
      </c>
      <c r="AK6" s="26">
        <f t="shared" ref="AK6:AK69" si="17">AVERAGE(G6,K6,O6,S6,W6,AA6,AE6,AI6)</f>
        <v>9.9337721180918267E-3</v>
      </c>
      <c r="AL6" s="27">
        <f t="shared" ref="AL6:AL69" si="18">((AF6-D6)/D6)</f>
        <v>7.1380641889753779E-2</v>
      </c>
      <c r="AM6" s="27">
        <f t="shared" ref="AM6:AM69" si="19">((AG6-E6)/E6)</f>
        <v>7.0707070707070774E-2</v>
      </c>
      <c r="AN6" s="28">
        <f t="shared" ref="AN6:AN69" si="20">STDEV(F6,J6,N6,R6,V6,Z6,AD6,AH6)</f>
        <v>1.1070476875532751E-2</v>
      </c>
      <c r="AO6" s="85">
        <f t="shared" ref="AO6:AO69" si="21">STDEV(G6,K6,O6,S6,W6,AA6,AE6,AI6)</f>
        <v>1.3317832941831901E-2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17" t="s">
        <v>11</v>
      </c>
      <c r="B7" s="393">
        <v>247630458.13999999</v>
      </c>
      <c r="C7" s="392">
        <v>127.02</v>
      </c>
      <c r="D7" s="393">
        <v>250023807.15000001</v>
      </c>
      <c r="E7" s="392">
        <v>128.22999999999999</v>
      </c>
      <c r="F7" s="25">
        <f t="shared" si="0"/>
        <v>9.6650025525007108E-3</v>
      </c>
      <c r="G7" s="25">
        <f t="shared" si="1"/>
        <v>9.5260588883639887E-3</v>
      </c>
      <c r="H7" s="393">
        <v>250023807.15000001</v>
      </c>
      <c r="I7" s="392">
        <v>124.01</v>
      </c>
      <c r="J7" s="25">
        <f t="shared" si="2"/>
        <v>0</v>
      </c>
      <c r="K7" s="25">
        <f t="shared" si="3"/>
        <v>-3.290961553458617E-2</v>
      </c>
      <c r="L7" s="393">
        <v>245574216.52000001</v>
      </c>
      <c r="M7" s="392">
        <v>123.72</v>
      </c>
      <c r="N7" s="25">
        <f t="shared" si="4"/>
        <v>-1.7796667768243745E-2</v>
      </c>
      <c r="O7" s="25">
        <f t="shared" si="5"/>
        <v>-2.3385210870091626E-3</v>
      </c>
      <c r="P7" s="393">
        <v>252921380.41</v>
      </c>
      <c r="Q7" s="392">
        <v>129.33000000000001</v>
      </c>
      <c r="R7" s="25">
        <f t="shared" si="6"/>
        <v>2.9918303289798418E-2</v>
      </c>
      <c r="S7" s="25">
        <f t="shared" si="7"/>
        <v>4.5344325897187308E-2</v>
      </c>
      <c r="T7" s="393">
        <v>258595658.5</v>
      </c>
      <c r="U7" s="392">
        <v>132.19</v>
      </c>
      <c r="V7" s="25">
        <f t="shared" si="8"/>
        <v>2.2434948286308081E-2</v>
      </c>
      <c r="W7" s="25">
        <f t="shared" si="9"/>
        <v>2.211397200958776E-2</v>
      </c>
      <c r="X7" s="393">
        <v>254295980.37</v>
      </c>
      <c r="Y7" s="392">
        <v>130.13999999999999</v>
      </c>
      <c r="Z7" s="25">
        <f t="shared" si="10"/>
        <v>-1.6627031385370281E-2</v>
      </c>
      <c r="AA7" s="25">
        <f t="shared" si="11"/>
        <v>-1.5507980936530838E-2</v>
      </c>
      <c r="AB7" s="393">
        <v>256063703.93000001</v>
      </c>
      <c r="AC7" s="392">
        <v>130.37</v>
      </c>
      <c r="AD7" s="25">
        <f t="shared" si="12"/>
        <v>6.9514412199043378E-3</v>
      </c>
      <c r="AE7" s="25">
        <f t="shared" si="13"/>
        <v>1.7673274934687123E-3</v>
      </c>
      <c r="AF7" s="393">
        <v>262267538.56999999</v>
      </c>
      <c r="AG7" s="392">
        <v>134.13999999999999</v>
      </c>
      <c r="AH7" s="25">
        <f t="shared" si="14"/>
        <v>2.4227700157363672E-2</v>
      </c>
      <c r="AI7" s="25">
        <f t="shared" si="15"/>
        <v>2.8917695788908352E-2</v>
      </c>
      <c r="AJ7" s="26">
        <f t="shared" si="16"/>
        <v>7.3467120440326491E-3</v>
      </c>
      <c r="AK7" s="26">
        <f t="shared" si="17"/>
        <v>7.1141578149237442E-3</v>
      </c>
      <c r="AL7" s="27">
        <f t="shared" si="18"/>
        <v>4.8970262310478484E-2</v>
      </c>
      <c r="AM7" s="27">
        <f t="shared" si="19"/>
        <v>4.6089058722607788E-2</v>
      </c>
      <c r="AN7" s="28">
        <f t="shared" si="20"/>
        <v>1.8081301209964675E-2</v>
      </c>
      <c r="AO7" s="85">
        <f t="shared" si="21"/>
        <v>2.5069494952392128E-2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17" t="s">
        <v>13</v>
      </c>
      <c r="B8" s="393">
        <v>690237261.5</v>
      </c>
      <c r="C8" s="392">
        <v>18.34</v>
      </c>
      <c r="D8" s="393">
        <v>688828025.17999995</v>
      </c>
      <c r="E8" s="392">
        <v>18.34</v>
      </c>
      <c r="F8" s="25">
        <f t="shared" si="0"/>
        <v>-2.0416694354308666E-3</v>
      </c>
      <c r="G8" s="25">
        <f t="shared" si="1"/>
        <v>0</v>
      </c>
      <c r="H8" s="393">
        <v>695315443.92999995</v>
      </c>
      <c r="I8" s="392">
        <v>18.34</v>
      </c>
      <c r="J8" s="25">
        <f t="shared" si="2"/>
        <v>9.4180528562332385E-3</v>
      </c>
      <c r="K8" s="25">
        <f t="shared" si="3"/>
        <v>0</v>
      </c>
      <c r="L8" s="393">
        <v>710192598.26999998</v>
      </c>
      <c r="M8" s="392">
        <v>18.34</v>
      </c>
      <c r="N8" s="25">
        <f t="shared" si="4"/>
        <v>2.1396266212516019E-2</v>
      </c>
      <c r="O8" s="25">
        <f t="shared" si="5"/>
        <v>0</v>
      </c>
      <c r="P8" s="393">
        <v>715519832.97000003</v>
      </c>
      <c r="Q8" s="392">
        <v>18.87</v>
      </c>
      <c r="R8" s="25">
        <f t="shared" si="6"/>
        <v>7.5011126741914413E-3</v>
      </c>
      <c r="S8" s="25">
        <f t="shared" si="7"/>
        <v>2.8898582333696899E-2</v>
      </c>
      <c r="T8" s="393">
        <v>737837740.49000001</v>
      </c>
      <c r="U8" s="392">
        <v>18.87</v>
      </c>
      <c r="V8" s="25">
        <f t="shared" si="8"/>
        <v>3.1191179463694495E-2</v>
      </c>
      <c r="W8" s="25">
        <f t="shared" si="9"/>
        <v>0</v>
      </c>
      <c r="X8" s="393">
        <v>728008896.15999997</v>
      </c>
      <c r="Y8" s="392">
        <v>18.87</v>
      </c>
      <c r="Z8" s="25">
        <f t="shared" si="10"/>
        <v>-1.3321146087583811E-2</v>
      </c>
      <c r="AA8" s="25">
        <f t="shared" si="11"/>
        <v>0</v>
      </c>
      <c r="AB8" s="393">
        <v>727628283.92999995</v>
      </c>
      <c r="AC8" s="392">
        <v>18.87</v>
      </c>
      <c r="AD8" s="25">
        <f t="shared" si="12"/>
        <v>-5.2281260848269782E-4</v>
      </c>
      <c r="AE8" s="25">
        <f t="shared" si="13"/>
        <v>0</v>
      </c>
      <c r="AF8" s="393">
        <v>757132456.65999997</v>
      </c>
      <c r="AG8" s="392">
        <v>18.87</v>
      </c>
      <c r="AH8" s="25">
        <f t="shared" si="14"/>
        <v>4.0548413773368944E-2</v>
      </c>
      <c r="AI8" s="25">
        <f t="shared" si="15"/>
        <v>0</v>
      </c>
      <c r="AJ8" s="26">
        <f t="shared" si="16"/>
        <v>1.1771174606063344E-2</v>
      </c>
      <c r="AK8" s="26">
        <f t="shared" si="17"/>
        <v>3.6123227917121124E-3</v>
      </c>
      <c r="AL8" s="27">
        <f t="shared" si="18"/>
        <v>9.9160354955289687E-2</v>
      </c>
      <c r="AM8" s="27">
        <f t="shared" si="19"/>
        <v>2.8898582333696899E-2</v>
      </c>
      <c r="AN8" s="28">
        <f t="shared" si="20"/>
        <v>1.8099883275100238E-2</v>
      </c>
      <c r="AO8" s="85">
        <f t="shared" si="21"/>
        <v>1.021719176741742E-2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95" customFormat="1">
      <c r="A9" s="217" t="s">
        <v>17</v>
      </c>
      <c r="B9" s="393">
        <v>388987783.64999998</v>
      </c>
      <c r="C9" s="392">
        <v>186.83760000000001</v>
      </c>
      <c r="D9" s="393">
        <v>390046997.77999997</v>
      </c>
      <c r="E9" s="392">
        <v>187.46289999999999</v>
      </c>
      <c r="F9" s="25">
        <f t="shared" si="0"/>
        <v>2.7230010157672348E-3</v>
      </c>
      <c r="G9" s="25">
        <f t="shared" si="1"/>
        <v>3.3467567555994161E-3</v>
      </c>
      <c r="H9" s="393">
        <v>395708886.68000001</v>
      </c>
      <c r="I9" s="392">
        <v>190.19450000000001</v>
      </c>
      <c r="J9" s="25">
        <f t="shared" si="2"/>
        <v>1.4515914574975237E-2</v>
      </c>
      <c r="K9" s="25">
        <f t="shared" si="3"/>
        <v>1.4571416530951002E-2</v>
      </c>
      <c r="L9" s="393">
        <v>403661214.39999998</v>
      </c>
      <c r="M9" s="392">
        <v>193.9871</v>
      </c>
      <c r="N9" s="25">
        <f t="shared" si="4"/>
        <v>2.0096409223255125E-2</v>
      </c>
      <c r="O9" s="25">
        <f t="shared" si="5"/>
        <v>1.9940639713556349E-2</v>
      </c>
      <c r="P9" s="393">
        <v>406789044.36000001</v>
      </c>
      <c r="Q9" s="392">
        <v>195.5378</v>
      </c>
      <c r="R9" s="25">
        <f t="shared" si="6"/>
        <v>7.7486512164643539E-3</v>
      </c>
      <c r="S9" s="25">
        <f t="shared" si="7"/>
        <v>7.9938305175963047E-3</v>
      </c>
      <c r="T9" s="393">
        <v>415007674.85000002</v>
      </c>
      <c r="U9" s="392">
        <v>199.46619999999999</v>
      </c>
      <c r="V9" s="25">
        <f t="shared" si="8"/>
        <v>2.0203667242146003E-2</v>
      </c>
      <c r="W9" s="25">
        <f t="shared" si="9"/>
        <v>2.0090233192763662E-2</v>
      </c>
      <c r="X9" s="393">
        <v>418418330.24000001</v>
      </c>
      <c r="Y9" s="392">
        <v>197.62690000000001</v>
      </c>
      <c r="Z9" s="25">
        <f t="shared" si="10"/>
        <v>8.2182947369171654E-3</v>
      </c>
      <c r="AA9" s="25">
        <f t="shared" si="11"/>
        <v>-9.2211111456476352E-3</v>
      </c>
      <c r="AB9" s="393">
        <v>419366385.54000002</v>
      </c>
      <c r="AC9" s="392">
        <v>195.83340000000001</v>
      </c>
      <c r="AD9" s="25">
        <f t="shared" si="12"/>
        <v>2.2658072830036347E-3</v>
      </c>
      <c r="AE9" s="25">
        <f t="shared" si="13"/>
        <v>-9.0751815668818087E-3</v>
      </c>
      <c r="AF9" s="393">
        <v>427697674.54000002</v>
      </c>
      <c r="AG9" s="392">
        <v>202.28809999999999</v>
      </c>
      <c r="AH9" s="25">
        <f t="shared" si="14"/>
        <v>1.9866372907480789E-2</v>
      </c>
      <c r="AI9" s="25">
        <f t="shared" si="15"/>
        <v>3.2960158992286166E-2</v>
      </c>
      <c r="AJ9" s="26">
        <f t="shared" si="16"/>
        <v>1.1954764775001193E-2</v>
      </c>
      <c r="AK9" s="26">
        <f t="shared" si="17"/>
        <v>1.0075842873777933E-2</v>
      </c>
      <c r="AL9" s="27">
        <f t="shared" si="18"/>
        <v>9.6528564440422474E-2</v>
      </c>
      <c r="AM9" s="27">
        <f t="shared" si="19"/>
        <v>7.9083381298379551E-2</v>
      </c>
      <c r="AN9" s="28">
        <f t="shared" si="20"/>
        <v>7.6926472944245762E-3</v>
      </c>
      <c r="AO9" s="85">
        <f t="shared" si="21"/>
        <v>1.4785387979168141E-2</v>
      </c>
      <c r="AP9" s="32"/>
      <c r="AQ9" s="35"/>
      <c r="AR9" s="36"/>
      <c r="AS9" s="31"/>
      <c r="AT9" s="31"/>
    </row>
    <row r="10" spans="1:49">
      <c r="A10" s="217" t="s">
        <v>81</v>
      </c>
      <c r="B10" s="392">
        <v>1763340829.9000001</v>
      </c>
      <c r="C10" s="343">
        <v>0.94720000000000004</v>
      </c>
      <c r="D10" s="392">
        <v>1779637640.5999999</v>
      </c>
      <c r="E10" s="343">
        <v>0.95569999999999999</v>
      </c>
      <c r="F10" s="25">
        <f t="shared" si="0"/>
        <v>9.2420083648400569E-3</v>
      </c>
      <c r="G10" s="25">
        <f t="shared" si="1"/>
        <v>8.9738175675675158E-3</v>
      </c>
      <c r="H10" s="392">
        <v>1790470935.05</v>
      </c>
      <c r="I10" s="343">
        <v>0.9617</v>
      </c>
      <c r="J10" s="25">
        <f t="shared" si="2"/>
        <v>6.0873596977571416E-3</v>
      </c>
      <c r="K10" s="25">
        <f t="shared" si="3"/>
        <v>6.2781207491890813E-3</v>
      </c>
      <c r="L10" s="392">
        <v>1819836853.3699999</v>
      </c>
      <c r="M10" s="343">
        <v>0.97719999999999996</v>
      </c>
      <c r="N10" s="25">
        <f t="shared" si="4"/>
        <v>1.6401225926172252E-2</v>
      </c>
      <c r="O10" s="25">
        <f t="shared" si="5"/>
        <v>1.6117292294894413E-2</v>
      </c>
      <c r="P10" s="392">
        <v>1839842932.3800001</v>
      </c>
      <c r="Q10" s="343">
        <v>0.98540000000000005</v>
      </c>
      <c r="R10" s="25">
        <f t="shared" si="6"/>
        <v>1.0993336558138542E-2</v>
      </c>
      <c r="S10" s="25">
        <f t="shared" si="7"/>
        <v>8.3913221449039063E-3</v>
      </c>
      <c r="T10" s="392">
        <v>1862618438.5699999</v>
      </c>
      <c r="U10" s="343">
        <v>0.99929999999999997</v>
      </c>
      <c r="V10" s="25">
        <f t="shared" si="8"/>
        <v>1.237904920532411E-2</v>
      </c>
      <c r="W10" s="25">
        <f t="shared" si="9"/>
        <v>1.4105946823624834E-2</v>
      </c>
      <c r="X10" s="392">
        <v>1870296414</v>
      </c>
      <c r="Y10" s="343">
        <v>1.0027999999999999</v>
      </c>
      <c r="Z10" s="25">
        <f t="shared" si="10"/>
        <v>4.1221407836458061E-3</v>
      </c>
      <c r="AA10" s="25">
        <f t="shared" si="11"/>
        <v>3.5024517162012886E-3</v>
      </c>
      <c r="AB10" s="392">
        <v>1947867404.49</v>
      </c>
      <c r="AC10" s="343">
        <v>1.0437000000000001</v>
      </c>
      <c r="AD10" s="25">
        <f t="shared" si="12"/>
        <v>4.1475238849492876E-2</v>
      </c>
      <c r="AE10" s="25">
        <f t="shared" si="13"/>
        <v>4.0785799760670288E-2</v>
      </c>
      <c r="AF10" s="392">
        <v>1976784489.8</v>
      </c>
      <c r="AG10" s="343">
        <v>1.0429999999999999</v>
      </c>
      <c r="AH10" s="25">
        <f t="shared" si="14"/>
        <v>1.4845510142704582E-2</v>
      </c>
      <c r="AI10" s="25">
        <f t="shared" si="15"/>
        <v>-6.7069081153602083E-4</v>
      </c>
      <c r="AJ10" s="26">
        <f t="shared" si="16"/>
        <v>1.444323369100942E-2</v>
      </c>
      <c r="AK10" s="26">
        <f t="shared" si="17"/>
        <v>1.2185507530689412E-2</v>
      </c>
      <c r="AL10" s="27">
        <f t="shared" si="18"/>
        <v>0.11077920847613255</v>
      </c>
      <c r="AM10" s="27">
        <f t="shared" si="19"/>
        <v>9.1346656900700984E-2</v>
      </c>
      <c r="AN10" s="28">
        <f t="shared" si="20"/>
        <v>1.167589607775832E-2</v>
      </c>
      <c r="AO10" s="85">
        <f t="shared" si="21"/>
        <v>1.2747039107122188E-2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17" t="s">
        <v>14</v>
      </c>
      <c r="B11" s="392">
        <v>2237634153.8400002</v>
      </c>
      <c r="C11" s="392">
        <v>21.989799999999999</v>
      </c>
      <c r="D11" s="392">
        <v>2257527479.2800002</v>
      </c>
      <c r="E11" s="392">
        <v>22.181999999999999</v>
      </c>
      <c r="F11" s="25">
        <f t="shared" si="0"/>
        <v>8.8903386667839139E-3</v>
      </c>
      <c r="G11" s="25">
        <f t="shared" si="1"/>
        <v>8.7404160110596592E-3</v>
      </c>
      <c r="H11" s="392">
        <v>2244369906.6999998</v>
      </c>
      <c r="I11" s="392">
        <v>22.037600000000001</v>
      </c>
      <c r="J11" s="25">
        <f t="shared" si="2"/>
        <v>-5.8283111504790113E-3</v>
      </c>
      <c r="K11" s="25">
        <f t="shared" si="3"/>
        <v>-6.5097827066990096E-3</v>
      </c>
      <c r="L11" s="392">
        <v>2325531316.7199998</v>
      </c>
      <c r="M11" s="392">
        <v>22.832100000000001</v>
      </c>
      <c r="N11" s="25">
        <f t="shared" si="4"/>
        <v>3.616222520971836E-2</v>
      </c>
      <c r="O11" s="25">
        <f t="shared" si="5"/>
        <v>3.6052020183686029E-2</v>
      </c>
      <c r="P11" s="392">
        <v>2330421381.0999999</v>
      </c>
      <c r="Q11" s="392">
        <v>22.8796</v>
      </c>
      <c r="R11" s="25">
        <f t="shared" si="6"/>
        <v>2.1027729641143727E-3</v>
      </c>
      <c r="S11" s="25">
        <f t="shared" si="7"/>
        <v>2.0804043430082833E-3</v>
      </c>
      <c r="T11" s="392">
        <v>2388390890.04</v>
      </c>
      <c r="U11" s="392">
        <v>23.455100000000002</v>
      </c>
      <c r="V11" s="25">
        <f t="shared" si="8"/>
        <v>2.4875118899156955E-2</v>
      </c>
      <c r="W11" s="25">
        <f t="shared" si="9"/>
        <v>2.5153411772933166E-2</v>
      </c>
      <c r="X11" s="392">
        <v>2381537464.98</v>
      </c>
      <c r="Y11" s="392">
        <v>23.3964</v>
      </c>
      <c r="Z11" s="25">
        <f t="shared" si="10"/>
        <v>-2.869473790316276E-3</v>
      </c>
      <c r="AA11" s="25">
        <f t="shared" si="11"/>
        <v>-2.5026540070177379E-3</v>
      </c>
      <c r="AB11" s="392">
        <v>2389196752.1700001</v>
      </c>
      <c r="AC11" s="392">
        <v>23.4833</v>
      </c>
      <c r="AD11" s="25">
        <f t="shared" si="12"/>
        <v>3.216110307995671E-3</v>
      </c>
      <c r="AE11" s="25">
        <f t="shared" si="13"/>
        <v>3.7142466362346336E-3</v>
      </c>
      <c r="AF11" s="392">
        <v>2447565095.3200002</v>
      </c>
      <c r="AG11" s="392">
        <v>24.052099999999999</v>
      </c>
      <c r="AH11" s="25">
        <f t="shared" si="14"/>
        <v>2.4430111541457081E-2</v>
      </c>
      <c r="AI11" s="25">
        <f t="shared" si="15"/>
        <v>2.4221468021956009E-2</v>
      </c>
      <c r="AJ11" s="26">
        <f t="shared" si="16"/>
        <v>1.1372361581053881E-2</v>
      </c>
      <c r="AK11" s="26">
        <f t="shared" si="17"/>
        <v>1.1368691281895129E-2</v>
      </c>
      <c r="AL11" s="27">
        <f t="shared" si="18"/>
        <v>8.417953614483098E-2</v>
      </c>
      <c r="AM11" s="27">
        <f t="shared" si="19"/>
        <v>8.4307095843476731E-2</v>
      </c>
      <c r="AN11" s="28">
        <f t="shared" si="20"/>
        <v>1.5234686882308163E-2</v>
      </c>
      <c r="AO11" s="85">
        <f t="shared" si="21"/>
        <v>1.5251715570466276E-2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17" t="s">
        <v>57</v>
      </c>
      <c r="B12" s="392">
        <v>353339606.16000003</v>
      </c>
      <c r="C12" s="392">
        <v>158.09</v>
      </c>
      <c r="D12" s="392">
        <v>355582772.64999998</v>
      </c>
      <c r="E12" s="392">
        <v>159.05000000000001</v>
      </c>
      <c r="F12" s="25">
        <f t="shared" si="0"/>
        <v>6.3484716994454179E-3</v>
      </c>
      <c r="G12" s="25">
        <f t="shared" si="1"/>
        <v>6.0724903535961028E-3</v>
      </c>
      <c r="H12" s="392">
        <v>353455738.45999998</v>
      </c>
      <c r="I12" s="392">
        <v>163.36000000000001</v>
      </c>
      <c r="J12" s="25">
        <f t="shared" si="2"/>
        <v>-5.9818257621092252E-3</v>
      </c>
      <c r="K12" s="25">
        <f t="shared" si="3"/>
        <v>2.7098396730587879E-2</v>
      </c>
      <c r="L12" s="392">
        <v>363506877.74000001</v>
      </c>
      <c r="M12" s="392">
        <v>168.01</v>
      </c>
      <c r="N12" s="25">
        <f t="shared" si="4"/>
        <v>2.8436769265064579E-2</v>
      </c>
      <c r="O12" s="25">
        <f t="shared" si="5"/>
        <v>2.8464740450538546E-2</v>
      </c>
      <c r="P12" s="392">
        <v>367745213.73000002</v>
      </c>
      <c r="Q12" s="392">
        <v>170.68</v>
      </c>
      <c r="R12" s="25">
        <f t="shared" si="6"/>
        <v>1.1659575786710421E-2</v>
      </c>
      <c r="S12" s="25">
        <f t="shared" si="7"/>
        <v>1.5891911195762252E-2</v>
      </c>
      <c r="T12" s="392">
        <v>376788984.97000003</v>
      </c>
      <c r="U12" s="392">
        <v>174.75</v>
      </c>
      <c r="V12" s="25">
        <f t="shared" si="8"/>
        <v>2.4592492036184545E-2</v>
      </c>
      <c r="W12" s="25">
        <f t="shared" si="9"/>
        <v>2.3845793297398599E-2</v>
      </c>
      <c r="X12" s="392">
        <v>376412180.94</v>
      </c>
      <c r="Y12" s="392">
        <v>174.61</v>
      </c>
      <c r="Z12" s="25">
        <f t="shared" si="10"/>
        <v>-1.0000399295909145E-3</v>
      </c>
      <c r="AA12" s="25">
        <f t="shared" si="11"/>
        <v>-8.0114449213153848E-4</v>
      </c>
      <c r="AB12" s="392">
        <v>382154034.18000001</v>
      </c>
      <c r="AC12" s="392">
        <v>177.02</v>
      </c>
      <c r="AD12" s="25">
        <f t="shared" si="12"/>
        <v>1.525416426657898E-2</v>
      </c>
      <c r="AE12" s="25">
        <f t="shared" si="13"/>
        <v>1.3802187732661338E-2</v>
      </c>
      <c r="AF12" s="392">
        <v>390977059.31</v>
      </c>
      <c r="AG12" s="392">
        <v>181.19</v>
      </c>
      <c r="AH12" s="25">
        <f t="shared" si="14"/>
        <v>2.3087614785833255E-2</v>
      </c>
      <c r="AI12" s="25">
        <f t="shared" si="15"/>
        <v>2.3556660264376833E-2</v>
      </c>
      <c r="AJ12" s="26">
        <f t="shared" si="16"/>
        <v>1.2799652768514632E-2</v>
      </c>
      <c r="AK12" s="26">
        <f t="shared" si="17"/>
        <v>1.7241379441598752E-2</v>
      </c>
      <c r="AL12" s="27">
        <f t="shared" si="18"/>
        <v>9.9538811726513576E-2</v>
      </c>
      <c r="AM12" s="27">
        <f t="shared" si="19"/>
        <v>0.13920150895944661</v>
      </c>
      <c r="AN12" s="28">
        <f t="shared" si="20"/>
        <v>1.2430091521054185E-2</v>
      </c>
      <c r="AO12" s="85">
        <f t="shared" si="21"/>
        <v>1.0491844002015019E-2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0"/>
      <c r="AV12" s="91"/>
      <c r="AW12" s="96"/>
    </row>
    <row r="13" spans="1:49" ht="12.75" customHeight="1">
      <c r="A13" s="217" t="s">
        <v>58</v>
      </c>
      <c r="B13" s="392">
        <v>272808863.30000001</v>
      </c>
      <c r="C13" s="392">
        <v>11.975027000000001</v>
      </c>
      <c r="D13" s="392">
        <v>271264932.87</v>
      </c>
      <c r="E13" s="392">
        <v>11.891500000000001</v>
      </c>
      <c r="F13" s="25">
        <f t="shared" si="0"/>
        <v>-5.6593851509222836E-3</v>
      </c>
      <c r="G13" s="25">
        <f t="shared" si="1"/>
        <v>-6.9750990958099826E-3</v>
      </c>
      <c r="H13" s="392">
        <v>280672383.68000001</v>
      </c>
      <c r="I13" s="392">
        <v>11.968</v>
      </c>
      <c r="J13" s="25">
        <f t="shared" si="2"/>
        <v>3.4679937102332331E-2</v>
      </c>
      <c r="K13" s="25">
        <f t="shared" si="3"/>
        <v>6.4331665475338973E-3</v>
      </c>
      <c r="L13" s="392">
        <v>287953769.39999998</v>
      </c>
      <c r="M13" s="392">
        <v>12.397724</v>
      </c>
      <c r="N13" s="25">
        <f t="shared" si="4"/>
        <v>2.5942651088543208E-2</v>
      </c>
      <c r="O13" s="25">
        <f t="shared" si="5"/>
        <v>3.5906082887700551E-2</v>
      </c>
      <c r="P13" s="392">
        <v>281244803.94</v>
      </c>
      <c r="Q13" s="392">
        <v>12.084092999999999</v>
      </c>
      <c r="R13" s="25">
        <f t="shared" si="6"/>
        <v>-2.3298758943073518E-2</v>
      </c>
      <c r="S13" s="25">
        <f t="shared" si="7"/>
        <v>-2.5297465889706924E-2</v>
      </c>
      <c r="T13" s="392">
        <v>300071225.00999999</v>
      </c>
      <c r="U13" s="392">
        <v>12.8742</v>
      </c>
      <c r="V13" s="25">
        <f t="shared" si="8"/>
        <v>6.6939622728163783E-2</v>
      </c>
      <c r="W13" s="25">
        <f t="shared" si="9"/>
        <v>6.538405488934923E-2</v>
      </c>
      <c r="X13" s="392">
        <v>295848146.80000001</v>
      </c>
      <c r="Y13" s="392">
        <v>12.6538</v>
      </c>
      <c r="Z13" s="25">
        <f t="shared" si="10"/>
        <v>-1.4073586062306517E-2</v>
      </c>
      <c r="AA13" s="25">
        <f t="shared" si="11"/>
        <v>-1.7119510338506446E-2</v>
      </c>
      <c r="AB13" s="392">
        <v>296476092.69999999</v>
      </c>
      <c r="AC13" s="392">
        <v>12.664999999999999</v>
      </c>
      <c r="AD13" s="25">
        <f t="shared" si="12"/>
        <v>2.1225277453722964E-3</v>
      </c>
      <c r="AE13" s="25">
        <f t="shared" si="13"/>
        <v>8.8510961134194996E-4</v>
      </c>
      <c r="AF13" s="392">
        <v>306310105.66000003</v>
      </c>
      <c r="AG13" s="392">
        <v>13.0718</v>
      </c>
      <c r="AH13" s="25">
        <f t="shared" si="14"/>
        <v>3.3169665960050741E-2</v>
      </c>
      <c r="AI13" s="25">
        <f t="shared" si="15"/>
        <v>3.2120015791551562E-2</v>
      </c>
      <c r="AJ13" s="26">
        <f t="shared" si="16"/>
        <v>1.4977834308520004E-2</v>
      </c>
      <c r="AK13" s="26">
        <f t="shared" si="17"/>
        <v>1.1417044300431729E-2</v>
      </c>
      <c r="AL13" s="27">
        <f t="shared" si="18"/>
        <v>0.12919168142826237</v>
      </c>
      <c r="AM13" s="27">
        <f t="shared" si="19"/>
        <v>9.9255770928814616E-2</v>
      </c>
      <c r="AN13" s="28">
        <f t="shared" si="20"/>
        <v>3.0330575347759917E-2</v>
      </c>
      <c r="AO13" s="85">
        <f t="shared" si="21"/>
        <v>3.0652630054991307E-2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18" t="s">
        <v>72</v>
      </c>
      <c r="B14" s="393">
        <v>322829112.05000001</v>
      </c>
      <c r="C14" s="392">
        <v>3143.36</v>
      </c>
      <c r="D14" s="393">
        <v>324663142.74000001</v>
      </c>
      <c r="E14" s="392">
        <v>3164.63</v>
      </c>
      <c r="F14" s="25">
        <f t="shared" si="0"/>
        <v>5.6811192719073665E-3</v>
      </c>
      <c r="G14" s="25">
        <f t="shared" si="1"/>
        <v>6.7666446095897325E-3</v>
      </c>
      <c r="H14" s="393">
        <v>329501009.56999999</v>
      </c>
      <c r="I14" s="392">
        <v>3220.74</v>
      </c>
      <c r="J14" s="25">
        <f t="shared" si="2"/>
        <v>1.4901188934385115E-2</v>
      </c>
      <c r="K14" s="25">
        <f t="shared" si="3"/>
        <v>1.7730350783503813E-2</v>
      </c>
      <c r="L14" s="393">
        <v>334547496.94999999</v>
      </c>
      <c r="M14" s="392">
        <v>3279.27</v>
      </c>
      <c r="N14" s="25">
        <f t="shared" si="4"/>
        <v>1.53155445155864E-2</v>
      </c>
      <c r="O14" s="25">
        <f t="shared" si="5"/>
        <v>1.8172842266063142E-2</v>
      </c>
      <c r="P14" s="393">
        <v>340821767.18000001</v>
      </c>
      <c r="Q14" s="392">
        <v>3316.04</v>
      </c>
      <c r="R14" s="25">
        <f t="shared" si="6"/>
        <v>1.8754497604080846E-2</v>
      </c>
      <c r="S14" s="25">
        <f t="shared" si="7"/>
        <v>1.1212861399030877E-2</v>
      </c>
      <c r="T14" s="393">
        <v>348349843.82999998</v>
      </c>
      <c r="U14" s="392">
        <v>3389.43</v>
      </c>
      <c r="V14" s="25">
        <f t="shared" si="8"/>
        <v>2.2088016009916799E-2</v>
      </c>
      <c r="W14" s="25">
        <f t="shared" si="9"/>
        <v>2.213181988154542E-2</v>
      </c>
      <c r="X14" s="393">
        <v>348763218.52999997</v>
      </c>
      <c r="Y14" s="392">
        <v>3393.73</v>
      </c>
      <c r="Z14" s="25">
        <f t="shared" si="10"/>
        <v>1.1866653805698883E-3</v>
      </c>
      <c r="AA14" s="25">
        <f t="shared" si="11"/>
        <v>1.2686498909846736E-3</v>
      </c>
      <c r="AB14" s="393">
        <v>354602282.91000003</v>
      </c>
      <c r="AC14" s="392">
        <v>3450.66</v>
      </c>
      <c r="AD14" s="25">
        <f t="shared" si="12"/>
        <v>1.674220235898468E-2</v>
      </c>
      <c r="AE14" s="25">
        <f t="shared" si="13"/>
        <v>1.6775052817990774E-2</v>
      </c>
      <c r="AF14" s="393">
        <v>363128838.67000002</v>
      </c>
      <c r="AG14" s="392">
        <v>3533.76</v>
      </c>
      <c r="AH14" s="25">
        <f t="shared" si="14"/>
        <v>2.4045405714897997E-2</v>
      </c>
      <c r="AI14" s="25">
        <f t="shared" si="15"/>
        <v>2.4082349463580986E-2</v>
      </c>
      <c r="AJ14" s="26">
        <f t="shared" si="16"/>
        <v>1.4839329973791136E-2</v>
      </c>
      <c r="AK14" s="26">
        <f t="shared" si="17"/>
        <v>1.4767571389036177E-2</v>
      </c>
      <c r="AL14" s="27">
        <f t="shared" si="18"/>
        <v>0.11847878883130411</v>
      </c>
      <c r="AM14" s="27">
        <f t="shared" si="19"/>
        <v>0.11664238789368744</v>
      </c>
      <c r="AN14" s="28">
        <f t="shared" si="20"/>
        <v>7.8079027846776443E-3</v>
      </c>
      <c r="AO14" s="85">
        <f t="shared" si="21"/>
        <v>7.7852684481187848E-3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95" customFormat="1" ht="12.75" customHeight="1">
      <c r="A15" s="217" t="s">
        <v>87</v>
      </c>
      <c r="B15" s="393">
        <v>253719374.28999999</v>
      </c>
      <c r="C15" s="392">
        <v>142.97</v>
      </c>
      <c r="D15" s="393">
        <v>248144549.81999999</v>
      </c>
      <c r="E15" s="392">
        <v>142.97</v>
      </c>
      <c r="F15" s="25">
        <f t="shared" si="0"/>
        <v>-2.1972403509193595E-2</v>
      </c>
      <c r="G15" s="25">
        <f t="shared" si="1"/>
        <v>0</v>
      </c>
      <c r="H15" s="393">
        <v>259900593.13999999</v>
      </c>
      <c r="I15" s="392">
        <v>142.97</v>
      </c>
      <c r="J15" s="25">
        <f t="shared" si="2"/>
        <v>4.7375786929544229E-2</v>
      </c>
      <c r="K15" s="25">
        <f t="shared" si="3"/>
        <v>0</v>
      </c>
      <c r="L15" s="393">
        <v>245931683.28</v>
      </c>
      <c r="M15" s="392">
        <v>142.97</v>
      </c>
      <c r="N15" s="25">
        <f t="shared" si="4"/>
        <v>-5.3747125742323286E-2</v>
      </c>
      <c r="O15" s="25">
        <f t="shared" si="5"/>
        <v>0</v>
      </c>
      <c r="P15" s="393">
        <v>246914907.66999999</v>
      </c>
      <c r="Q15" s="392">
        <v>142.97</v>
      </c>
      <c r="R15" s="25">
        <f t="shared" si="6"/>
        <v>3.9979573875422864E-3</v>
      </c>
      <c r="S15" s="25">
        <f t="shared" si="7"/>
        <v>0</v>
      </c>
      <c r="T15" s="393">
        <v>267828509.25</v>
      </c>
      <c r="U15" s="392">
        <v>142.97</v>
      </c>
      <c r="V15" s="25">
        <f t="shared" si="8"/>
        <v>8.4699631048405111E-2</v>
      </c>
      <c r="W15" s="25">
        <f t="shared" si="9"/>
        <v>0</v>
      </c>
      <c r="X15" s="393">
        <v>262792359.38999999</v>
      </c>
      <c r="Y15" s="392">
        <v>142.97</v>
      </c>
      <c r="Z15" s="25">
        <f t="shared" si="10"/>
        <v>-1.8803636230148694E-2</v>
      </c>
      <c r="AA15" s="25">
        <f t="shared" si="11"/>
        <v>0</v>
      </c>
      <c r="AB15" s="393">
        <v>265833314.18000001</v>
      </c>
      <c r="AC15" s="392">
        <v>142.97</v>
      </c>
      <c r="AD15" s="25">
        <f t="shared" si="12"/>
        <v>1.1571701692768997E-2</v>
      </c>
      <c r="AE15" s="25">
        <f t="shared" si="13"/>
        <v>0</v>
      </c>
      <c r="AF15" s="393">
        <v>277239452.17000002</v>
      </c>
      <c r="AG15" s="392">
        <v>142.97</v>
      </c>
      <c r="AH15" s="25">
        <f t="shared" si="14"/>
        <v>4.2907105248203507E-2</v>
      </c>
      <c r="AI15" s="25">
        <f t="shared" si="15"/>
        <v>0</v>
      </c>
      <c r="AJ15" s="26">
        <f t="shared" si="16"/>
        <v>1.200362710309982E-2</v>
      </c>
      <c r="AK15" s="26">
        <f t="shared" si="17"/>
        <v>0</v>
      </c>
      <c r="AL15" s="27">
        <f t="shared" si="18"/>
        <v>0.11724981415511641</v>
      </c>
      <c r="AM15" s="27">
        <f t="shared" si="19"/>
        <v>0</v>
      </c>
      <c r="AN15" s="28">
        <f t="shared" si="20"/>
        <v>4.4692314102753872E-2</v>
      </c>
      <c r="AO15" s="85">
        <f t="shared" si="21"/>
        <v>0</v>
      </c>
      <c r="AP15" s="32"/>
      <c r="AQ15" s="30"/>
      <c r="AR15" s="30"/>
      <c r="AS15" s="31"/>
      <c r="AT15" s="31"/>
    </row>
    <row r="16" spans="1:49" s="95" customFormat="1" ht="12.75" customHeight="1">
      <c r="A16" s="217" t="s">
        <v>132</v>
      </c>
      <c r="B16" s="393">
        <v>300983411</v>
      </c>
      <c r="C16" s="392">
        <v>1.2</v>
      </c>
      <c r="D16" s="393">
        <v>302992281.41000003</v>
      </c>
      <c r="E16" s="392">
        <v>1.21</v>
      </c>
      <c r="F16" s="25">
        <f t="shared" si="0"/>
        <v>6.6743559165791571E-3</v>
      </c>
      <c r="G16" s="25">
        <f t="shared" si="1"/>
        <v>8.3333333333333419E-3</v>
      </c>
      <c r="H16" s="393">
        <v>302992281.41000003</v>
      </c>
      <c r="I16" s="392">
        <v>1.21</v>
      </c>
      <c r="J16" s="25">
        <f t="shared" si="2"/>
        <v>0</v>
      </c>
      <c r="K16" s="25">
        <f t="shared" si="3"/>
        <v>0</v>
      </c>
      <c r="L16" s="393">
        <v>321808521.13999999</v>
      </c>
      <c r="M16" s="392">
        <v>1.28</v>
      </c>
      <c r="N16" s="25">
        <f t="shared" si="4"/>
        <v>6.2101383053182108E-2</v>
      </c>
      <c r="O16" s="25">
        <f t="shared" si="5"/>
        <v>5.7851239669421538E-2</v>
      </c>
      <c r="P16" s="393">
        <v>324173786.19</v>
      </c>
      <c r="Q16" s="392">
        <v>1.29</v>
      </c>
      <c r="R16" s="25">
        <f t="shared" si="6"/>
        <v>7.3499142956846191E-3</v>
      </c>
      <c r="S16" s="25">
        <f t="shared" si="7"/>
        <v>7.8125000000000069E-3</v>
      </c>
      <c r="T16" s="393">
        <v>324479426.48000002</v>
      </c>
      <c r="U16" s="392">
        <v>1.29</v>
      </c>
      <c r="V16" s="25">
        <f t="shared" si="8"/>
        <v>9.4282851674158512E-4</v>
      </c>
      <c r="W16" s="25">
        <f t="shared" si="9"/>
        <v>0</v>
      </c>
      <c r="X16" s="393">
        <v>328427943.86000001</v>
      </c>
      <c r="Y16" s="392">
        <v>1.3</v>
      </c>
      <c r="Z16" s="25">
        <f t="shared" si="10"/>
        <v>1.2168775761329726E-2</v>
      </c>
      <c r="AA16" s="25">
        <f t="shared" si="11"/>
        <v>7.7519379844961309E-3</v>
      </c>
      <c r="AB16" s="393">
        <v>328100755.11000001</v>
      </c>
      <c r="AC16" s="392">
        <v>1.3</v>
      </c>
      <c r="AD16" s="25">
        <f t="shared" si="12"/>
        <v>-9.9622689273806664E-4</v>
      </c>
      <c r="AE16" s="25">
        <f t="shared" si="13"/>
        <v>0</v>
      </c>
      <c r="AF16" s="393">
        <v>347540583.73000002</v>
      </c>
      <c r="AG16" s="392">
        <v>1.32</v>
      </c>
      <c r="AH16" s="25">
        <f t="shared" si="14"/>
        <v>5.9249569887404104E-2</v>
      </c>
      <c r="AI16" s="25">
        <f t="shared" si="15"/>
        <v>1.5384615384615398E-2</v>
      </c>
      <c r="AJ16" s="26">
        <f t="shared" si="16"/>
        <v>1.8436325067272902E-2</v>
      </c>
      <c r="AK16" s="26">
        <f t="shared" si="17"/>
        <v>1.2141703296483302E-2</v>
      </c>
      <c r="AL16" s="27">
        <f t="shared" si="18"/>
        <v>0.14702784543781355</v>
      </c>
      <c r="AM16" s="27">
        <f t="shared" si="19"/>
        <v>9.0909090909090995E-2</v>
      </c>
      <c r="AN16" s="28">
        <f t="shared" si="20"/>
        <v>2.6447893292525216E-2</v>
      </c>
      <c r="AO16" s="85">
        <f t="shared" si="21"/>
        <v>1.9252668807624895E-2</v>
      </c>
      <c r="AP16" s="32"/>
      <c r="AQ16" s="30"/>
      <c r="AR16" s="30"/>
      <c r="AS16" s="31"/>
      <c r="AT16" s="31"/>
    </row>
    <row r="17" spans="1:46" s="95" customFormat="1" ht="12.75" customHeight="1">
      <c r="A17" s="217" t="s">
        <v>135</v>
      </c>
      <c r="B17" s="392">
        <v>272868511.66000003</v>
      </c>
      <c r="C17" s="392">
        <v>1.4084030000000001</v>
      </c>
      <c r="D17" s="392">
        <v>277920493.36000001</v>
      </c>
      <c r="E17" s="392">
        <v>1.425962</v>
      </c>
      <c r="F17" s="25">
        <f t="shared" si="0"/>
        <v>1.8514344763586592E-2</v>
      </c>
      <c r="G17" s="25">
        <f t="shared" si="1"/>
        <v>1.2467312267866426E-2</v>
      </c>
      <c r="H17" s="392">
        <v>277920493.36000001</v>
      </c>
      <c r="I17" s="392">
        <v>1.425962</v>
      </c>
      <c r="J17" s="25">
        <f t="shared" si="2"/>
        <v>0</v>
      </c>
      <c r="K17" s="25">
        <f t="shared" si="3"/>
        <v>0</v>
      </c>
      <c r="L17" s="392">
        <v>287784706.77999997</v>
      </c>
      <c r="M17" s="392">
        <v>1.48553</v>
      </c>
      <c r="N17" s="25">
        <f t="shared" si="4"/>
        <v>3.5492932891503258E-2</v>
      </c>
      <c r="O17" s="25">
        <f t="shared" si="5"/>
        <v>4.1773904213436311E-2</v>
      </c>
      <c r="P17" s="392">
        <v>288980058.06</v>
      </c>
      <c r="Q17" s="392">
        <v>1.492032</v>
      </c>
      <c r="R17" s="25">
        <f t="shared" si="6"/>
        <v>4.1536303070956087E-3</v>
      </c>
      <c r="S17" s="25">
        <f t="shared" si="7"/>
        <v>4.3768890564310431E-3</v>
      </c>
      <c r="T17" s="392">
        <v>296363775.56999999</v>
      </c>
      <c r="U17" s="392">
        <v>1.529998</v>
      </c>
      <c r="V17" s="25">
        <f t="shared" si="8"/>
        <v>2.5550958635584927E-2</v>
      </c>
      <c r="W17" s="25">
        <f t="shared" si="9"/>
        <v>2.5445834941877885E-2</v>
      </c>
      <c r="X17" s="392">
        <v>291030996.87</v>
      </c>
      <c r="Y17" s="392">
        <v>1.5054510000000001</v>
      </c>
      <c r="Z17" s="25">
        <f t="shared" si="10"/>
        <v>-1.7994030106221286E-2</v>
      </c>
      <c r="AA17" s="25">
        <f t="shared" si="11"/>
        <v>-1.6043811821976155E-2</v>
      </c>
      <c r="AB17" s="392">
        <v>292251055.42000002</v>
      </c>
      <c r="AC17" s="392">
        <v>1.512087</v>
      </c>
      <c r="AD17" s="25">
        <f t="shared" si="12"/>
        <v>4.1921945192147257E-3</v>
      </c>
      <c r="AE17" s="25">
        <f t="shared" si="13"/>
        <v>4.4079813956082684E-3</v>
      </c>
      <c r="AF17" s="392">
        <v>295718639.97000003</v>
      </c>
      <c r="AG17" s="392">
        <v>1.530152</v>
      </c>
      <c r="AH17" s="25">
        <f t="shared" si="14"/>
        <v>1.1865088203074834E-2</v>
      </c>
      <c r="AI17" s="25">
        <f t="shared" si="15"/>
        <v>1.1947063892487666E-2</v>
      </c>
      <c r="AJ17" s="26">
        <f t="shared" si="16"/>
        <v>1.0221889901729831E-2</v>
      </c>
      <c r="AK17" s="26">
        <f t="shared" si="17"/>
        <v>1.0546896743216429E-2</v>
      </c>
      <c r="AL17" s="27">
        <f t="shared" si="18"/>
        <v>6.4040425356274328E-2</v>
      </c>
      <c r="AM17" s="27">
        <f t="shared" si="19"/>
        <v>7.3066463201684195E-2</v>
      </c>
      <c r="AN17" s="28">
        <f t="shared" si="20"/>
        <v>1.6556729517905929E-2</v>
      </c>
      <c r="AO17" s="85">
        <f t="shared" si="21"/>
        <v>1.7307351486072049E-2</v>
      </c>
      <c r="AP17" s="32"/>
      <c r="AQ17" s="30"/>
      <c r="AR17" s="30"/>
      <c r="AS17" s="31"/>
      <c r="AT17" s="31"/>
    </row>
    <row r="18" spans="1:46" s="119" customFormat="1" ht="12.75" customHeight="1">
      <c r="A18" s="217" t="s">
        <v>146</v>
      </c>
      <c r="B18" s="392">
        <v>419967145.12</v>
      </c>
      <c r="C18" s="392">
        <v>141.44220000000001</v>
      </c>
      <c r="D18" s="392">
        <v>424462950.87</v>
      </c>
      <c r="E18" s="392">
        <v>141.44220000000001</v>
      </c>
      <c r="F18" s="25">
        <f t="shared" si="0"/>
        <v>1.0705136823775545E-2</v>
      </c>
      <c r="G18" s="25">
        <f t="shared" si="1"/>
        <v>0</v>
      </c>
      <c r="H18" s="392">
        <v>433172336.24000001</v>
      </c>
      <c r="I18" s="392">
        <v>145.96250000000001</v>
      </c>
      <c r="J18" s="25">
        <f t="shared" si="2"/>
        <v>2.0518599684963841E-2</v>
      </c>
      <c r="K18" s="25">
        <f t="shared" si="3"/>
        <v>3.1958637521192344E-2</v>
      </c>
      <c r="L18" s="392">
        <v>440357191.55000001</v>
      </c>
      <c r="M18" s="392">
        <v>147.07820000000001</v>
      </c>
      <c r="N18" s="25">
        <f t="shared" si="4"/>
        <v>1.6586597778532233E-2</v>
      </c>
      <c r="O18" s="25">
        <f t="shared" si="5"/>
        <v>7.6437441123576528E-3</v>
      </c>
      <c r="P18" s="392">
        <v>447115052.45999998</v>
      </c>
      <c r="Q18" s="392">
        <v>150.6687</v>
      </c>
      <c r="R18" s="25">
        <f t="shared" si="6"/>
        <v>1.5346316671275824E-2</v>
      </c>
      <c r="S18" s="25">
        <f t="shared" si="7"/>
        <v>2.4412183450708475E-2</v>
      </c>
      <c r="T18" s="392">
        <v>458622167.95999998</v>
      </c>
      <c r="U18" s="392">
        <v>154.6</v>
      </c>
      <c r="V18" s="25">
        <f t="shared" si="8"/>
        <v>2.5736363463248545E-2</v>
      </c>
      <c r="W18" s="25">
        <f t="shared" si="9"/>
        <v>2.6092346983812784E-2</v>
      </c>
      <c r="X18" s="392">
        <v>451963548.25999999</v>
      </c>
      <c r="Y18" s="392">
        <v>152.4093</v>
      </c>
      <c r="Z18" s="25">
        <f t="shared" si="10"/>
        <v>-1.4518748035268845E-2</v>
      </c>
      <c r="AA18" s="25">
        <f t="shared" si="11"/>
        <v>-1.4170116429495425E-2</v>
      </c>
      <c r="AB18" s="392">
        <v>454097186.88</v>
      </c>
      <c r="AC18" s="392">
        <v>153.11070000000001</v>
      </c>
      <c r="AD18" s="25">
        <f t="shared" si="12"/>
        <v>4.720820137407611E-3</v>
      </c>
      <c r="AE18" s="25">
        <f t="shared" si="13"/>
        <v>4.602081369050358E-3</v>
      </c>
      <c r="AF18" s="392">
        <v>461533123.02999997</v>
      </c>
      <c r="AG18" s="392">
        <v>155.60910000000001</v>
      </c>
      <c r="AH18" s="25">
        <f t="shared" si="14"/>
        <v>1.6375208578345589E-2</v>
      </c>
      <c r="AI18" s="25">
        <f t="shared" si="15"/>
        <v>1.6317605497199107E-2</v>
      </c>
      <c r="AJ18" s="26">
        <f t="shared" si="16"/>
        <v>1.1933786887785045E-2</v>
      </c>
      <c r="AK18" s="26">
        <f t="shared" si="17"/>
        <v>1.2107060313103161E-2</v>
      </c>
      <c r="AL18" s="27">
        <f t="shared" si="18"/>
        <v>8.7334294039136118E-2</v>
      </c>
      <c r="AM18" s="27">
        <f t="shared" si="19"/>
        <v>0.10016034818462946</v>
      </c>
      <c r="AN18" s="28">
        <f t="shared" si="20"/>
        <v>1.2366449082688056E-2</v>
      </c>
      <c r="AO18" s="85">
        <f t="shared" si="21"/>
        <v>1.5455627428845608E-2</v>
      </c>
      <c r="AP18" s="32"/>
      <c r="AQ18" s="30"/>
      <c r="AR18" s="30"/>
      <c r="AS18" s="31"/>
      <c r="AT18" s="31"/>
    </row>
    <row r="19" spans="1:46" s="330" customFormat="1" ht="12.75" customHeight="1">
      <c r="A19" s="217" t="s">
        <v>237</v>
      </c>
      <c r="B19" s="78">
        <v>24106251.329999998</v>
      </c>
      <c r="C19" s="392">
        <v>96.98</v>
      </c>
      <c r="D19" s="78">
        <v>24603353.420000002</v>
      </c>
      <c r="E19" s="392">
        <v>98.99</v>
      </c>
      <c r="F19" s="25">
        <f t="shared" si="0"/>
        <v>2.0621293754677021E-2</v>
      </c>
      <c r="G19" s="25">
        <f t="shared" si="1"/>
        <v>2.0725922870694895E-2</v>
      </c>
      <c r="H19" s="78">
        <v>24949173.18</v>
      </c>
      <c r="I19" s="392">
        <v>100.39</v>
      </c>
      <c r="J19" s="25">
        <f t="shared" si="2"/>
        <v>1.4055797764498312E-2</v>
      </c>
      <c r="K19" s="25">
        <f t="shared" si="3"/>
        <v>1.4142842711385047E-2</v>
      </c>
      <c r="L19" s="78">
        <v>24836903.800000001</v>
      </c>
      <c r="M19" s="392">
        <v>100</v>
      </c>
      <c r="N19" s="25">
        <f t="shared" si="4"/>
        <v>-4.4999238728278754E-3</v>
      </c>
      <c r="O19" s="25">
        <f t="shared" si="5"/>
        <v>-3.8848490885546425E-3</v>
      </c>
      <c r="P19" s="78">
        <v>25492858.550000001</v>
      </c>
      <c r="Q19" s="392">
        <v>102.65</v>
      </c>
      <c r="R19" s="25">
        <f t="shared" si="6"/>
        <v>2.6410488009379011E-2</v>
      </c>
      <c r="S19" s="25">
        <f t="shared" si="7"/>
        <v>2.6500000000000058E-2</v>
      </c>
      <c r="T19" s="78">
        <v>26308210</v>
      </c>
      <c r="U19" s="392">
        <v>105.94</v>
      </c>
      <c r="V19" s="25">
        <f t="shared" si="8"/>
        <v>3.1983523872021767E-2</v>
      </c>
      <c r="W19" s="25">
        <f t="shared" si="9"/>
        <v>3.2050657574281459E-2</v>
      </c>
      <c r="X19" s="78">
        <v>25781498.579999998</v>
      </c>
      <c r="Y19" s="392">
        <v>103.82</v>
      </c>
      <c r="Z19" s="25">
        <f t="shared" si="10"/>
        <v>-2.0020800350917137E-2</v>
      </c>
      <c r="AA19" s="25">
        <f t="shared" si="11"/>
        <v>-2.0011327166320602E-2</v>
      </c>
      <c r="AB19" s="78">
        <v>25899730.210000001</v>
      </c>
      <c r="AC19" s="392">
        <v>104.29</v>
      </c>
      <c r="AD19" s="25">
        <f t="shared" si="12"/>
        <v>4.5859099164903038E-3</v>
      </c>
      <c r="AE19" s="25">
        <f t="shared" si="13"/>
        <v>4.5270660759007238E-3</v>
      </c>
      <c r="AF19" s="78">
        <v>26283144.050000001</v>
      </c>
      <c r="AG19" s="392">
        <v>105.84</v>
      </c>
      <c r="AH19" s="25">
        <f t="shared" si="14"/>
        <v>1.4803777371084818E-2</v>
      </c>
      <c r="AI19" s="25">
        <f t="shared" si="15"/>
        <v>1.4862402914948673E-2</v>
      </c>
      <c r="AJ19" s="26">
        <f t="shared" si="16"/>
        <v>1.0992508308050777E-2</v>
      </c>
      <c r="AK19" s="26">
        <f t="shared" si="17"/>
        <v>1.1114089486541951E-2</v>
      </c>
      <c r="AL19" s="27">
        <f t="shared" si="18"/>
        <v>6.8274864865961793E-2</v>
      </c>
      <c r="AM19" s="27">
        <f t="shared" si="19"/>
        <v>6.9198908980705215E-2</v>
      </c>
      <c r="AN19" s="28">
        <f t="shared" si="20"/>
        <v>1.70622604750355E-2</v>
      </c>
      <c r="AO19" s="85">
        <f t="shared" si="21"/>
        <v>1.7020262142878544E-2</v>
      </c>
      <c r="AP19" s="32"/>
      <c r="AQ19" s="30"/>
      <c r="AR19" s="30"/>
      <c r="AS19" s="31"/>
      <c r="AT19" s="31"/>
    </row>
    <row r="20" spans="1:46">
      <c r="A20" s="217" t="s">
        <v>269</v>
      </c>
      <c r="B20" s="78"/>
      <c r="C20" s="392"/>
      <c r="D20" s="78"/>
      <c r="E20" s="392"/>
      <c r="F20" s="25" t="e">
        <f t="shared" si="0"/>
        <v>#DIV/0!</v>
      </c>
      <c r="G20" s="25" t="e">
        <f t="shared" si="1"/>
        <v>#DIV/0!</v>
      </c>
      <c r="H20" s="78">
        <v>54762708.909999996</v>
      </c>
      <c r="I20" s="392">
        <v>104.7247</v>
      </c>
      <c r="J20" s="25" t="e">
        <f t="shared" si="2"/>
        <v>#DIV/0!</v>
      </c>
      <c r="K20" s="25" t="e">
        <f t="shared" si="3"/>
        <v>#DIV/0!</v>
      </c>
      <c r="L20" s="78">
        <v>55037121.18</v>
      </c>
      <c r="M20" s="392">
        <v>105.251</v>
      </c>
      <c r="N20" s="25">
        <f t="shared" si="4"/>
        <v>5.0109330868015915E-3</v>
      </c>
      <c r="O20" s="25">
        <f t="shared" si="5"/>
        <v>5.0255574854834268E-3</v>
      </c>
      <c r="P20" s="78">
        <v>55347660.939999998</v>
      </c>
      <c r="Q20" s="392">
        <v>105.8466</v>
      </c>
      <c r="R20" s="25">
        <f t="shared" si="6"/>
        <v>5.6423692471917536E-3</v>
      </c>
      <c r="S20" s="25">
        <f t="shared" si="7"/>
        <v>5.6588535975904295E-3</v>
      </c>
      <c r="T20" s="78">
        <v>55656675.189999998</v>
      </c>
      <c r="U20" s="392">
        <v>106.4397</v>
      </c>
      <c r="V20" s="25">
        <f t="shared" si="8"/>
        <v>5.5831492198918573E-3</v>
      </c>
      <c r="W20" s="25">
        <f t="shared" si="9"/>
        <v>5.6033920787253149E-3</v>
      </c>
      <c r="X20" s="78">
        <v>55989201.640000001</v>
      </c>
      <c r="Y20" s="392">
        <v>107.0583</v>
      </c>
      <c r="Z20" s="25">
        <f t="shared" si="10"/>
        <v>5.9746014088126664E-3</v>
      </c>
      <c r="AA20" s="25">
        <f t="shared" si="11"/>
        <v>5.8117412957759251E-3</v>
      </c>
      <c r="AB20" s="78">
        <v>55990271.119999997</v>
      </c>
      <c r="AC20" s="392">
        <v>107.05970000000001</v>
      </c>
      <c r="AD20" s="25">
        <f t="shared" si="12"/>
        <v>1.9101540451912074E-5</v>
      </c>
      <c r="AE20" s="25">
        <f t="shared" si="13"/>
        <v>1.3076987024862553E-5</v>
      </c>
      <c r="AF20" s="78">
        <v>56913703.579999998</v>
      </c>
      <c r="AG20" s="392">
        <v>108.9726</v>
      </c>
      <c r="AH20" s="25">
        <f t="shared" si="14"/>
        <v>1.6492730639236827E-2</v>
      </c>
      <c r="AI20" s="25">
        <f t="shared" si="15"/>
        <v>1.7867600974035919E-2</v>
      </c>
      <c r="AJ20" s="26" t="e">
        <f t="shared" si="16"/>
        <v>#DIV/0!</v>
      </c>
      <c r="AK20" s="26" t="e">
        <f t="shared" si="17"/>
        <v>#DIV/0!</v>
      </c>
      <c r="AL20" s="27" t="e">
        <f t="shared" si="18"/>
        <v>#DIV/0!</v>
      </c>
      <c r="AM20" s="27" t="e">
        <f t="shared" si="19"/>
        <v>#DIV/0!</v>
      </c>
      <c r="AN20" s="28" t="e">
        <f t="shared" si="20"/>
        <v>#DIV/0!</v>
      </c>
      <c r="AO20" s="85" t="e">
        <f t="shared" si="21"/>
        <v>#DIV/0!</v>
      </c>
      <c r="AP20" s="32"/>
      <c r="AQ20" s="41">
        <v>100020653.31</v>
      </c>
      <c r="AR20" s="30">
        <v>100</v>
      </c>
      <c r="AS20" s="31" t="e">
        <f>(#REF!/AQ20)-1</f>
        <v>#REF!</v>
      </c>
      <c r="AT20" s="31" t="e">
        <f>(#REF!/AR20)-1</f>
        <v>#REF!</v>
      </c>
    </row>
    <row r="21" spans="1:46">
      <c r="A21" s="219" t="s">
        <v>46</v>
      </c>
      <c r="B21" s="73">
        <f>SUM(B5:B20)</f>
        <v>15444795301.529999</v>
      </c>
      <c r="C21" s="94"/>
      <c r="D21" s="73">
        <f>SUM(D5:D20)</f>
        <v>15526960302.890003</v>
      </c>
      <c r="E21" s="94"/>
      <c r="F21" s="25">
        <f>((D21-B21)/B21)</f>
        <v>5.3199152048240455E-3</v>
      </c>
      <c r="G21" s="25"/>
      <c r="H21" s="73">
        <f>SUM(H5:H20)</f>
        <v>15749133335.319998</v>
      </c>
      <c r="I21" s="94"/>
      <c r="J21" s="25">
        <f>((H21-D21)/D21)</f>
        <v>1.4308855570954345E-2</v>
      </c>
      <c r="K21" s="25"/>
      <c r="L21" s="73">
        <f>SUM(L5:L20)</f>
        <v>16107237306.709997</v>
      </c>
      <c r="M21" s="94"/>
      <c r="N21" s="25">
        <f>((L21-H21)/H21)</f>
        <v>2.2738011277540771E-2</v>
      </c>
      <c r="O21" s="25"/>
      <c r="P21" s="73">
        <f>SUM(P5:P20)</f>
        <v>16254149306.32</v>
      </c>
      <c r="Q21" s="94"/>
      <c r="R21" s="25">
        <f>((P21-L21)/L21)</f>
        <v>9.1208688872300592E-3</v>
      </c>
      <c r="S21" s="25"/>
      <c r="T21" s="73">
        <f>SUM(T5:T20)</f>
        <v>16656064177.77</v>
      </c>
      <c r="U21" s="94"/>
      <c r="V21" s="25">
        <f>((T21-P21)/P21)</f>
        <v>2.4726909041848575E-2</v>
      </c>
      <c r="W21" s="25"/>
      <c r="X21" s="73">
        <f>SUM(X5:X20)</f>
        <v>16651193594.34</v>
      </c>
      <c r="Y21" s="94"/>
      <c r="Z21" s="25">
        <f>((X21-T21)/T21)</f>
        <v>-2.9242102924296033E-4</v>
      </c>
      <c r="AA21" s="25"/>
      <c r="AB21" s="73">
        <f>SUM(AB5:AB20)</f>
        <v>16797381909.850002</v>
      </c>
      <c r="AC21" s="94"/>
      <c r="AD21" s="25">
        <f>((AB21-X21)/X21)</f>
        <v>8.7794496341507804E-3</v>
      </c>
      <c r="AE21" s="25"/>
      <c r="AF21" s="73">
        <f>SUM(AF5:AF20)</f>
        <v>17133825597.439997</v>
      </c>
      <c r="AG21" s="94"/>
      <c r="AH21" s="25">
        <f>((AF21-AB21)/AB21)</f>
        <v>2.0029531351710442E-2</v>
      </c>
      <c r="AI21" s="25"/>
      <c r="AJ21" s="26">
        <f t="shared" si="16"/>
        <v>1.3091389992377007E-2</v>
      </c>
      <c r="AK21" s="26"/>
      <c r="AL21" s="27">
        <f t="shared" si="18"/>
        <v>0.10348872304715757</v>
      </c>
      <c r="AM21" s="27"/>
      <c r="AN21" s="28">
        <f t="shared" si="20"/>
        <v>8.8796936808687998E-3</v>
      </c>
      <c r="AO21" s="85"/>
      <c r="AP21" s="32"/>
      <c r="AQ21" s="42">
        <f>SUM(AQ5:AQ20)</f>
        <v>13501614037.429998</v>
      </c>
      <c r="AR21" s="43"/>
      <c r="AS21" s="31" t="e">
        <f>(#REF!/AQ21)-1</f>
        <v>#REF!</v>
      </c>
      <c r="AT21" s="31" t="e">
        <f>(#REF!/AR21)-1</f>
        <v>#REF!</v>
      </c>
    </row>
    <row r="22" spans="1:46" s="119" customFormat="1" ht="6" customHeight="1">
      <c r="A22" s="219"/>
      <c r="B22" s="94"/>
      <c r="C22" s="94"/>
      <c r="D22" s="94"/>
      <c r="E22" s="94"/>
      <c r="F22" s="25"/>
      <c r="G22" s="25"/>
      <c r="H22" s="94"/>
      <c r="I22" s="94"/>
      <c r="J22" s="25"/>
      <c r="K22" s="25"/>
      <c r="L22" s="94"/>
      <c r="M22" s="94"/>
      <c r="N22" s="25"/>
      <c r="O22" s="25"/>
      <c r="P22" s="94"/>
      <c r="Q22" s="94"/>
      <c r="R22" s="25"/>
      <c r="S22" s="25"/>
      <c r="T22" s="94"/>
      <c r="U22" s="94"/>
      <c r="V22" s="25"/>
      <c r="W22" s="25"/>
      <c r="X22" s="94"/>
      <c r="Y22" s="94"/>
      <c r="Z22" s="25"/>
      <c r="AA22" s="25"/>
      <c r="AB22" s="94"/>
      <c r="AC22" s="94"/>
      <c r="AD22" s="25"/>
      <c r="AE22" s="25"/>
      <c r="AF22" s="94"/>
      <c r="AG22" s="94"/>
      <c r="AH22" s="25"/>
      <c r="AI22" s="25"/>
      <c r="AJ22" s="26"/>
      <c r="AK22" s="26"/>
      <c r="AL22" s="27"/>
      <c r="AM22" s="27"/>
      <c r="AN22" s="28"/>
      <c r="AO22" s="85"/>
      <c r="AP22" s="32"/>
      <c r="AQ22" s="42"/>
      <c r="AR22" s="43"/>
      <c r="AS22" s="31"/>
      <c r="AT22" s="31"/>
    </row>
    <row r="23" spans="1:46">
      <c r="A23" s="216" t="s">
        <v>48</v>
      </c>
      <c r="B23" s="94"/>
      <c r="C23" s="94"/>
      <c r="D23" s="94"/>
      <c r="E23" s="94"/>
      <c r="F23" s="25"/>
      <c r="G23" s="25"/>
      <c r="H23" s="94"/>
      <c r="I23" s="94"/>
      <c r="J23" s="25"/>
      <c r="K23" s="25"/>
      <c r="L23" s="94"/>
      <c r="M23" s="94"/>
      <c r="N23" s="25"/>
      <c r="O23" s="25"/>
      <c r="P23" s="94"/>
      <c r="Q23" s="94"/>
      <c r="R23" s="25"/>
      <c r="S23" s="25"/>
      <c r="T23" s="94"/>
      <c r="U23" s="94"/>
      <c r="V23" s="25"/>
      <c r="W23" s="25"/>
      <c r="X23" s="94"/>
      <c r="Y23" s="94"/>
      <c r="Z23" s="25"/>
      <c r="AA23" s="25"/>
      <c r="AB23" s="94"/>
      <c r="AC23" s="94"/>
      <c r="AD23" s="25"/>
      <c r="AE23" s="25"/>
      <c r="AF23" s="94"/>
      <c r="AG23" s="94"/>
      <c r="AH23" s="25"/>
      <c r="AI23" s="25"/>
      <c r="AJ23" s="26"/>
      <c r="AK23" s="26"/>
      <c r="AL23" s="27"/>
      <c r="AM23" s="27"/>
      <c r="AN23" s="28"/>
      <c r="AO23" s="85"/>
      <c r="AP23" s="32"/>
      <c r="AQ23" s="42"/>
      <c r="AR23" s="15"/>
      <c r="AS23" s="31" t="e">
        <f>(#REF!/AQ23)-1</f>
        <v>#REF!</v>
      </c>
      <c r="AT23" s="31" t="e">
        <f>(#REF!/AR23)-1</f>
        <v>#REF!</v>
      </c>
    </row>
    <row r="24" spans="1:46">
      <c r="A24" s="217" t="s">
        <v>38</v>
      </c>
      <c r="B24" s="387">
        <v>239632875138.64999</v>
      </c>
      <c r="C24" s="343">
        <v>100</v>
      </c>
      <c r="D24" s="387">
        <v>241237389053.85001</v>
      </c>
      <c r="E24" s="343">
        <v>100</v>
      </c>
      <c r="F24" s="25">
        <f t="shared" ref="F24:F52" si="22">((D24-B24)/B24)</f>
        <v>6.6957169973929954E-3</v>
      </c>
      <c r="G24" s="25">
        <f t="shared" ref="G24:G52" si="23">((E24-C24)/C24)</f>
        <v>0</v>
      </c>
      <c r="H24" s="387">
        <v>243588294739.32001</v>
      </c>
      <c r="I24" s="343">
        <v>100</v>
      </c>
      <c r="J24" s="25">
        <f t="shared" ref="J24:J52" si="24">((H24-D24)/D24)</f>
        <v>9.7451961932203731E-3</v>
      </c>
      <c r="K24" s="25">
        <f t="shared" ref="K24:K52" si="25">((I24-E24)/E24)</f>
        <v>0</v>
      </c>
      <c r="L24" s="387">
        <v>243528421776.76999</v>
      </c>
      <c r="M24" s="343">
        <v>100</v>
      </c>
      <c r="N24" s="25">
        <f t="shared" ref="N24:N52" si="26">((L24-H24)/H24)</f>
        <v>-2.4579572928203443E-4</v>
      </c>
      <c r="O24" s="25">
        <f t="shared" ref="O24:O52" si="27">((M24-I24)/I24)</f>
        <v>0</v>
      </c>
      <c r="P24" s="387">
        <v>255787519198.79001</v>
      </c>
      <c r="Q24" s="343">
        <v>100</v>
      </c>
      <c r="R24" s="25">
        <f t="shared" ref="R24:R52" si="28">((P24-L24)/L24)</f>
        <v>5.0339493569491058E-2</v>
      </c>
      <c r="S24" s="25">
        <f t="shared" ref="S24:S52" si="29">((Q24-M24)/M24)</f>
        <v>0</v>
      </c>
      <c r="T24" s="387">
        <v>266280194630.57001</v>
      </c>
      <c r="U24" s="343">
        <v>100</v>
      </c>
      <c r="V24" s="25">
        <f t="shared" ref="V24:V52" si="30">((T24-P24)/P24)</f>
        <v>4.1021061014417291E-2</v>
      </c>
      <c r="W24" s="25">
        <f t="shared" ref="W24:W52" si="31">((U24-Q24)/Q24)</f>
        <v>0</v>
      </c>
      <c r="X24" s="387">
        <v>276227531422.64001</v>
      </c>
      <c r="Y24" s="343">
        <v>100</v>
      </c>
      <c r="Z24" s="25">
        <f t="shared" ref="Z24:Z52" si="32">((X24-T24)/T24)</f>
        <v>3.7356652851597449E-2</v>
      </c>
      <c r="AA24" s="25">
        <f t="shared" ref="AA24:AA52" si="33">((Y24-U24)/U24)</f>
        <v>0</v>
      </c>
      <c r="AB24" s="387">
        <v>287881440453.35999</v>
      </c>
      <c r="AC24" s="343">
        <v>100</v>
      </c>
      <c r="AD24" s="25">
        <f t="shared" ref="AD24:AD52" si="34">((AB24-X24)/X24)</f>
        <v>4.2189527490976229E-2</v>
      </c>
      <c r="AE24" s="25">
        <f t="shared" ref="AE24:AE52" si="35">((AC24-Y24)/Y24)</f>
        <v>0</v>
      </c>
      <c r="AF24" s="387">
        <v>301352962735.25</v>
      </c>
      <c r="AG24" s="343">
        <v>100</v>
      </c>
      <c r="AH24" s="25">
        <f t="shared" ref="AH24:AH52" si="36">((AF24-AB24)/AB24)</f>
        <v>4.6795383060036312E-2</v>
      </c>
      <c r="AI24" s="25">
        <f t="shared" ref="AI24:AI52" si="37">((AG24-AC24)/AC24)</f>
        <v>0</v>
      </c>
      <c r="AJ24" s="26">
        <f t="shared" si="16"/>
        <v>2.923715443098121E-2</v>
      </c>
      <c r="AK24" s="26">
        <f t="shared" si="17"/>
        <v>0</v>
      </c>
      <c r="AL24" s="27">
        <f t="shared" si="18"/>
        <v>0.24919675145373402</v>
      </c>
      <c r="AM24" s="27">
        <f t="shared" si="19"/>
        <v>0</v>
      </c>
      <c r="AN24" s="28">
        <f t="shared" si="20"/>
        <v>2.0295840440238092E-2</v>
      </c>
      <c r="AO24" s="85">
        <f t="shared" si="21"/>
        <v>0</v>
      </c>
      <c r="AP24" s="32"/>
      <c r="AQ24" s="30">
        <v>58847545464.410004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17" t="s">
        <v>18</v>
      </c>
      <c r="B25" s="387">
        <v>145481478188.25</v>
      </c>
      <c r="C25" s="343">
        <v>100</v>
      </c>
      <c r="D25" s="387">
        <v>145769413741.92001</v>
      </c>
      <c r="E25" s="343">
        <v>100</v>
      </c>
      <c r="F25" s="25">
        <f t="shared" si="22"/>
        <v>1.9791904595403602E-3</v>
      </c>
      <c r="G25" s="25">
        <f t="shared" si="23"/>
        <v>0</v>
      </c>
      <c r="H25" s="387">
        <v>148640547362.32999</v>
      </c>
      <c r="I25" s="343">
        <v>100</v>
      </c>
      <c r="J25" s="25">
        <f t="shared" si="24"/>
        <v>1.9696406445684288E-2</v>
      </c>
      <c r="K25" s="25">
        <f t="shared" si="25"/>
        <v>0</v>
      </c>
      <c r="L25" s="387">
        <v>149672269428.73001</v>
      </c>
      <c r="M25" s="343">
        <v>100</v>
      </c>
      <c r="N25" s="25">
        <f t="shared" si="26"/>
        <v>6.9410540038248947E-3</v>
      </c>
      <c r="O25" s="25">
        <f t="shared" si="27"/>
        <v>0</v>
      </c>
      <c r="P25" s="387">
        <v>155114946720.29001</v>
      </c>
      <c r="Q25" s="343">
        <v>100</v>
      </c>
      <c r="R25" s="25">
        <f t="shared" si="28"/>
        <v>3.6363965832372558E-2</v>
      </c>
      <c r="S25" s="25">
        <f t="shared" si="29"/>
        <v>0</v>
      </c>
      <c r="T25" s="387">
        <v>155703829997.19</v>
      </c>
      <c r="U25" s="343">
        <v>100</v>
      </c>
      <c r="V25" s="25">
        <f t="shared" si="30"/>
        <v>3.7964315454518623E-3</v>
      </c>
      <c r="W25" s="25">
        <f t="shared" si="31"/>
        <v>0</v>
      </c>
      <c r="X25" s="387">
        <v>159574142371.60999</v>
      </c>
      <c r="Y25" s="343">
        <v>100</v>
      </c>
      <c r="Z25" s="25">
        <f t="shared" si="32"/>
        <v>2.4856886143968526E-2</v>
      </c>
      <c r="AA25" s="25">
        <f t="shared" si="33"/>
        <v>0</v>
      </c>
      <c r="AB25" s="387">
        <v>162294211621.66</v>
      </c>
      <c r="AC25" s="343">
        <v>100</v>
      </c>
      <c r="AD25" s="25">
        <f t="shared" si="34"/>
        <v>1.7045802093146319E-2</v>
      </c>
      <c r="AE25" s="25">
        <f t="shared" si="35"/>
        <v>0</v>
      </c>
      <c r="AF25" s="387">
        <v>166542275515.17999</v>
      </c>
      <c r="AG25" s="343">
        <v>100</v>
      </c>
      <c r="AH25" s="25">
        <f t="shared" si="36"/>
        <v>2.6175079511911791E-2</v>
      </c>
      <c r="AI25" s="25">
        <f t="shared" si="37"/>
        <v>0</v>
      </c>
      <c r="AJ25" s="26">
        <f t="shared" si="16"/>
        <v>1.7106852004487576E-2</v>
      </c>
      <c r="AK25" s="26">
        <f t="shared" si="17"/>
        <v>0</v>
      </c>
      <c r="AL25" s="27">
        <f t="shared" si="18"/>
        <v>0.14250494146898096</v>
      </c>
      <c r="AM25" s="27">
        <f t="shared" si="19"/>
        <v>0</v>
      </c>
      <c r="AN25" s="28">
        <f t="shared" si="20"/>
        <v>1.2125525715674051E-2</v>
      </c>
      <c r="AO25" s="85">
        <f t="shared" si="21"/>
        <v>0</v>
      </c>
      <c r="AP25" s="32"/>
      <c r="AQ25" s="30">
        <v>56630718400</v>
      </c>
      <c r="AR25" s="44">
        <v>100</v>
      </c>
      <c r="AS25" s="31" t="e">
        <f>(#REF!/AQ25)-1</f>
        <v>#REF!</v>
      </c>
      <c r="AT25" s="31" t="e">
        <f>(#REF!/AR25)-1</f>
        <v>#REF!</v>
      </c>
    </row>
    <row r="26" spans="1:46">
      <c r="A26" s="217" t="s">
        <v>82</v>
      </c>
      <c r="B26" s="387">
        <v>27214525664.759998</v>
      </c>
      <c r="C26" s="343">
        <v>1</v>
      </c>
      <c r="D26" s="387">
        <v>27577035754.290001</v>
      </c>
      <c r="E26" s="343">
        <v>1</v>
      </c>
      <c r="F26" s="25">
        <f t="shared" si="22"/>
        <v>1.3320463270076971E-2</v>
      </c>
      <c r="G26" s="25">
        <f t="shared" si="23"/>
        <v>0</v>
      </c>
      <c r="H26" s="387">
        <v>28712741824.240002</v>
      </c>
      <c r="I26" s="343">
        <v>1</v>
      </c>
      <c r="J26" s="25">
        <f t="shared" si="24"/>
        <v>4.1183036497072584E-2</v>
      </c>
      <c r="K26" s="25">
        <f t="shared" si="25"/>
        <v>0</v>
      </c>
      <c r="L26" s="387">
        <v>43168717627.940002</v>
      </c>
      <c r="M26" s="343">
        <v>1</v>
      </c>
      <c r="N26" s="25">
        <f t="shared" si="26"/>
        <v>0.50346901358949669</v>
      </c>
      <c r="O26" s="25">
        <f t="shared" si="27"/>
        <v>0</v>
      </c>
      <c r="P26" s="387">
        <v>45131055901.550003</v>
      </c>
      <c r="Q26" s="343">
        <v>1</v>
      </c>
      <c r="R26" s="25">
        <f t="shared" si="28"/>
        <v>4.5457414105345588E-2</v>
      </c>
      <c r="S26" s="25">
        <f t="shared" si="29"/>
        <v>0</v>
      </c>
      <c r="T26" s="387">
        <v>45703113795.110001</v>
      </c>
      <c r="U26" s="343">
        <v>1</v>
      </c>
      <c r="V26" s="25">
        <f t="shared" si="30"/>
        <v>1.2675482151534384E-2</v>
      </c>
      <c r="W26" s="25">
        <f t="shared" si="31"/>
        <v>0</v>
      </c>
      <c r="X26" s="387">
        <v>46517531611.489998</v>
      </c>
      <c r="Y26" s="343">
        <v>1</v>
      </c>
      <c r="Z26" s="25">
        <f t="shared" si="32"/>
        <v>1.7819744624646031E-2</v>
      </c>
      <c r="AA26" s="25">
        <f t="shared" si="33"/>
        <v>0</v>
      </c>
      <c r="AB26" s="387">
        <v>49246696123.610001</v>
      </c>
      <c r="AC26" s="343">
        <v>1</v>
      </c>
      <c r="AD26" s="25">
        <f t="shared" si="34"/>
        <v>5.8669590100216953E-2</v>
      </c>
      <c r="AE26" s="25">
        <f t="shared" si="35"/>
        <v>0</v>
      </c>
      <c r="AF26" s="387">
        <v>47873964795.900002</v>
      </c>
      <c r="AG26" s="343">
        <v>1</v>
      </c>
      <c r="AH26" s="25">
        <f t="shared" si="36"/>
        <v>-2.7874587246714405E-2</v>
      </c>
      <c r="AI26" s="25">
        <f t="shared" si="37"/>
        <v>0</v>
      </c>
      <c r="AJ26" s="26">
        <f t="shared" si="16"/>
        <v>8.3090019636459345E-2</v>
      </c>
      <c r="AK26" s="26">
        <f t="shared" si="17"/>
        <v>0</v>
      </c>
      <c r="AL26" s="27">
        <f t="shared" si="18"/>
        <v>0.73600836661541924</v>
      </c>
      <c r="AM26" s="27">
        <f t="shared" si="19"/>
        <v>0</v>
      </c>
      <c r="AN26" s="28">
        <f t="shared" si="20"/>
        <v>0.1719163480285191</v>
      </c>
      <c r="AO26" s="85">
        <f t="shared" si="21"/>
        <v>0</v>
      </c>
      <c r="AP26" s="32"/>
      <c r="AQ26" s="30">
        <v>366113097.69999999</v>
      </c>
      <c r="AR26" s="34">
        <v>1.1357999999999999</v>
      </c>
      <c r="AS26" s="31" t="e">
        <f>(#REF!/AQ26)-1</f>
        <v>#REF!</v>
      </c>
      <c r="AT26" s="31" t="e">
        <f>(#REF!/AR26)-1</f>
        <v>#REF!</v>
      </c>
    </row>
    <row r="27" spans="1:46">
      <c r="A27" s="217" t="s">
        <v>41</v>
      </c>
      <c r="B27" s="387">
        <v>1097771430.47</v>
      </c>
      <c r="C27" s="343">
        <v>100</v>
      </c>
      <c r="D27" s="387">
        <v>1231561818.3299999</v>
      </c>
      <c r="E27" s="343">
        <v>100</v>
      </c>
      <c r="F27" s="25">
        <f t="shared" si="22"/>
        <v>0.12187453976891971</v>
      </c>
      <c r="G27" s="25">
        <f t="shared" si="23"/>
        <v>0</v>
      </c>
      <c r="H27" s="387">
        <v>1237371372.5699999</v>
      </c>
      <c r="I27" s="343">
        <v>100</v>
      </c>
      <c r="J27" s="25">
        <f t="shared" si="24"/>
        <v>4.7172250337200088E-3</v>
      </c>
      <c r="K27" s="25">
        <f t="shared" si="25"/>
        <v>0</v>
      </c>
      <c r="L27" s="387">
        <v>1309980159.0599999</v>
      </c>
      <c r="M27" s="343">
        <v>100</v>
      </c>
      <c r="N27" s="25">
        <f t="shared" si="26"/>
        <v>5.8679866125553523E-2</v>
      </c>
      <c r="O27" s="25">
        <f t="shared" si="27"/>
        <v>0</v>
      </c>
      <c r="P27" s="387">
        <v>1363261126.8299999</v>
      </c>
      <c r="Q27" s="343">
        <v>100</v>
      </c>
      <c r="R27" s="25">
        <f t="shared" si="28"/>
        <v>4.0673110505912324E-2</v>
      </c>
      <c r="S27" s="25">
        <f t="shared" si="29"/>
        <v>0</v>
      </c>
      <c r="T27" s="387">
        <v>1408601932.29</v>
      </c>
      <c r="U27" s="343">
        <v>100</v>
      </c>
      <c r="V27" s="25">
        <f t="shared" si="30"/>
        <v>3.3259076025611699E-2</v>
      </c>
      <c r="W27" s="25">
        <f t="shared" si="31"/>
        <v>0</v>
      </c>
      <c r="X27" s="387">
        <v>1457381461.8699999</v>
      </c>
      <c r="Y27" s="343">
        <v>100</v>
      </c>
      <c r="Z27" s="25">
        <f t="shared" si="32"/>
        <v>3.4629747739091769E-2</v>
      </c>
      <c r="AA27" s="25">
        <f t="shared" si="33"/>
        <v>0</v>
      </c>
      <c r="AB27" s="387">
        <v>1661270454.1700001</v>
      </c>
      <c r="AC27" s="343">
        <v>100</v>
      </c>
      <c r="AD27" s="25">
        <f t="shared" si="34"/>
        <v>0.13990090970306807</v>
      </c>
      <c r="AE27" s="25">
        <f t="shared" si="35"/>
        <v>0</v>
      </c>
      <c r="AF27" s="387">
        <v>1700711484.52</v>
      </c>
      <c r="AG27" s="343">
        <v>100</v>
      </c>
      <c r="AH27" s="25">
        <f t="shared" si="36"/>
        <v>2.3741486674248555E-2</v>
      </c>
      <c r="AI27" s="25">
        <f t="shared" si="37"/>
        <v>0</v>
      </c>
      <c r="AJ27" s="26">
        <f t="shared" si="16"/>
        <v>5.7184495197015711E-2</v>
      </c>
      <c r="AK27" s="26">
        <f t="shared" si="17"/>
        <v>0</v>
      </c>
      <c r="AL27" s="27">
        <f t="shared" si="18"/>
        <v>0.3809387878118598</v>
      </c>
      <c r="AM27" s="27">
        <f t="shared" si="19"/>
        <v>0</v>
      </c>
      <c r="AN27" s="28">
        <f t="shared" si="20"/>
        <v>4.818722508084447E-2</v>
      </c>
      <c r="AO27" s="85">
        <f t="shared" si="21"/>
        <v>0</v>
      </c>
      <c r="AP27" s="32"/>
      <c r="AQ27" s="30">
        <v>691810420.35000002</v>
      </c>
      <c r="AR27" s="44">
        <v>100</v>
      </c>
      <c r="AS27" s="31" t="e">
        <f>(#REF!/AQ27)-1</f>
        <v>#REF!</v>
      </c>
      <c r="AT27" s="31" t="e">
        <f>(#REF!/AR27)-1</f>
        <v>#REF!</v>
      </c>
    </row>
    <row r="28" spans="1:46">
      <c r="A28" s="217" t="s">
        <v>19</v>
      </c>
      <c r="B28" s="387">
        <v>66143370966.309998</v>
      </c>
      <c r="C28" s="343">
        <v>1</v>
      </c>
      <c r="D28" s="387">
        <v>66504631789.529999</v>
      </c>
      <c r="E28" s="343">
        <v>1</v>
      </c>
      <c r="F28" s="25">
        <f t="shared" si="22"/>
        <v>5.4617842716847432E-3</v>
      </c>
      <c r="G28" s="25">
        <f t="shared" si="23"/>
        <v>0</v>
      </c>
      <c r="H28" s="387">
        <v>67462316609.160004</v>
      </c>
      <c r="I28" s="343">
        <v>1</v>
      </c>
      <c r="J28" s="25">
        <f t="shared" si="24"/>
        <v>1.4400272490205347E-2</v>
      </c>
      <c r="K28" s="25">
        <f t="shared" si="25"/>
        <v>0</v>
      </c>
      <c r="L28" s="387">
        <v>68025901214.75</v>
      </c>
      <c r="M28" s="343">
        <v>1</v>
      </c>
      <c r="N28" s="25">
        <f t="shared" si="26"/>
        <v>8.3540654089170885E-3</v>
      </c>
      <c r="O28" s="25">
        <f t="shared" si="27"/>
        <v>0</v>
      </c>
      <c r="P28" s="387">
        <v>71006117751.020004</v>
      </c>
      <c r="Q28" s="343">
        <v>1</v>
      </c>
      <c r="R28" s="25">
        <f t="shared" si="28"/>
        <v>4.3810026520072126E-2</v>
      </c>
      <c r="S28" s="25">
        <f t="shared" si="29"/>
        <v>0</v>
      </c>
      <c r="T28" s="387">
        <v>72039178113.5</v>
      </c>
      <c r="U28" s="343">
        <v>1</v>
      </c>
      <c r="V28" s="25">
        <f t="shared" si="30"/>
        <v>1.4548892337733191E-2</v>
      </c>
      <c r="W28" s="25">
        <f t="shared" si="31"/>
        <v>0</v>
      </c>
      <c r="X28" s="387">
        <v>72446472180.080002</v>
      </c>
      <c r="Y28" s="343">
        <v>1</v>
      </c>
      <c r="Z28" s="25">
        <f t="shared" si="32"/>
        <v>5.6537855823160163E-3</v>
      </c>
      <c r="AA28" s="25">
        <f t="shared" si="33"/>
        <v>0</v>
      </c>
      <c r="AB28" s="387">
        <v>73032387522.529999</v>
      </c>
      <c r="AC28" s="343">
        <v>1</v>
      </c>
      <c r="AD28" s="25">
        <f t="shared" si="34"/>
        <v>8.0875620967931841E-3</v>
      </c>
      <c r="AE28" s="25">
        <f t="shared" si="35"/>
        <v>0</v>
      </c>
      <c r="AF28" s="387">
        <v>73607417069.979996</v>
      </c>
      <c r="AG28" s="343">
        <v>1</v>
      </c>
      <c r="AH28" s="25">
        <f t="shared" si="36"/>
        <v>7.8736238394589552E-3</v>
      </c>
      <c r="AI28" s="25">
        <f t="shared" si="37"/>
        <v>0</v>
      </c>
      <c r="AJ28" s="26">
        <f t="shared" si="16"/>
        <v>1.3523751568397581E-2</v>
      </c>
      <c r="AK28" s="26">
        <f t="shared" si="17"/>
        <v>0</v>
      </c>
      <c r="AL28" s="27">
        <f t="shared" si="18"/>
        <v>0.10680136239124637</v>
      </c>
      <c r="AM28" s="27">
        <f t="shared" si="19"/>
        <v>0</v>
      </c>
      <c r="AN28" s="28">
        <f t="shared" si="20"/>
        <v>1.2729106626710326E-2</v>
      </c>
      <c r="AO28" s="85">
        <f t="shared" si="21"/>
        <v>0</v>
      </c>
      <c r="AP28" s="32"/>
      <c r="AQ28" s="30">
        <v>13880602273.7041</v>
      </c>
      <c r="AR28" s="37">
        <v>1</v>
      </c>
      <c r="AS28" s="31" t="e">
        <f>(#REF!/AQ28)-1</f>
        <v>#REF!</v>
      </c>
      <c r="AT28" s="31" t="e">
        <f>(#REF!/AR28)-1</f>
        <v>#REF!</v>
      </c>
    </row>
    <row r="29" spans="1:46">
      <c r="A29" s="217" t="s">
        <v>60</v>
      </c>
      <c r="B29" s="378">
        <v>1939680353.2</v>
      </c>
      <c r="C29" s="343">
        <v>10</v>
      </c>
      <c r="D29" s="378">
        <v>1949066080.52</v>
      </c>
      <c r="E29" s="343">
        <v>10</v>
      </c>
      <c r="F29" s="25">
        <f t="shared" si="22"/>
        <v>4.8388010449844322E-3</v>
      </c>
      <c r="G29" s="25">
        <f t="shared" si="23"/>
        <v>0</v>
      </c>
      <c r="H29" s="378">
        <v>1971448177.95</v>
      </c>
      <c r="I29" s="343">
        <v>10</v>
      </c>
      <c r="J29" s="25">
        <f t="shared" si="24"/>
        <v>1.1483498509208394E-2</v>
      </c>
      <c r="K29" s="25">
        <f t="shared" si="25"/>
        <v>0</v>
      </c>
      <c r="L29" s="378">
        <v>2014960727.9400001</v>
      </c>
      <c r="M29" s="343">
        <v>10</v>
      </c>
      <c r="N29" s="25">
        <f t="shared" si="26"/>
        <v>2.2071363821110582E-2</v>
      </c>
      <c r="O29" s="25">
        <f t="shared" si="27"/>
        <v>0</v>
      </c>
      <c r="P29" s="378">
        <v>2003373016.8599999</v>
      </c>
      <c r="Q29" s="343">
        <v>10</v>
      </c>
      <c r="R29" s="25">
        <f t="shared" si="28"/>
        <v>-5.7508371847261198E-3</v>
      </c>
      <c r="S29" s="25">
        <f t="shared" si="29"/>
        <v>0</v>
      </c>
      <c r="T29" s="378">
        <v>2014364941.29</v>
      </c>
      <c r="U29" s="343">
        <v>10</v>
      </c>
      <c r="V29" s="25">
        <f t="shared" si="30"/>
        <v>5.4867088342980342E-3</v>
      </c>
      <c r="W29" s="25">
        <f t="shared" si="31"/>
        <v>0</v>
      </c>
      <c r="X29" s="378">
        <v>2008920806.8699999</v>
      </c>
      <c r="Y29" s="343">
        <v>10</v>
      </c>
      <c r="Z29" s="25">
        <f t="shared" si="32"/>
        <v>-2.7026554664487216E-3</v>
      </c>
      <c r="AA29" s="25">
        <f t="shared" si="33"/>
        <v>0</v>
      </c>
      <c r="AB29" s="378">
        <v>2033810240.0799999</v>
      </c>
      <c r="AC29" s="343">
        <v>10</v>
      </c>
      <c r="AD29" s="25">
        <f t="shared" si="34"/>
        <v>1.2389454638970579E-2</v>
      </c>
      <c r="AE29" s="25">
        <f t="shared" si="35"/>
        <v>0</v>
      </c>
      <c r="AF29" s="378">
        <v>2065747472.3299999</v>
      </c>
      <c r="AG29" s="343">
        <v>10</v>
      </c>
      <c r="AH29" s="25">
        <f t="shared" si="36"/>
        <v>1.5703152447862467E-2</v>
      </c>
      <c r="AI29" s="25">
        <f t="shared" si="37"/>
        <v>0</v>
      </c>
      <c r="AJ29" s="26">
        <f t="shared" si="16"/>
        <v>7.9399358306574564E-3</v>
      </c>
      <c r="AK29" s="26">
        <f t="shared" si="17"/>
        <v>0</v>
      </c>
      <c r="AL29" s="27">
        <f t="shared" si="18"/>
        <v>5.9865282648020837E-2</v>
      </c>
      <c r="AM29" s="27">
        <f t="shared" si="19"/>
        <v>0</v>
      </c>
      <c r="AN29" s="28">
        <f t="shared" si="20"/>
        <v>9.3247536796876185E-3</v>
      </c>
      <c r="AO29" s="85">
        <f t="shared" si="21"/>
        <v>0</v>
      </c>
      <c r="AP29" s="32"/>
      <c r="AQ29" s="40">
        <v>246915130.99000001</v>
      </c>
      <c r="AR29" s="37">
        <v>10</v>
      </c>
      <c r="AS29" s="31" t="e">
        <f>(#REF!/AQ29)-1</f>
        <v>#REF!</v>
      </c>
      <c r="AT29" s="31" t="e">
        <f>(#REF!/AR29)-1</f>
        <v>#REF!</v>
      </c>
    </row>
    <row r="30" spans="1:46">
      <c r="A30" s="217" t="s">
        <v>88</v>
      </c>
      <c r="B30" s="387">
        <v>31480661711.91</v>
      </c>
      <c r="C30" s="343">
        <v>1</v>
      </c>
      <c r="D30" s="387">
        <v>31452566788.549999</v>
      </c>
      <c r="E30" s="343">
        <v>1</v>
      </c>
      <c r="F30" s="25">
        <f t="shared" si="22"/>
        <v>-8.9245021648866828E-4</v>
      </c>
      <c r="G30" s="25">
        <f t="shared" si="23"/>
        <v>0</v>
      </c>
      <c r="H30" s="387">
        <v>31470627917.279999</v>
      </c>
      <c r="I30" s="343">
        <v>1</v>
      </c>
      <c r="J30" s="25">
        <f t="shared" si="24"/>
        <v>5.7423385669669801E-4</v>
      </c>
      <c r="K30" s="25">
        <f t="shared" si="25"/>
        <v>0</v>
      </c>
      <c r="L30" s="387">
        <v>32547685734.009998</v>
      </c>
      <c r="M30" s="343">
        <v>1</v>
      </c>
      <c r="N30" s="25">
        <f t="shared" si="26"/>
        <v>3.4224223919555319E-2</v>
      </c>
      <c r="O30" s="25">
        <f t="shared" si="27"/>
        <v>0</v>
      </c>
      <c r="P30" s="387">
        <v>33227561487.029999</v>
      </c>
      <c r="Q30" s="343">
        <v>1</v>
      </c>
      <c r="R30" s="25">
        <f t="shared" si="28"/>
        <v>2.0888605063234311E-2</v>
      </c>
      <c r="S30" s="25">
        <f t="shared" si="29"/>
        <v>0</v>
      </c>
      <c r="T30" s="387">
        <v>33459480780.200001</v>
      </c>
      <c r="U30" s="343">
        <v>1</v>
      </c>
      <c r="V30" s="25">
        <f t="shared" si="30"/>
        <v>6.9797265520230561E-3</v>
      </c>
      <c r="W30" s="25">
        <f t="shared" si="31"/>
        <v>0</v>
      </c>
      <c r="X30" s="387">
        <v>34038129911.73</v>
      </c>
      <c r="Y30" s="343">
        <v>1</v>
      </c>
      <c r="Z30" s="25">
        <f t="shared" si="32"/>
        <v>1.7294026029011797E-2</v>
      </c>
      <c r="AA30" s="25">
        <f t="shared" si="33"/>
        <v>0</v>
      </c>
      <c r="AB30" s="387">
        <v>34524115454.029999</v>
      </c>
      <c r="AC30" s="343">
        <v>1</v>
      </c>
      <c r="AD30" s="25">
        <f t="shared" si="34"/>
        <v>1.4277680458952655E-2</v>
      </c>
      <c r="AE30" s="25">
        <f t="shared" si="35"/>
        <v>0</v>
      </c>
      <c r="AF30" s="387">
        <v>34986586178.199997</v>
      </c>
      <c r="AG30" s="343">
        <v>1</v>
      </c>
      <c r="AH30" s="25">
        <f t="shared" si="36"/>
        <v>1.339558503057937E-2</v>
      </c>
      <c r="AI30" s="25">
        <f t="shared" si="37"/>
        <v>0</v>
      </c>
      <c r="AJ30" s="26">
        <f t="shared" si="16"/>
        <v>1.3342703836695568E-2</v>
      </c>
      <c r="AK30" s="26">
        <f t="shared" si="17"/>
        <v>0</v>
      </c>
      <c r="AL30" s="27">
        <f t="shared" si="18"/>
        <v>0.11236028567743231</v>
      </c>
      <c r="AM30" s="27">
        <f t="shared" si="19"/>
        <v>0</v>
      </c>
      <c r="AN30" s="28">
        <f t="shared" si="20"/>
        <v>1.1436966053342473E-2</v>
      </c>
      <c r="AO30" s="85">
        <f t="shared" si="21"/>
        <v>0</v>
      </c>
      <c r="AP30" s="32"/>
      <c r="AQ30" s="40"/>
      <c r="AR30" s="37"/>
      <c r="AS30" s="31"/>
      <c r="AT30" s="31"/>
    </row>
    <row r="31" spans="1:46">
      <c r="A31" s="217" t="s">
        <v>92</v>
      </c>
      <c r="B31" s="387">
        <v>2049536126.8939445</v>
      </c>
      <c r="C31" s="343">
        <v>100</v>
      </c>
      <c r="D31" s="387">
        <v>2071400012.5339437</v>
      </c>
      <c r="E31" s="343">
        <v>100</v>
      </c>
      <c r="F31" s="25">
        <f t="shared" si="22"/>
        <v>1.0667723956217201E-2</v>
      </c>
      <c r="G31" s="25">
        <f t="shared" si="23"/>
        <v>0</v>
      </c>
      <c r="H31" s="387">
        <v>2092745416.2638049</v>
      </c>
      <c r="I31" s="343">
        <v>100</v>
      </c>
      <c r="J31" s="25">
        <f t="shared" si="24"/>
        <v>1.0304819735783156E-2</v>
      </c>
      <c r="K31" s="25">
        <f t="shared" si="25"/>
        <v>0</v>
      </c>
      <c r="L31" s="387">
        <v>2103150629.28</v>
      </c>
      <c r="M31" s="343">
        <v>100</v>
      </c>
      <c r="N31" s="25">
        <f t="shared" si="26"/>
        <v>4.9720395683730935E-3</v>
      </c>
      <c r="O31" s="25">
        <f t="shared" si="27"/>
        <v>0</v>
      </c>
      <c r="P31" s="387">
        <v>1937570865.25</v>
      </c>
      <c r="Q31" s="343">
        <v>100</v>
      </c>
      <c r="R31" s="25">
        <f t="shared" si="28"/>
        <v>-7.8729389005620168E-2</v>
      </c>
      <c r="S31" s="25">
        <f t="shared" si="29"/>
        <v>0</v>
      </c>
      <c r="T31" s="387">
        <v>2154679707.9000001</v>
      </c>
      <c r="U31" s="343">
        <v>100</v>
      </c>
      <c r="V31" s="25">
        <f t="shared" si="30"/>
        <v>0.11205207847816553</v>
      </c>
      <c r="W31" s="25">
        <f t="shared" si="31"/>
        <v>0</v>
      </c>
      <c r="X31" s="387">
        <v>2124116377.73</v>
      </c>
      <c r="Y31" s="343">
        <v>100</v>
      </c>
      <c r="Z31" s="25">
        <f t="shared" si="32"/>
        <v>-1.418462802519628E-2</v>
      </c>
      <c r="AA31" s="25">
        <f t="shared" si="33"/>
        <v>0</v>
      </c>
      <c r="AB31" s="387">
        <v>2132435455.0699999</v>
      </c>
      <c r="AC31" s="343">
        <v>100</v>
      </c>
      <c r="AD31" s="25">
        <f t="shared" si="34"/>
        <v>3.9164884877401791E-3</v>
      </c>
      <c r="AE31" s="25">
        <f t="shared" si="35"/>
        <v>0</v>
      </c>
      <c r="AF31" s="387">
        <v>1926409642.1700001</v>
      </c>
      <c r="AG31" s="343">
        <v>100</v>
      </c>
      <c r="AH31" s="25">
        <f t="shared" si="36"/>
        <v>-9.6615263270998647E-2</v>
      </c>
      <c r="AI31" s="25">
        <f t="shared" si="37"/>
        <v>0</v>
      </c>
      <c r="AJ31" s="26">
        <f t="shared" si="16"/>
        <v>-5.9520162594419914E-3</v>
      </c>
      <c r="AK31" s="26">
        <f t="shared" si="17"/>
        <v>0</v>
      </c>
      <c r="AL31" s="27">
        <f t="shared" si="18"/>
        <v>-6.9996316253072163E-2</v>
      </c>
      <c r="AM31" s="27">
        <f t="shared" si="19"/>
        <v>0</v>
      </c>
      <c r="AN31" s="28">
        <f t="shared" si="20"/>
        <v>6.3545636555750365E-2</v>
      </c>
      <c r="AO31" s="85">
        <f t="shared" si="21"/>
        <v>0</v>
      </c>
      <c r="AP31" s="32"/>
      <c r="AQ31" s="40"/>
      <c r="AR31" s="37"/>
      <c r="AS31" s="31"/>
      <c r="AT31" s="31"/>
    </row>
    <row r="32" spans="1:46">
      <c r="A32" s="217" t="s">
        <v>95</v>
      </c>
      <c r="B32" s="387">
        <v>4373400110.8400002</v>
      </c>
      <c r="C32" s="343">
        <v>100</v>
      </c>
      <c r="D32" s="387">
        <v>4524415952.7799997</v>
      </c>
      <c r="E32" s="343">
        <v>100</v>
      </c>
      <c r="F32" s="25">
        <f t="shared" si="22"/>
        <v>3.4530534163953713E-2</v>
      </c>
      <c r="G32" s="25">
        <f t="shared" si="23"/>
        <v>0</v>
      </c>
      <c r="H32" s="387">
        <v>4657449123.3800001</v>
      </c>
      <c r="I32" s="343">
        <v>100</v>
      </c>
      <c r="J32" s="25">
        <f t="shared" si="24"/>
        <v>2.940339084390748E-2</v>
      </c>
      <c r="K32" s="25">
        <f t="shared" si="25"/>
        <v>0</v>
      </c>
      <c r="L32" s="387">
        <v>4600608733.8800001</v>
      </c>
      <c r="M32" s="343">
        <v>100</v>
      </c>
      <c r="N32" s="25">
        <f t="shared" si="26"/>
        <v>-1.2204189030142285E-2</v>
      </c>
      <c r="O32" s="25">
        <f t="shared" si="27"/>
        <v>0</v>
      </c>
      <c r="P32" s="387">
        <v>4547474873.7700005</v>
      </c>
      <c r="Q32" s="343">
        <v>100</v>
      </c>
      <c r="R32" s="25">
        <f t="shared" si="28"/>
        <v>-1.1549310794180128E-2</v>
      </c>
      <c r="S32" s="25">
        <f t="shared" si="29"/>
        <v>0</v>
      </c>
      <c r="T32" s="387">
        <v>4578530432.9399996</v>
      </c>
      <c r="U32" s="343">
        <v>100</v>
      </c>
      <c r="V32" s="25">
        <f t="shared" si="30"/>
        <v>6.8291876331475106E-3</v>
      </c>
      <c r="W32" s="25">
        <f t="shared" si="31"/>
        <v>0</v>
      </c>
      <c r="X32" s="387">
        <v>4948133116.0500002</v>
      </c>
      <c r="Y32" s="343">
        <v>100</v>
      </c>
      <c r="Z32" s="25">
        <f t="shared" si="32"/>
        <v>8.0725177766847039E-2</v>
      </c>
      <c r="AA32" s="25">
        <f t="shared" si="33"/>
        <v>0</v>
      </c>
      <c r="AB32" s="387">
        <v>5097600129.79</v>
      </c>
      <c r="AC32" s="343">
        <v>100</v>
      </c>
      <c r="AD32" s="25">
        <f t="shared" si="34"/>
        <v>3.0206748734220881E-2</v>
      </c>
      <c r="AE32" s="25">
        <f t="shared" si="35"/>
        <v>0</v>
      </c>
      <c r="AF32" s="387">
        <v>5276874127.3199997</v>
      </c>
      <c r="AG32" s="343">
        <v>100</v>
      </c>
      <c r="AH32" s="25">
        <f t="shared" si="36"/>
        <v>3.5168313120979358E-2</v>
      </c>
      <c r="AI32" s="25">
        <f t="shared" si="37"/>
        <v>0</v>
      </c>
      <c r="AJ32" s="26">
        <f t="shared" si="16"/>
        <v>2.4138731554841697E-2</v>
      </c>
      <c r="AK32" s="26">
        <f t="shared" si="17"/>
        <v>0</v>
      </c>
      <c r="AL32" s="27">
        <f t="shared" si="18"/>
        <v>0.16631056525155621</v>
      </c>
      <c r="AM32" s="27">
        <f t="shared" si="19"/>
        <v>0</v>
      </c>
      <c r="AN32" s="28">
        <f t="shared" si="20"/>
        <v>3.0214162123895476E-2</v>
      </c>
      <c r="AO32" s="85">
        <f t="shared" si="21"/>
        <v>0</v>
      </c>
      <c r="AP32" s="32"/>
      <c r="AQ32" s="40"/>
      <c r="AR32" s="37"/>
      <c r="AS32" s="31"/>
      <c r="AT32" s="31"/>
    </row>
    <row r="33" spans="1:47">
      <c r="A33" s="217" t="s">
        <v>101</v>
      </c>
      <c r="B33" s="378">
        <v>655295529.41999996</v>
      </c>
      <c r="C33" s="343">
        <v>10</v>
      </c>
      <c r="D33" s="378">
        <v>613402936.33000004</v>
      </c>
      <c r="E33" s="343">
        <v>10</v>
      </c>
      <c r="F33" s="25">
        <f t="shared" si="22"/>
        <v>-6.3929313125451831E-2</v>
      </c>
      <c r="G33" s="25">
        <f t="shared" si="23"/>
        <v>0</v>
      </c>
      <c r="H33" s="378">
        <v>613402936.33000004</v>
      </c>
      <c r="I33" s="343">
        <v>10</v>
      </c>
      <c r="J33" s="25">
        <f t="shared" si="24"/>
        <v>0</v>
      </c>
      <c r="K33" s="25">
        <f t="shared" si="25"/>
        <v>0</v>
      </c>
      <c r="L33" s="378">
        <v>645320495.34000003</v>
      </c>
      <c r="M33" s="343">
        <v>10</v>
      </c>
      <c r="N33" s="25">
        <f t="shared" si="26"/>
        <v>5.2033593449948699E-2</v>
      </c>
      <c r="O33" s="25">
        <f t="shared" si="27"/>
        <v>0</v>
      </c>
      <c r="P33" s="378">
        <v>647957930.17999995</v>
      </c>
      <c r="Q33" s="343">
        <v>10</v>
      </c>
      <c r="R33" s="25">
        <f t="shared" si="28"/>
        <v>4.0870154582806619E-3</v>
      </c>
      <c r="S33" s="25">
        <f t="shared" si="29"/>
        <v>0</v>
      </c>
      <c r="T33" s="378">
        <v>647868996.38</v>
      </c>
      <c r="U33" s="343">
        <v>10</v>
      </c>
      <c r="V33" s="25">
        <f t="shared" si="30"/>
        <v>-1.372524292977584E-4</v>
      </c>
      <c r="W33" s="25">
        <f t="shared" si="31"/>
        <v>0</v>
      </c>
      <c r="X33" s="378">
        <v>628441670.25</v>
      </c>
      <c r="Y33" s="343">
        <v>10</v>
      </c>
      <c r="Z33" s="25">
        <f t="shared" si="32"/>
        <v>-2.9986503812578065E-2</v>
      </c>
      <c r="AA33" s="25">
        <f t="shared" si="33"/>
        <v>0</v>
      </c>
      <c r="AB33" s="378">
        <v>662781568.05999994</v>
      </c>
      <c r="AC33" s="343">
        <v>10</v>
      </c>
      <c r="AD33" s="25">
        <f t="shared" si="34"/>
        <v>5.4642935749851226E-2</v>
      </c>
      <c r="AE33" s="25">
        <f t="shared" si="35"/>
        <v>0</v>
      </c>
      <c r="AF33" s="378">
        <v>675469573</v>
      </c>
      <c r="AG33" s="343">
        <v>10</v>
      </c>
      <c r="AH33" s="25">
        <f t="shared" si="36"/>
        <v>1.9143569392158239E-2</v>
      </c>
      <c r="AI33" s="25">
        <f t="shared" si="37"/>
        <v>0</v>
      </c>
      <c r="AJ33" s="26">
        <f t="shared" si="16"/>
        <v>4.4817555853638967E-3</v>
      </c>
      <c r="AK33" s="26">
        <f t="shared" si="17"/>
        <v>0</v>
      </c>
      <c r="AL33" s="27">
        <f t="shared" si="18"/>
        <v>0.10118412057390151</v>
      </c>
      <c r="AM33" s="27">
        <f t="shared" si="19"/>
        <v>0</v>
      </c>
      <c r="AN33" s="28">
        <f t="shared" si="20"/>
        <v>3.9464274042504327E-2</v>
      </c>
      <c r="AO33" s="85">
        <f t="shared" si="21"/>
        <v>0</v>
      </c>
      <c r="AP33" s="32"/>
      <c r="AQ33" s="40"/>
      <c r="AR33" s="37"/>
      <c r="AS33" s="31"/>
      <c r="AT33" s="31"/>
    </row>
    <row r="34" spans="1:47">
      <c r="A34" s="217" t="s">
        <v>103</v>
      </c>
      <c r="B34" s="387">
        <v>4466605008</v>
      </c>
      <c r="C34" s="343">
        <v>100</v>
      </c>
      <c r="D34" s="387">
        <v>4073148387.6599998</v>
      </c>
      <c r="E34" s="343">
        <v>100</v>
      </c>
      <c r="F34" s="25">
        <f t="shared" si="22"/>
        <v>-8.8088519050888089E-2</v>
      </c>
      <c r="G34" s="25">
        <f t="shared" si="23"/>
        <v>0</v>
      </c>
      <c r="H34" s="387">
        <v>4076092021.0500002</v>
      </c>
      <c r="I34" s="343">
        <v>100</v>
      </c>
      <c r="J34" s="25">
        <f t="shared" si="24"/>
        <v>7.2269240151386766E-4</v>
      </c>
      <c r="K34" s="25">
        <f t="shared" si="25"/>
        <v>0</v>
      </c>
      <c r="L34" s="387">
        <v>4140718788.75</v>
      </c>
      <c r="M34" s="343">
        <v>100</v>
      </c>
      <c r="N34" s="25">
        <f t="shared" si="26"/>
        <v>1.5855080642500307E-2</v>
      </c>
      <c r="O34" s="25">
        <f t="shared" si="27"/>
        <v>0</v>
      </c>
      <c r="P34" s="387">
        <v>4231136818.3000002</v>
      </c>
      <c r="Q34" s="343">
        <v>100</v>
      </c>
      <c r="R34" s="25">
        <f t="shared" si="28"/>
        <v>2.1836312525172853E-2</v>
      </c>
      <c r="S34" s="25">
        <f t="shared" si="29"/>
        <v>0</v>
      </c>
      <c r="T34" s="387">
        <v>4300605234.7200003</v>
      </c>
      <c r="U34" s="343">
        <v>100</v>
      </c>
      <c r="V34" s="25">
        <f t="shared" si="30"/>
        <v>1.6418381017494803E-2</v>
      </c>
      <c r="W34" s="25">
        <f t="shared" si="31"/>
        <v>0</v>
      </c>
      <c r="X34" s="387">
        <v>4358837215.7799997</v>
      </c>
      <c r="Y34" s="343">
        <v>100</v>
      </c>
      <c r="Z34" s="25">
        <f t="shared" si="32"/>
        <v>1.354041533267835E-2</v>
      </c>
      <c r="AA34" s="25">
        <f t="shared" si="33"/>
        <v>0</v>
      </c>
      <c r="AB34" s="387">
        <v>4351234721.0900002</v>
      </c>
      <c r="AC34" s="343">
        <v>100</v>
      </c>
      <c r="AD34" s="25">
        <f t="shared" si="34"/>
        <v>-1.744156598112173E-3</v>
      </c>
      <c r="AE34" s="25">
        <f t="shared" si="35"/>
        <v>0</v>
      </c>
      <c r="AF34" s="387">
        <v>4374181165.1400003</v>
      </c>
      <c r="AG34" s="343">
        <v>100</v>
      </c>
      <c r="AH34" s="25">
        <f t="shared" si="36"/>
        <v>5.2735477446852197E-3</v>
      </c>
      <c r="AI34" s="25">
        <f t="shared" si="37"/>
        <v>0</v>
      </c>
      <c r="AJ34" s="26">
        <f t="shared" si="16"/>
        <v>-2.0232807481193587E-3</v>
      </c>
      <c r="AK34" s="26">
        <f t="shared" si="17"/>
        <v>0</v>
      </c>
      <c r="AL34" s="27">
        <f t="shared" si="18"/>
        <v>7.3906656185669203E-2</v>
      </c>
      <c r="AM34" s="27">
        <f t="shared" si="19"/>
        <v>0</v>
      </c>
      <c r="AN34" s="28">
        <f t="shared" si="20"/>
        <v>3.5735789884229673E-2</v>
      </c>
      <c r="AO34" s="85">
        <f t="shared" si="21"/>
        <v>0</v>
      </c>
      <c r="AP34" s="32"/>
      <c r="AQ34" s="40"/>
      <c r="AR34" s="37"/>
      <c r="AS34" s="31"/>
      <c r="AT34" s="31"/>
    </row>
    <row r="35" spans="1:47">
      <c r="A35" s="217" t="s">
        <v>104</v>
      </c>
      <c r="B35" s="387">
        <v>13026392574.200001</v>
      </c>
      <c r="C35" s="343">
        <v>100</v>
      </c>
      <c r="D35" s="387">
        <v>13190793032.799999</v>
      </c>
      <c r="E35" s="343">
        <v>100</v>
      </c>
      <c r="F35" s="25">
        <f t="shared" si="22"/>
        <v>1.2620566873257688E-2</v>
      </c>
      <c r="G35" s="25">
        <f t="shared" si="23"/>
        <v>0</v>
      </c>
      <c r="H35" s="387">
        <v>13428577023.67</v>
      </c>
      <c r="I35" s="343">
        <v>100</v>
      </c>
      <c r="J35" s="25">
        <f t="shared" si="24"/>
        <v>1.802651214970406E-2</v>
      </c>
      <c r="K35" s="25">
        <f t="shared" si="25"/>
        <v>0</v>
      </c>
      <c r="L35" s="387">
        <v>10865153127.73</v>
      </c>
      <c r="M35" s="343">
        <v>100</v>
      </c>
      <c r="N35" s="25">
        <f t="shared" si="26"/>
        <v>-0.1908931893097503</v>
      </c>
      <c r="O35" s="25">
        <f t="shared" si="27"/>
        <v>0</v>
      </c>
      <c r="P35" s="387">
        <v>10868640081.9</v>
      </c>
      <c r="Q35" s="343">
        <v>100</v>
      </c>
      <c r="R35" s="25">
        <f t="shared" si="28"/>
        <v>3.2093005307957289E-4</v>
      </c>
      <c r="S35" s="25">
        <f t="shared" si="29"/>
        <v>0</v>
      </c>
      <c r="T35" s="387">
        <v>11540500388.83</v>
      </c>
      <c r="U35" s="343">
        <v>100</v>
      </c>
      <c r="V35" s="25">
        <f t="shared" si="30"/>
        <v>6.1816409584569583E-2</v>
      </c>
      <c r="W35" s="25">
        <f t="shared" si="31"/>
        <v>0</v>
      </c>
      <c r="X35" s="387">
        <v>11669041718.58</v>
      </c>
      <c r="Y35" s="343">
        <v>100</v>
      </c>
      <c r="Z35" s="25">
        <f t="shared" si="32"/>
        <v>1.1138280440111123E-2</v>
      </c>
      <c r="AA35" s="25">
        <f t="shared" si="33"/>
        <v>0</v>
      </c>
      <c r="AB35" s="387">
        <v>12020396759.15</v>
      </c>
      <c r="AC35" s="343">
        <v>100</v>
      </c>
      <c r="AD35" s="25">
        <f t="shared" si="34"/>
        <v>3.0110016661484343E-2</v>
      </c>
      <c r="AE35" s="25">
        <f t="shared" si="35"/>
        <v>0</v>
      </c>
      <c r="AF35" s="387">
        <v>12504464911.290001</v>
      </c>
      <c r="AG35" s="343">
        <v>100</v>
      </c>
      <c r="AH35" s="25">
        <f t="shared" si="36"/>
        <v>4.02705635961247E-2</v>
      </c>
      <c r="AI35" s="25">
        <f t="shared" si="37"/>
        <v>0</v>
      </c>
      <c r="AJ35" s="26">
        <f t="shared" si="16"/>
        <v>-2.0737387439274061E-3</v>
      </c>
      <c r="AK35" s="26">
        <f t="shared" si="17"/>
        <v>0</v>
      </c>
      <c r="AL35" s="27">
        <f t="shared" si="18"/>
        <v>-5.2030846045676454E-2</v>
      </c>
      <c r="AM35" s="27">
        <f t="shared" si="19"/>
        <v>0</v>
      </c>
      <c r="AN35" s="28">
        <f t="shared" si="20"/>
        <v>7.8707237470081515E-2</v>
      </c>
      <c r="AO35" s="85">
        <f t="shared" si="21"/>
        <v>0</v>
      </c>
      <c r="AP35" s="32"/>
      <c r="AQ35" s="40"/>
      <c r="AR35" s="37"/>
      <c r="AS35" s="31"/>
      <c r="AT35" s="31"/>
    </row>
    <row r="36" spans="1:47">
      <c r="A36" s="217" t="s">
        <v>107</v>
      </c>
      <c r="B36" s="387">
        <v>10718237499.290001</v>
      </c>
      <c r="C36" s="72">
        <v>100</v>
      </c>
      <c r="D36" s="387">
        <v>10705768792.129999</v>
      </c>
      <c r="E36" s="72">
        <v>100</v>
      </c>
      <c r="F36" s="25">
        <f t="shared" si="22"/>
        <v>-1.163316931615642E-3</v>
      </c>
      <c r="G36" s="25">
        <f t="shared" si="23"/>
        <v>0</v>
      </c>
      <c r="H36" s="387">
        <v>10799706195.469999</v>
      </c>
      <c r="I36" s="72">
        <v>100</v>
      </c>
      <c r="J36" s="25">
        <f t="shared" si="24"/>
        <v>8.7744659130930616E-3</v>
      </c>
      <c r="K36" s="25">
        <f t="shared" si="25"/>
        <v>0</v>
      </c>
      <c r="L36" s="387">
        <v>10980503944.6</v>
      </c>
      <c r="M36" s="72">
        <v>100</v>
      </c>
      <c r="N36" s="25">
        <f t="shared" si="26"/>
        <v>1.6740987750744344E-2</v>
      </c>
      <c r="O36" s="25">
        <f t="shared" si="27"/>
        <v>0</v>
      </c>
      <c r="P36" s="387">
        <v>10961413389.75</v>
      </c>
      <c r="Q36" s="72">
        <v>100</v>
      </c>
      <c r="R36" s="25">
        <f t="shared" si="28"/>
        <v>-1.738586402438182E-3</v>
      </c>
      <c r="S36" s="25">
        <f t="shared" si="29"/>
        <v>0</v>
      </c>
      <c r="T36" s="387">
        <v>10666444988.200001</v>
      </c>
      <c r="U36" s="72">
        <v>100</v>
      </c>
      <c r="V36" s="25">
        <f t="shared" si="30"/>
        <v>-2.6909705077433146E-2</v>
      </c>
      <c r="W36" s="25">
        <f t="shared" si="31"/>
        <v>0</v>
      </c>
      <c r="X36" s="387">
        <v>10640450151.299999</v>
      </c>
      <c r="Y36" s="72">
        <v>100</v>
      </c>
      <c r="Z36" s="25">
        <f t="shared" si="32"/>
        <v>-2.4370666073615819E-3</v>
      </c>
      <c r="AA36" s="25">
        <f t="shared" si="33"/>
        <v>0</v>
      </c>
      <c r="AB36" s="387">
        <v>10917044746.450001</v>
      </c>
      <c r="AC36" s="72">
        <v>100</v>
      </c>
      <c r="AD36" s="25">
        <f t="shared" si="34"/>
        <v>2.5994632860171667E-2</v>
      </c>
      <c r="AE36" s="25">
        <f t="shared" si="35"/>
        <v>0</v>
      </c>
      <c r="AF36" s="387">
        <v>11015445726.200001</v>
      </c>
      <c r="AG36" s="72">
        <v>100</v>
      </c>
      <c r="AH36" s="25">
        <f t="shared" si="36"/>
        <v>9.0135180385697306E-3</v>
      </c>
      <c r="AI36" s="25">
        <f t="shared" si="37"/>
        <v>0</v>
      </c>
      <c r="AJ36" s="26">
        <f t="shared" si="16"/>
        <v>3.5343661929662816E-3</v>
      </c>
      <c r="AK36" s="26">
        <f t="shared" si="17"/>
        <v>0</v>
      </c>
      <c r="AL36" s="27">
        <f t="shared" si="18"/>
        <v>2.8926174297510574E-2</v>
      </c>
      <c r="AM36" s="27">
        <f t="shared" si="19"/>
        <v>0</v>
      </c>
      <c r="AN36" s="28">
        <f t="shared" si="20"/>
        <v>1.5805649635380174E-2</v>
      </c>
      <c r="AO36" s="85">
        <f t="shared" si="21"/>
        <v>0</v>
      </c>
      <c r="AP36" s="32"/>
      <c r="AQ36" s="40"/>
      <c r="AR36" s="37"/>
      <c r="AS36" s="31"/>
      <c r="AT36" s="31"/>
    </row>
    <row r="37" spans="1:47">
      <c r="A37" s="217" t="s">
        <v>106</v>
      </c>
      <c r="B37" s="387">
        <v>428041424.20999998</v>
      </c>
      <c r="C37" s="72">
        <v>1000000</v>
      </c>
      <c r="D37" s="387">
        <v>429066925.85000002</v>
      </c>
      <c r="E37" s="72">
        <v>1000000</v>
      </c>
      <c r="F37" s="25">
        <f t="shared" si="22"/>
        <v>2.3957999903694541E-3</v>
      </c>
      <c r="G37" s="25">
        <f t="shared" si="23"/>
        <v>0</v>
      </c>
      <c r="H37" s="387">
        <v>430053365.62</v>
      </c>
      <c r="I37" s="72">
        <v>1000000</v>
      </c>
      <c r="J37" s="25">
        <f t="shared" si="24"/>
        <v>2.2990347439290535E-3</v>
      </c>
      <c r="K37" s="25">
        <f t="shared" si="25"/>
        <v>0</v>
      </c>
      <c r="L37" s="387">
        <v>431018536.70999998</v>
      </c>
      <c r="M37" s="72">
        <v>1000000</v>
      </c>
      <c r="N37" s="25">
        <f t="shared" si="26"/>
        <v>2.2443053982579685E-3</v>
      </c>
      <c r="O37" s="25">
        <f t="shared" si="27"/>
        <v>0</v>
      </c>
      <c r="P37" s="387">
        <v>425628416.70999998</v>
      </c>
      <c r="Q37" s="72">
        <v>1000000</v>
      </c>
      <c r="R37" s="25">
        <f t="shared" si="28"/>
        <v>-1.2505541040399864E-2</v>
      </c>
      <c r="S37" s="25">
        <f t="shared" si="29"/>
        <v>0</v>
      </c>
      <c r="T37" s="387">
        <v>426567162.81999999</v>
      </c>
      <c r="U37" s="72">
        <v>1000000</v>
      </c>
      <c r="V37" s="25">
        <f t="shared" si="30"/>
        <v>2.2055531847621555E-3</v>
      </c>
      <c r="W37" s="25">
        <f t="shared" si="31"/>
        <v>0</v>
      </c>
      <c r="X37" s="387">
        <v>563267863.15999997</v>
      </c>
      <c r="Y37" s="72">
        <v>1000000</v>
      </c>
      <c r="Z37" s="25">
        <f t="shared" si="32"/>
        <v>0.320467003217695</v>
      </c>
      <c r="AA37" s="25">
        <f t="shared" si="33"/>
        <v>0</v>
      </c>
      <c r="AB37" s="387">
        <v>564203738.75999999</v>
      </c>
      <c r="AC37" s="72">
        <v>1000000</v>
      </c>
      <c r="AD37" s="25">
        <f t="shared" si="34"/>
        <v>1.6615107326550639E-3</v>
      </c>
      <c r="AE37" s="25">
        <f t="shared" si="35"/>
        <v>0</v>
      </c>
      <c r="AF37" s="387">
        <v>565070760.17999995</v>
      </c>
      <c r="AG37" s="72">
        <v>1000000</v>
      </c>
      <c r="AH37" s="25">
        <f t="shared" si="36"/>
        <v>1.5367168992986222E-3</v>
      </c>
      <c r="AI37" s="25">
        <f t="shared" si="37"/>
        <v>0</v>
      </c>
      <c r="AJ37" s="26">
        <f t="shared" si="16"/>
        <v>4.0038047890820938E-2</v>
      </c>
      <c r="AK37" s="26">
        <f t="shared" si="17"/>
        <v>0</v>
      </c>
      <c r="AL37" s="27">
        <f t="shared" si="18"/>
        <v>0.31697580525595276</v>
      </c>
      <c r="AM37" s="27">
        <f t="shared" si="19"/>
        <v>0</v>
      </c>
      <c r="AN37" s="28">
        <f t="shared" si="20"/>
        <v>0.11342535329045035</v>
      </c>
      <c r="AO37" s="85">
        <f t="shared" si="21"/>
        <v>0</v>
      </c>
      <c r="AP37" s="32"/>
      <c r="AQ37" s="40"/>
      <c r="AR37" s="37"/>
      <c r="AS37" s="31"/>
      <c r="AT37" s="31"/>
      <c r="AU37" s="97"/>
    </row>
    <row r="38" spans="1:47">
      <c r="A38" s="217" t="s">
        <v>115</v>
      </c>
      <c r="B38" s="387">
        <v>4271647036.1900001</v>
      </c>
      <c r="C38" s="343">
        <v>1</v>
      </c>
      <c r="D38" s="387">
        <v>3963336768.5799999</v>
      </c>
      <c r="E38" s="343">
        <v>1</v>
      </c>
      <c r="F38" s="25">
        <f t="shared" si="22"/>
        <v>-7.2175969830360925E-2</v>
      </c>
      <c r="G38" s="25">
        <f t="shared" si="23"/>
        <v>0</v>
      </c>
      <c r="H38" s="387">
        <v>4018142642.6700001</v>
      </c>
      <c r="I38" s="343">
        <v>1</v>
      </c>
      <c r="J38" s="25">
        <f t="shared" si="24"/>
        <v>1.3828215286796388E-2</v>
      </c>
      <c r="K38" s="25">
        <f t="shared" si="25"/>
        <v>0</v>
      </c>
      <c r="L38" s="387">
        <v>4047649698.71</v>
      </c>
      <c r="M38" s="343">
        <v>1</v>
      </c>
      <c r="N38" s="25">
        <f t="shared" si="26"/>
        <v>7.3434565828138275E-3</v>
      </c>
      <c r="O38" s="25">
        <f t="shared" si="27"/>
        <v>0</v>
      </c>
      <c r="P38" s="387">
        <v>3896504082.9499998</v>
      </c>
      <c r="Q38" s="343">
        <v>1</v>
      </c>
      <c r="R38" s="25">
        <f t="shared" si="28"/>
        <v>-3.7341575237642442E-2</v>
      </c>
      <c r="S38" s="25">
        <f t="shared" si="29"/>
        <v>0</v>
      </c>
      <c r="T38" s="387">
        <v>3690124388.1900001</v>
      </c>
      <c r="U38" s="343">
        <v>1</v>
      </c>
      <c r="V38" s="25">
        <f t="shared" si="30"/>
        <v>-5.2965348005936642E-2</v>
      </c>
      <c r="W38" s="25">
        <f t="shared" si="31"/>
        <v>0</v>
      </c>
      <c r="X38" s="387">
        <v>3690124388.1900001</v>
      </c>
      <c r="Y38" s="343">
        <v>1</v>
      </c>
      <c r="Z38" s="25">
        <f t="shared" si="32"/>
        <v>0</v>
      </c>
      <c r="AA38" s="25">
        <f t="shared" si="33"/>
        <v>0</v>
      </c>
      <c r="AB38" s="387">
        <v>4023325120.48</v>
      </c>
      <c r="AC38" s="343">
        <v>1</v>
      </c>
      <c r="AD38" s="25">
        <f t="shared" si="34"/>
        <v>9.0295257622314024E-2</v>
      </c>
      <c r="AE38" s="25">
        <f t="shared" si="35"/>
        <v>0</v>
      </c>
      <c r="AF38" s="387">
        <v>4054538294.4499998</v>
      </c>
      <c r="AG38" s="343">
        <v>1</v>
      </c>
      <c r="AH38" s="25">
        <f t="shared" si="36"/>
        <v>7.7580541058227788E-3</v>
      </c>
      <c r="AI38" s="25">
        <f t="shared" si="37"/>
        <v>0</v>
      </c>
      <c r="AJ38" s="26">
        <f t="shared" si="16"/>
        <v>-5.4072386845241231E-3</v>
      </c>
      <c r="AK38" s="26">
        <f t="shared" si="17"/>
        <v>0</v>
      </c>
      <c r="AL38" s="27">
        <f t="shared" si="18"/>
        <v>2.3011298609044502E-2</v>
      </c>
      <c r="AM38" s="27">
        <f t="shared" si="19"/>
        <v>0</v>
      </c>
      <c r="AN38" s="28">
        <f t="shared" si="20"/>
        <v>5.0190711939889748E-2</v>
      </c>
      <c r="AO38" s="85">
        <f t="shared" si="21"/>
        <v>0</v>
      </c>
      <c r="AP38" s="32"/>
      <c r="AQ38" s="40"/>
      <c r="AR38" s="37"/>
      <c r="AS38" s="31"/>
      <c r="AT38" s="31"/>
    </row>
    <row r="39" spans="1:47" s="93" customFormat="1">
      <c r="A39" s="217" t="s">
        <v>120</v>
      </c>
      <c r="B39" s="387">
        <v>16768344925.73</v>
      </c>
      <c r="C39" s="343">
        <v>1</v>
      </c>
      <c r="D39" s="387">
        <v>16713801813.1</v>
      </c>
      <c r="E39" s="343">
        <v>1</v>
      </c>
      <c r="F39" s="25">
        <f t="shared" si="22"/>
        <v>-3.2527427645113677E-3</v>
      </c>
      <c r="G39" s="25">
        <f t="shared" si="23"/>
        <v>0</v>
      </c>
      <c r="H39" s="387">
        <v>16967584727.219999</v>
      </c>
      <c r="I39" s="343">
        <v>1</v>
      </c>
      <c r="J39" s="25">
        <f t="shared" si="24"/>
        <v>1.5184032750770569E-2</v>
      </c>
      <c r="K39" s="25">
        <f t="shared" si="25"/>
        <v>0</v>
      </c>
      <c r="L39" s="387">
        <v>17158355947.77</v>
      </c>
      <c r="M39" s="343">
        <v>1</v>
      </c>
      <c r="N39" s="25">
        <f t="shared" si="26"/>
        <v>1.1243274963227926E-2</v>
      </c>
      <c r="O39" s="25">
        <f t="shared" si="27"/>
        <v>0</v>
      </c>
      <c r="P39" s="387">
        <v>17261206000.369999</v>
      </c>
      <c r="Q39" s="343">
        <v>1</v>
      </c>
      <c r="R39" s="25">
        <f t="shared" si="28"/>
        <v>5.9941670934601085E-3</v>
      </c>
      <c r="S39" s="25">
        <f t="shared" si="29"/>
        <v>0</v>
      </c>
      <c r="T39" s="387">
        <v>17676291839.209999</v>
      </c>
      <c r="U39" s="343">
        <v>1</v>
      </c>
      <c r="V39" s="25">
        <f t="shared" si="30"/>
        <v>2.4047325478364759E-2</v>
      </c>
      <c r="W39" s="25">
        <f t="shared" si="31"/>
        <v>0</v>
      </c>
      <c r="X39" s="387">
        <v>18051521459.57</v>
      </c>
      <c r="Y39" s="343">
        <v>1</v>
      </c>
      <c r="Z39" s="25">
        <f t="shared" si="32"/>
        <v>2.1227847094471293E-2</v>
      </c>
      <c r="AA39" s="25">
        <f t="shared" si="33"/>
        <v>0</v>
      </c>
      <c r="AB39" s="387">
        <v>18748003183.139999</v>
      </c>
      <c r="AC39" s="343">
        <v>1</v>
      </c>
      <c r="AD39" s="25">
        <f t="shared" si="34"/>
        <v>3.8582992859073406E-2</v>
      </c>
      <c r="AE39" s="25">
        <f t="shared" si="35"/>
        <v>0</v>
      </c>
      <c r="AF39" s="387">
        <v>19639567240.580002</v>
      </c>
      <c r="AG39" s="343">
        <v>1</v>
      </c>
      <c r="AH39" s="25">
        <f t="shared" si="36"/>
        <v>4.7555147539220723E-2</v>
      </c>
      <c r="AI39" s="25">
        <f t="shared" si="37"/>
        <v>0</v>
      </c>
      <c r="AJ39" s="26">
        <f t="shared" si="16"/>
        <v>2.0072755626759677E-2</v>
      </c>
      <c r="AK39" s="26">
        <f t="shared" si="17"/>
        <v>0</v>
      </c>
      <c r="AL39" s="27">
        <f t="shared" si="18"/>
        <v>0.17505086276581519</v>
      </c>
      <c r="AM39" s="27">
        <f t="shared" si="19"/>
        <v>0</v>
      </c>
      <c r="AN39" s="28">
        <f t="shared" si="20"/>
        <v>1.672972999469485E-2</v>
      </c>
      <c r="AO39" s="85">
        <f t="shared" si="21"/>
        <v>0</v>
      </c>
      <c r="AP39" s="32"/>
      <c r="AQ39" s="40"/>
      <c r="AR39" s="37"/>
      <c r="AS39" s="31"/>
      <c r="AT39" s="31"/>
    </row>
    <row r="40" spans="1:47" s="95" customFormat="1">
      <c r="A40" s="217" t="s">
        <v>123</v>
      </c>
      <c r="B40" s="387">
        <v>633906137.69000006</v>
      </c>
      <c r="C40" s="343">
        <v>100</v>
      </c>
      <c r="D40" s="387">
        <v>632456158.00999999</v>
      </c>
      <c r="E40" s="343">
        <v>100</v>
      </c>
      <c r="F40" s="25">
        <f t="shared" si="22"/>
        <v>-2.2873728361171857E-3</v>
      </c>
      <c r="G40" s="25">
        <f t="shared" si="23"/>
        <v>0</v>
      </c>
      <c r="H40" s="387">
        <v>636735588.23000002</v>
      </c>
      <c r="I40" s="343">
        <v>100</v>
      </c>
      <c r="J40" s="25">
        <f t="shared" si="24"/>
        <v>6.7663665944294044E-3</v>
      </c>
      <c r="K40" s="25">
        <f t="shared" si="25"/>
        <v>0</v>
      </c>
      <c r="L40" s="387">
        <v>641338572.60000002</v>
      </c>
      <c r="M40" s="343">
        <v>100</v>
      </c>
      <c r="N40" s="25">
        <f t="shared" si="26"/>
        <v>7.2290358118593592E-3</v>
      </c>
      <c r="O40" s="25">
        <f t="shared" si="27"/>
        <v>0</v>
      </c>
      <c r="P40" s="387">
        <v>640783905.09000003</v>
      </c>
      <c r="Q40" s="343">
        <v>100</v>
      </c>
      <c r="R40" s="25">
        <f t="shared" si="28"/>
        <v>-8.6485911451007346E-4</v>
      </c>
      <c r="S40" s="25">
        <f t="shared" si="29"/>
        <v>0</v>
      </c>
      <c r="T40" s="387">
        <v>649687292.97000003</v>
      </c>
      <c r="U40" s="343">
        <v>100</v>
      </c>
      <c r="V40" s="25">
        <f t="shared" si="30"/>
        <v>1.3894524830097734E-2</v>
      </c>
      <c r="W40" s="25">
        <f t="shared" si="31"/>
        <v>0</v>
      </c>
      <c r="X40" s="387">
        <v>674433769.01999998</v>
      </c>
      <c r="Y40" s="343">
        <v>100</v>
      </c>
      <c r="Z40" s="25">
        <f t="shared" si="32"/>
        <v>3.808982616371203E-2</v>
      </c>
      <c r="AA40" s="25">
        <f t="shared" si="33"/>
        <v>0</v>
      </c>
      <c r="AB40" s="387">
        <v>678838566.63999999</v>
      </c>
      <c r="AC40" s="343">
        <v>100</v>
      </c>
      <c r="AD40" s="25">
        <f t="shared" si="34"/>
        <v>6.5311047909129578E-3</v>
      </c>
      <c r="AE40" s="25">
        <f t="shared" si="35"/>
        <v>0</v>
      </c>
      <c r="AF40" s="387">
        <v>685907164.41999996</v>
      </c>
      <c r="AG40" s="343">
        <v>100</v>
      </c>
      <c r="AH40" s="25">
        <f t="shared" si="36"/>
        <v>1.0412781664699632E-2</v>
      </c>
      <c r="AI40" s="25">
        <f t="shared" si="37"/>
        <v>0</v>
      </c>
      <c r="AJ40" s="26">
        <f t="shared" si="16"/>
        <v>9.9714259881354822E-3</v>
      </c>
      <c r="AK40" s="26">
        <f t="shared" si="17"/>
        <v>0</v>
      </c>
      <c r="AL40" s="27">
        <f t="shared" si="18"/>
        <v>8.4513378094351374E-2</v>
      </c>
      <c r="AM40" s="27">
        <f t="shared" si="19"/>
        <v>0</v>
      </c>
      <c r="AN40" s="28">
        <f t="shared" si="20"/>
        <v>1.2555943787513537E-2</v>
      </c>
      <c r="AO40" s="85">
        <f t="shared" si="21"/>
        <v>0</v>
      </c>
      <c r="AP40" s="32"/>
      <c r="AQ40" s="40"/>
      <c r="AR40" s="37"/>
      <c r="AS40" s="31"/>
      <c r="AT40" s="31"/>
    </row>
    <row r="41" spans="1:47" s="95" customFormat="1">
      <c r="A41" s="217" t="s">
        <v>130</v>
      </c>
      <c r="B41" s="387">
        <v>3422881617.3800001</v>
      </c>
      <c r="C41" s="343">
        <v>1</v>
      </c>
      <c r="D41" s="387">
        <v>3417098546.5799999</v>
      </c>
      <c r="E41" s="343">
        <v>1</v>
      </c>
      <c r="F41" s="25">
        <f t="shared" si="22"/>
        <v>-1.6895328107861254E-3</v>
      </c>
      <c r="G41" s="25">
        <f t="shared" si="23"/>
        <v>0</v>
      </c>
      <c r="H41" s="387">
        <v>3425870364.98</v>
      </c>
      <c r="I41" s="343">
        <v>1</v>
      </c>
      <c r="J41" s="25">
        <f t="shared" si="24"/>
        <v>2.5670369994975303E-3</v>
      </c>
      <c r="K41" s="25">
        <f t="shared" si="25"/>
        <v>0</v>
      </c>
      <c r="L41" s="410">
        <v>3381298897</v>
      </c>
      <c r="M41" s="343">
        <v>1</v>
      </c>
      <c r="N41" s="25">
        <f t="shared" si="26"/>
        <v>-1.3010261110758703E-2</v>
      </c>
      <c r="O41" s="25">
        <f t="shared" si="27"/>
        <v>0</v>
      </c>
      <c r="P41" s="410">
        <v>3426088899.6900001</v>
      </c>
      <c r="Q41" s="343">
        <v>1</v>
      </c>
      <c r="R41" s="25">
        <f t="shared" si="28"/>
        <v>1.3246389643263785E-2</v>
      </c>
      <c r="S41" s="25">
        <f t="shared" si="29"/>
        <v>0</v>
      </c>
      <c r="T41" s="410">
        <v>3543416652.5999999</v>
      </c>
      <c r="U41" s="343">
        <v>1</v>
      </c>
      <c r="V41" s="25">
        <f t="shared" si="30"/>
        <v>3.4245390690421346E-2</v>
      </c>
      <c r="W41" s="25">
        <f t="shared" si="31"/>
        <v>0</v>
      </c>
      <c r="X41" s="410">
        <v>3433910989.7600002</v>
      </c>
      <c r="Y41" s="343">
        <v>1</v>
      </c>
      <c r="Z41" s="25">
        <f t="shared" si="32"/>
        <v>-3.0903975901239087E-2</v>
      </c>
      <c r="AA41" s="25">
        <f t="shared" si="33"/>
        <v>0</v>
      </c>
      <c r="AB41" s="410">
        <v>3450376869.5100002</v>
      </c>
      <c r="AC41" s="343">
        <v>1</v>
      </c>
      <c r="AD41" s="25">
        <f t="shared" si="34"/>
        <v>4.7950805361879276E-3</v>
      </c>
      <c r="AE41" s="25">
        <f t="shared" si="35"/>
        <v>0</v>
      </c>
      <c r="AF41" s="410">
        <v>3405676489.3499999</v>
      </c>
      <c r="AG41" s="343">
        <v>1</v>
      </c>
      <c r="AH41" s="25">
        <f t="shared" si="36"/>
        <v>-1.2955216734439903E-2</v>
      </c>
      <c r="AI41" s="25">
        <f t="shared" si="37"/>
        <v>0</v>
      </c>
      <c r="AJ41" s="26">
        <f t="shared" si="16"/>
        <v>-4.6313608598165393E-4</v>
      </c>
      <c r="AK41" s="26">
        <f t="shared" si="17"/>
        <v>0</v>
      </c>
      <c r="AL41" s="27">
        <f t="shared" si="18"/>
        <v>-3.342618620534598E-3</v>
      </c>
      <c r="AM41" s="27">
        <f t="shared" si="19"/>
        <v>0</v>
      </c>
      <c r="AN41" s="28">
        <f t="shared" si="20"/>
        <v>1.953420048670132E-2</v>
      </c>
      <c r="AO41" s="85">
        <f t="shared" si="21"/>
        <v>0</v>
      </c>
      <c r="AP41" s="32"/>
      <c r="AQ41" s="40"/>
      <c r="AR41" s="37"/>
      <c r="AS41" s="31"/>
      <c r="AT41" s="31"/>
    </row>
    <row r="42" spans="1:47" s="95" customFormat="1">
      <c r="A42" s="217" t="s">
        <v>131</v>
      </c>
      <c r="B42" s="387">
        <v>579919864.80999994</v>
      </c>
      <c r="C42" s="343">
        <v>10</v>
      </c>
      <c r="D42" s="387">
        <v>561772700.15999997</v>
      </c>
      <c r="E42" s="343">
        <v>10</v>
      </c>
      <c r="F42" s="25">
        <f t="shared" si="22"/>
        <v>-3.1292538419847991E-2</v>
      </c>
      <c r="G42" s="25">
        <f t="shared" si="23"/>
        <v>0</v>
      </c>
      <c r="H42" s="387">
        <v>562082669.73000002</v>
      </c>
      <c r="I42" s="343">
        <v>10</v>
      </c>
      <c r="J42" s="25">
        <f t="shared" si="24"/>
        <v>5.517704400939547E-4</v>
      </c>
      <c r="K42" s="25">
        <f t="shared" si="25"/>
        <v>0</v>
      </c>
      <c r="L42" s="387">
        <v>548058963.17999995</v>
      </c>
      <c r="M42" s="343">
        <v>10</v>
      </c>
      <c r="N42" s="25">
        <f t="shared" si="26"/>
        <v>-2.4949544444656954E-2</v>
      </c>
      <c r="O42" s="25">
        <f t="shared" si="27"/>
        <v>0</v>
      </c>
      <c r="P42" s="387">
        <v>557265275.24000001</v>
      </c>
      <c r="Q42" s="343">
        <v>10</v>
      </c>
      <c r="R42" s="25">
        <f t="shared" si="28"/>
        <v>1.6798032106951268E-2</v>
      </c>
      <c r="S42" s="25">
        <f t="shared" si="29"/>
        <v>0</v>
      </c>
      <c r="T42" s="387">
        <v>557265275.24000001</v>
      </c>
      <c r="U42" s="343">
        <v>10</v>
      </c>
      <c r="V42" s="25">
        <f t="shared" si="30"/>
        <v>0</v>
      </c>
      <c r="W42" s="25">
        <f t="shared" si="31"/>
        <v>0</v>
      </c>
      <c r="X42" s="387">
        <v>535648257.05000001</v>
      </c>
      <c r="Y42" s="343">
        <v>10</v>
      </c>
      <c r="Z42" s="25">
        <f t="shared" si="32"/>
        <v>-3.8791252838587684E-2</v>
      </c>
      <c r="AA42" s="25">
        <f t="shared" si="33"/>
        <v>0</v>
      </c>
      <c r="AB42" s="387">
        <v>540837911.65999997</v>
      </c>
      <c r="AC42" s="343">
        <v>10</v>
      </c>
      <c r="AD42" s="25">
        <f t="shared" si="34"/>
        <v>9.6885494196904051E-3</v>
      </c>
      <c r="AE42" s="25">
        <f t="shared" si="35"/>
        <v>0</v>
      </c>
      <c r="AF42" s="387">
        <v>545763593.88999999</v>
      </c>
      <c r="AG42" s="343">
        <v>10</v>
      </c>
      <c r="AH42" s="25">
        <f t="shared" si="36"/>
        <v>9.1075017557137716E-3</v>
      </c>
      <c r="AI42" s="25">
        <f t="shared" si="37"/>
        <v>0</v>
      </c>
      <c r="AJ42" s="26">
        <f t="shared" si="16"/>
        <v>-7.3609352475804048E-3</v>
      </c>
      <c r="AK42" s="26">
        <f t="shared" si="17"/>
        <v>0</v>
      </c>
      <c r="AL42" s="27">
        <f t="shared" si="18"/>
        <v>-2.8497479969105628E-2</v>
      </c>
      <c r="AM42" s="27">
        <f t="shared" si="19"/>
        <v>0</v>
      </c>
      <c r="AN42" s="28">
        <f t="shared" si="20"/>
        <v>2.1153486693893414E-2</v>
      </c>
      <c r="AO42" s="85">
        <f t="shared" si="21"/>
        <v>0</v>
      </c>
      <c r="AP42" s="32"/>
      <c r="AQ42" s="40"/>
      <c r="AR42" s="37"/>
      <c r="AS42" s="31"/>
      <c r="AT42" s="31"/>
    </row>
    <row r="43" spans="1:47" s="95" customFormat="1">
      <c r="A43" s="217" t="s">
        <v>141</v>
      </c>
      <c r="B43" s="387">
        <v>606408835.61000001</v>
      </c>
      <c r="C43" s="343">
        <v>1</v>
      </c>
      <c r="D43" s="387">
        <v>610326821.45000005</v>
      </c>
      <c r="E43" s="343">
        <v>1</v>
      </c>
      <c r="F43" s="25">
        <f t="shared" si="22"/>
        <v>6.4609643031649519E-3</v>
      </c>
      <c r="G43" s="25">
        <f t="shared" si="23"/>
        <v>0</v>
      </c>
      <c r="H43" s="387">
        <v>591707454.80999994</v>
      </c>
      <c r="I43" s="343">
        <v>1</v>
      </c>
      <c r="J43" s="25">
        <f t="shared" si="24"/>
        <v>-3.0507206935072348E-2</v>
      </c>
      <c r="K43" s="25">
        <f t="shared" si="25"/>
        <v>0</v>
      </c>
      <c r="L43" s="387">
        <v>608579093.09000003</v>
      </c>
      <c r="M43" s="343">
        <v>1</v>
      </c>
      <c r="N43" s="25">
        <f t="shared" si="26"/>
        <v>2.8513479326397289E-2</v>
      </c>
      <c r="O43" s="25">
        <f t="shared" si="27"/>
        <v>0</v>
      </c>
      <c r="P43" s="387">
        <v>604903703.10000002</v>
      </c>
      <c r="Q43" s="343">
        <v>1</v>
      </c>
      <c r="R43" s="25">
        <f t="shared" si="28"/>
        <v>-6.0392971624092127E-3</v>
      </c>
      <c r="S43" s="25">
        <f t="shared" si="29"/>
        <v>0</v>
      </c>
      <c r="T43" s="387">
        <v>621779090.69000006</v>
      </c>
      <c r="U43" s="343">
        <v>1</v>
      </c>
      <c r="V43" s="25">
        <f t="shared" si="30"/>
        <v>2.789764305213762E-2</v>
      </c>
      <c r="W43" s="25">
        <f t="shared" si="31"/>
        <v>0</v>
      </c>
      <c r="X43" s="387">
        <v>640285265.87</v>
      </c>
      <c r="Y43" s="343">
        <v>1</v>
      </c>
      <c r="Z43" s="25">
        <f t="shared" si="32"/>
        <v>2.9763263926201336E-2</v>
      </c>
      <c r="AA43" s="25">
        <f t="shared" si="33"/>
        <v>0</v>
      </c>
      <c r="AB43" s="387">
        <v>642927561.24000001</v>
      </c>
      <c r="AC43" s="343">
        <v>1</v>
      </c>
      <c r="AD43" s="25">
        <f t="shared" si="34"/>
        <v>4.1267471092119147E-3</v>
      </c>
      <c r="AE43" s="25">
        <f t="shared" si="35"/>
        <v>0</v>
      </c>
      <c r="AF43" s="387">
        <v>649009247.21000004</v>
      </c>
      <c r="AG43" s="343">
        <v>1</v>
      </c>
      <c r="AH43" s="25">
        <f t="shared" si="36"/>
        <v>9.4593642217957134E-3</v>
      </c>
      <c r="AI43" s="25">
        <f t="shared" si="37"/>
        <v>0</v>
      </c>
      <c r="AJ43" s="26">
        <f t="shared" si="16"/>
        <v>8.7093697301784088E-3</v>
      </c>
      <c r="AK43" s="26">
        <f t="shared" si="17"/>
        <v>0</v>
      </c>
      <c r="AL43" s="27">
        <f t="shared" si="18"/>
        <v>6.3379855514295105E-2</v>
      </c>
      <c r="AM43" s="27">
        <f t="shared" si="19"/>
        <v>0</v>
      </c>
      <c r="AN43" s="28">
        <f t="shared" si="20"/>
        <v>2.0652707743719578E-2</v>
      </c>
      <c r="AO43" s="85">
        <f t="shared" si="21"/>
        <v>0</v>
      </c>
      <c r="AP43" s="32"/>
      <c r="AQ43" s="40"/>
      <c r="AR43" s="37"/>
      <c r="AS43" s="31"/>
      <c r="AT43" s="31"/>
    </row>
    <row r="44" spans="1:47" s="95" customFormat="1">
      <c r="A44" s="217" t="s">
        <v>179</v>
      </c>
      <c r="B44" s="387">
        <v>7274779125.4899998</v>
      </c>
      <c r="C44" s="343">
        <v>100</v>
      </c>
      <c r="D44" s="387">
        <v>7412677086.3437996</v>
      </c>
      <c r="E44" s="343">
        <v>100</v>
      </c>
      <c r="F44" s="25">
        <f t="shared" si="22"/>
        <v>1.8955621672501508E-2</v>
      </c>
      <c r="G44" s="25">
        <f t="shared" si="23"/>
        <v>0</v>
      </c>
      <c r="H44" s="387">
        <v>7443397387.1399994</v>
      </c>
      <c r="I44" s="343">
        <v>100</v>
      </c>
      <c r="J44" s="25">
        <f t="shared" si="24"/>
        <v>4.1442923303370502E-3</v>
      </c>
      <c r="K44" s="25">
        <f t="shared" si="25"/>
        <v>0</v>
      </c>
      <c r="L44" s="387">
        <v>7557726874.7799988</v>
      </c>
      <c r="M44" s="343">
        <v>100</v>
      </c>
      <c r="N44" s="25">
        <f t="shared" si="26"/>
        <v>1.5359852724983769E-2</v>
      </c>
      <c r="O44" s="25">
        <f t="shared" si="27"/>
        <v>0</v>
      </c>
      <c r="P44" s="387">
        <v>8051757533.4700003</v>
      </c>
      <c r="Q44" s="343">
        <v>100</v>
      </c>
      <c r="R44" s="25">
        <f t="shared" si="28"/>
        <v>6.5367625329061985E-2</v>
      </c>
      <c r="S44" s="25">
        <f t="shared" si="29"/>
        <v>0</v>
      </c>
      <c r="T44" s="387">
        <v>8363312741.2300005</v>
      </c>
      <c r="U44" s="343">
        <v>100</v>
      </c>
      <c r="V44" s="25">
        <f t="shared" si="30"/>
        <v>3.8694062316818406E-2</v>
      </c>
      <c r="W44" s="25">
        <f t="shared" si="31"/>
        <v>0</v>
      </c>
      <c r="X44" s="387">
        <v>8374602897.71</v>
      </c>
      <c r="Y44" s="343">
        <v>100</v>
      </c>
      <c r="Z44" s="25">
        <f t="shared" si="32"/>
        <v>1.3499622493298139E-3</v>
      </c>
      <c r="AA44" s="25">
        <f t="shared" si="33"/>
        <v>0</v>
      </c>
      <c r="AB44" s="387">
        <v>8377701168.6900005</v>
      </c>
      <c r="AC44" s="343">
        <v>100</v>
      </c>
      <c r="AD44" s="25">
        <f t="shared" si="34"/>
        <v>3.6996034532547271E-4</v>
      </c>
      <c r="AE44" s="25">
        <f t="shared" si="35"/>
        <v>0</v>
      </c>
      <c r="AF44" s="387">
        <v>8419801649.0600004</v>
      </c>
      <c r="AG44" s="343">
        <v>100</v>
      </c>
      <c r="AH44" s="25">
        <f t="shared" si="36"/>
        <v>5.025302230562018E-3</v>
      </c>
      <c r="AI44" s="25">
        <f t="shared" si="37"/>
        <v>0</v>
      </c>
      <c r="AJ44" s="26">
        <f t="shared" si="16"/>
        <v>1.8658334899865004E-2</v>
      </c>
      <c r="AK44" s="26">
        <f t="shared" si="17"/>
        <v>0</v>
      </c>
      <c r="AL44" s="27">
        <f t="shared" si="18"/>
        <v>0.13586516058707085</v>
      </c>
      <c r="AM44" s="27">
        <f t="shared" si="19"/>
        <v>0</v>
      </c>
      <c r="AN44" s="28">
        <f t="shared" si="20"/>
        <v>2.2755589482077964E-2</v>
      </c>
      <c r="AO44" s="85">
        <f t="shared" si="21"/>
        <v>0</v>
      </c>
      <c r="AP44" s="32"/>
      <c r="AQ44" s="40"/>
      <c r="AR44" s="37"/>
      <c r="AS44" s="31"/>
      <c r="AT44" s="31"/>
    </row>
    <row r="45" spans="1:47" s="95" customFormat="1">
      <c r="A45" s="217" t="s">
        <v>144</v>
      </c>
      <c r="B45" s="378">
        <v>271101434.86000001</v>
      </c>
      <c r="C45" s="343">
        <v>1</v>
      </c>
      <c r="D45" s="378">
        <v>312402073.50999999</v>
      </c>
      <c r="E45" s="343">
        <v>1</v>
      </c>
      <c r="F45" s="25">
        <f t="shared" si="22"/>
        <v>0.152343858568392</v>
      </c>
      <c r="G45" s="25">
        <f t="shared" si="23"/>
        <v>0</v>
      </c>
      <c r="H45" s="378">
        <v>271099998</v>
      </c>
      <c r="I45" s="343">
        <v>1</v>
      </c>
      <c r="J45" s="25">
        <f t="shared" si="24"/>
        <v>-0.13220807098349144</v>
      </c>
      <c r="K45" s="25">
        <f t="shared" si="25"/>
        <v>0</v>
      </c>
      <c r="L45" s="378">
        <v>271481158.62</v>
      </c>
      <c r="M45" s="343">
        <v>1</v>
      </c>
      <c r="N45" s="25">
        <f t="shared" si="26"/>
        <v>1.405977952091334E-3</v>
      </c>
      <c r="O45" s="25">
        <f t="shared" si="27"/>
        <v>0</v>
      </c>
      <c r="P45" s="378">
        <v>271928149.94999999</v>
      </c>
      <c r="Q45" s="343">
        <v>1</v>
      </c>
      <c r="R45" s="25">
        <f t="shared" si="28"/>
        <v>1.6464911681979741E-3</v>
      </c>
      <c r="S45" s="25">
        <f t="shared" si="29"/>
        <v>0</v>
      </c>
      <c r="T45" s="378">
        <v>273951338.25</v>
      </c>
      <c r="U45" s="343">
        <v>1</v>
      </c>
      <c r="V45" s="25">
        <f t="shared" si="30"/>
        <v>7.4401576312420024E-3</v>
      </c>
      <c r="W45" s="25">
        <f t="shared" si="31"/>
        <v>0</v>
      </c>
      <c r="X45" s="378">
        <v>273636532.5</v>
      </c>
      <c r="Y45" s="343">
        <v>1</v>
      </c>
      <c r="Z45" s="25">
        <f t="shared" si="32"/>
        <v>-1.1491301776840289E-3</v>
      </c>
      <c r="AA45" s="25">
        <f t="shared" si="33"/>
        <v>0</v>
      </c>
      <c r="AB45" s="378">
        <v>230763619.41</v>
      </c>
      <c r="AC45" s="343">
        <v>1</v>
      </c>
      <c r="AD45" s="25">
        <f t="shared" si="34"/>
        <v>-0.15667832324252978</v>
      </c>
      <c r="AE45" s="25">
        <f t="shared" si="35"/>
        <v>0</v>
      </c>
      <c r="AF45" s="435">
        <v>273120839.00999999</v>
      </c>
      <c r="AG45" s="343">
        <v>1</v>
      </c>
      <c r="AH45" s="25">
        <f t="shared" si="36"/>
        <v>0.18355241484032847</v>
      </c>
      <c r="AI45" s="25">
        <f t="shared" si="37"/>
        <v>0</v>
      </c>
      <c r="AJ45" s="26">
        <f t="shared" si="16"/>
        <v>7.0441719695683164E-3</v>
      </c>
      <c r="AK45" s="26">
        <f t="shared" si="17"/>
        <v>0</v>
      </c>
      <c r="AL45" s="27">
        <f t="shared" si="18"/>
        <v>-0.12573935268308201</v>
      </c>
      <c r="AM45" s="27">
        <f t="shared" si="19"/>
        <v>0</v>
      </c>
      <c r="AN45" s="28">
        <f t="shared" si="20"/>
        <v>0.1186782038765247</v>
      </c>
      <c r="AO45" s="85">
        <f t="shared" si="21"/>
        <v>0</v>
      </c>
      <c r="AP45" s="32"/>
      <c r="AQ45" s="40"/>
      <c r="AR45" s="37"/>
      <c r="AS45" s="31"/>
      <c r="AT45" s="31"/>
    </row>
    <row r="46" spans="1:47" s="95" customFormat="1">
      <c r="A46" s="217" t="s">
        <v>149</v>
      </c>
      <c r="B46" s="387">
        <v>428764750.94999999</v>
      </c>
      <c r="C46" s="343">
        <v>100</v>
      </c>
      <c r="D46" s="387">
        <v>433285633.01999998</v>
      </c>
      <c r="E46" s="343">
        <v>100</v>
      </c>
      <c r="F46" s="25">
        <f t="shared" si="22"/>
        <v>1.0543968598125715E-2</v>
      </c>
      <c r="G46" s="25">
        <f t="shared" si="23"/>
        <v>0</v>
      </c>
      <c r="H46" s="387">
        <v>426340800.07999998</v>
      </c>
      <c r="I46" s="343">
        <v>100</v>
      </c>
      <c r="J46" s="25">
        <f t="shared" si="24"/>
        <v>-1.6028301911592421E-2</v>
      </c>
      <c r="K46" s="25">
        <f t="shared" si="25"/>
        <v>0</v>
      </c>
      <c r="L46" s="387">
        <v>399952168.55000001</v>
      </c>
      <c r="M46" s="343">
        <v>100</v>
      </c>
      <c r="N46" s="25">
        <f t="shared" si="26"/>
        <v>-6.1895627922657938E-2</v>
      </c>
      <c r="O46" s="25">
        <f t="shared" si="27"/>
        <v>0</v>
      </c>
      <c r="P46" s="387">
        <v>414441365.91000003</v>
      </c>
      <c r="Q46" s="343">
        <v>100</v>
      </c>
      <c r="R46" s="25">
        <f t="shared" si="28"/>
        <v>3.622732541376044E-2</v>
      </c>
      <c r="S46" s="25">
        <f t="shared" si="29"/>
        <v>0</v>
      </c>
      <c r="T46" s="387">
        <v>412658968.36000001</v>
      </c>
      <c r="U46" s="343">
        <v>100</v>
      </c>
      <c r="V46" s="25">
        <f t="shared" si="30"/>
        <v>-4.300723085607909E-3</v>
      </c>
      <c r="W46" s="25">
        <f t="shared" si="31"/>
        <v>0</v>
      </c>
      <c r="X46" s="387">
        <v>420974098.88999999</v>
      </c>
      <c r="Y46" s="343">
        <v>100</v>
      </c>
      <c r="Z46" s="25">
        <f t="shared" si="32"/>
        <v>2.0150126781555672E-2</v>
      </c>
      <c r="AA46" s="25">
        <f t="shared" si="33"/>
        <v>0</v>
      </c>
      <c r="AB46" s="387">
        <v>429020055.66000003</v>
      </c>
      <c r="AC46" s="343">
        <v>100</v>
      </c>
      <c r="AD46" s="25">
        <f t="shared" si="34"/>
        <v>1.9112712138858783E-2</v>
      </c>
      <c r="AE46" s="25">
        <f t="shared" si="35"/>
        <v>0</v>
      </c>
      <c r="AF46" s="387">
        <v>434932968.81999999</v>
      </c>
      <c r="AG46" s="343">
        <v>100</v>
      </c>
      <c r="AH46" s="25">
        <f t="shared" si="36"/>
        <v>1.3782370036066501E-2</v>
      </c>
      <c r="AI46" s="25">
        <f t="shared" si="37"/>
        <v>0</v>
      </c>
      <c r="AJ46" s="26">
        <f t="shared" si="16"/>
        <v>2.1989812560636044E-3</v>
      </c>
      <c r="AK46" s="26">
        <f t="shared" si="17"/>
        <v>0</v>
      </c>
      <c r="AL46" s="27">
        <f t="shared" si="18"/>
        <v>3.8019626649471038E-3</v>
      </c>
      <c r="AM46" s="27">
        <f t="shared" si="19"/>
        <v>0</v>
      </c>
      <c r="AN46" s="28">
        <f t="shared" si="20"/>
        <v>3.0361297656042455E-2</v>
      </c>
      <c r="AO46" s="85">
        <f t="shared" si="21"/>
        <v>0</v>
      </c>
      <c r="AP46" s="32"/>
      <c r="AQ46" s="40"/>
      <c r="AR46" s="37"/>
      <c r="AS46" s="31"/>
      <c r="AT46" s="31"/>
    </row>
    <row r="47" spans="1:47" s="102" customFormat="1">
      <c r="A47" s="217" t="s">
        <v>161</v>
      </c>
      <c r="B47" s="387">
        <v>491779530.36000001</v>
      </c>
      <c r="C47" s="343">
        <v>1</v>
      </c>
      <c r="D47" s="387">
        <v>489788958.63</v>
      </c>
      <c r="E47" s="343">
        <v>1</v>
      </c>
      <c r="F47" s="25">
        <f t="shared" si="22"/>
        <v>-4.0476913070026524E-3</v>
      </c>
      <c r="G47" s="25">
        <f t="shared" si="23"/>
        <v>0</v>
      </c>
      <c r="H47" s="387">
        <v>510068353.81999999</v>
      </c>
      <c r="I47" s="343">
        <v>1</v>
      </c>
      <c r="J47" s="25">
        <f t="shared" si="24"/>
        <v>4.1404353513243668E-2</v>
      </c>
      <c r="K47" s="25">
        <f t="shared" si="25"/>
        <v>0</v>
      </c>
      <c r="L47" s="387">
        <v>566890118.61000001</v>
      </c>
      <c r="M47" s="343">
        <v>1</v>
      </c>
      <c r="N47" s="25">
        <f t="shared" si="26"/>
        <v>0.11140029442024955</v>
      </c>
      <c r="O47" s="25">
        <f t="shared" si="27"/>
        <v>0</v>
      </c>
      <c r="P47" s="387">
        <v>586152133.34000003</v>
      </c>
      <c r="Q47" s="343">
        <v>1</v>
      </c>
      <c r="R47" s="25">
        <f t="shared" si="28"/>
        <v>3.3978392103975956E-2</v>
      </c>
      <c r="S47" s="25">
        <f t="shared" si="29"/>
        <v>0</v>
      </c>
      <c r="T47" s="387">
        <v>613379939.86000001</v>
      </c>
      <c r="U47" s="343">
        <v>1</v>
      </c>
      <c r="V47" s="25">
        <f t="shared" si="30"/>
        <v>4.6451774157761833E-2</v>
      </c>
      <c r="W47" s="25">
        <f t="shared" si="31"/>
        <v>0</v>
      </c>
      <c r="X47" s="387">
        <v>621279222.47000003</v>
      </c>
      <c r="Y47" s="343">
        <v>1</v>
      </c>
      <c r="Z47" s="25">
        <f t="shared" si="32"/>
        <v>1.2878286518145628E-2</v>
      </c>
      <c r="AA47" s="25">
        <f t="shared" si="33"/>
        <v>0</v>
      </c>
      <c r="AB47" s="387">
        <v>638236296.75999999</v>
      </c>
      <c r="AC47" s="343">
        <v>1</v>
      </c>
      <c r="AD47" s="25">
        <f t="shared" si="34"/>
        <v>2.7293805549434377E-2</v>
      </c>
      <c r="AE47" s="25">
        <f t="shared" si="35"/>
        <v>0</v>
      </c>
      <c r="AF47" s="387">
        <v>677833734.87</v>
      </c>
      <c r="AG47" s="343">
        <v>1</v>
      </c>
      <c r="AH47" s="25">
        <f t="shared" si="36"/>
        <v>6.204197146263226E-2</v>
      </c>
      <c r="AI47" s="25">
        <f t="shared" si="37"/>
        <v>0</v>
      </c>
      <c r="AJ47" s="26">
        <f t="shared" si="16"/>
        <v>4.1425148302305079E-2</v>
      </c>
      <c r="AK47" s="26">
        <f t="shared" si="17"/>
        <v>0</v>
      </c>
      <c r="AL47" s="27">
        <f t="shared" si="18"/>
        <v>0.38393020693235796</v>
      </c>
      <c r="AM47" s="27">
        <f t="shared" si="19"/>
        <v>0</v>
      </c>
      <c r="AN47" s="28">
        <f t="shared" si="20"/>
        <v>3.4815212925017366E-2</v>
      </c>
      <c r="AO47" s="85">
        <f t="shared" si="21"/>
        <v>0</v>
      </c>
      <c r="AP47" s="32"/>
      <c r="AQ47" s="40"/>
      <c r="AR47" s="37"/>
      <c r="AS47" s="31"/>
      <c r="AT47" s="31"/>
    </row>
    <row r="48" spans="1:47" s="102" customFormat="1">
      <c r="A48" s="217" t="s">
        <v>169</v>
      </c>
      <c r="B48" s="387">
        <v>1601771353.73</v>
      </c>
      <c r="C48" s="343">
        <v>1</v>
      </c>
      <c r="D48" s="387">
        <v>1550014279.76</v>
      </c>
      <c r="E48" s="343">
        <v>1</v>
      </c>
      <c r="F48" s="25">
        <f t="shared" si="22"/>
        <v>-3.2312398301714403E-2</v>
      </c>
      <c r="G48" s="25">
        <f t="shared" si="23"/>
        <v>0</v>
      </c>
      <c r="H48" s="387">
        <v>1593065799.0699999</v>
      </c>
      <c r="I48" s="343">
        <v>1</v>
      </c>
      <c r="J48" s="25">
        <f t="shared" si="24"/>
        <v>2.7774917865057296E-2</v>
      </c>
      <c r="K48" s="25">
        <f t="shared" si="25"/>
        <v>0</v>
      </c>
      <c r="L48" s="387">
        <v>1596965266.4200001</v>
      </c>
      <c r="M48" s="343">
        <v>1</v>
      </c>
      <c r="N48" s="25">
        <f t="shared" si="26"/>
        <v>2.4477754479925277E-3</v>
      </c>
      <c r="O48" s="25">
        <f t="shared" si="27"/>
        <v>0</v>
      </c>
      <c r="P48" s="387">
        <v>1101068549.9400001</v>
      </c>
      <c r="Q48" s="343">
        <v>1</v>
      </c>
      <c r="R48" s="25">
        <f t="shared" si="28"/>
        <v>-0.31052442210698633</v>
      </c>
      <c r="S48" s="25">
        <f t="shared" si="29"/>
        <v>0</v>
      </c>
      <c r="T48" s="387">
        <v>1104049038.9100001</v>
      </c>
      <c r="U48" s="343">
        <v>1</v>
      </c>
      <c r="V48" s="25">
        <f t="shared" si="30"/>
        <v>2.7069059144069121E-3</v>
      </c>
      <c r="W48" s="25">
        <f t="shared" si="31"/>
        <v>0</v>
      </c>
      <c r="X48" s="387">
        <v>1090109315.4100001</v>
      </c>
      <c r="Y48" s="343">
        <v>1</v>
      </c>
      <c r="Z48" s="25">
        <f t="shared" si="32"/>
        <v>-1.2626000303177058E-2</v>
      </c>
      <c r="AA48" s="25">
        <f t="shared" si="33"/>
        <v>0</v>
      </c>
      <c r="AB48" s="387">
        <v>1112434252.27</v>
      </c>
      <c r="AC48" s="343">
        <v>1</v>
      </c>
      <c r="AD48" s="25">
        <f t="shared" si="34"/>
        <v>2.0479539569481876E-2</v>
      </c>
      <c r="AE48" s="25">
        <f t="shared" si="35"/>
        <v>0</v>
      </c>
      <c r="AF48" s="387">
        <v>941319300.09000003</v>
      </c>
      <c r="AG48" s="343">
        <v>1</v>
      </c>
      <c r="AH48" s="25">
        <f t="shared" si="36"/>
        <v>-0.15382028360851702</v>
      </c>
      <c r="AI48" s="25">
        <f t="shared" si="37"/>
        <v>0</v>
      </c>
      <c r="AJ48" s="26">
        <f t="shared" si="16"/>
        <v>-5.698424569043202E-2</v>
      </c>
      <c r="AK48" s="26">
        <f t="shared" si="17"/>
        <v>0</v>
      </c>
      <c r="AL48" s="27">
        <f t="shared" si="18"/>
        <v>-0.39270282062449685</v>
      </c>
      <c r="AM48" s="27">
        <f t="shared" si="19"/>
        <v>0</v>
      </c>
      <c r="AN48" s="28">
        <f t="shared" si="20"/>
        <v>0.11742240345640341</v>
      </c>
      <c r="AO48" s="85">
        <f t="shared" si="21"/>
        <v>0</v>
      </c>
      <c r="AP48" s="32"/>
      <c r="AQ48" s="40"/>
      <c r="AR48" s="37"/>
      <c r="AS48" s="31"/>
      <c r="AT48" s="31"/>
    </row>
    <row r="49" spans="1:48" s="113" customFormat="1">
      <c r="A49" s="217" t="s">
        <v>174</v>
      </c>
      <c r="B49" s="387">
        <v>135437312.74000001</v>
      </c>
      <c r="C49" s="343">
        <v>1</v>
      </c>
      <c r="D49" s="387">
        <v>135247314.12</v>
      </c>
      <c r="E49" s="343">
        <v>1</v>
      </c>
      <c r="F49" s="25">
        <f t="shared" si="22"/>
        <v>-1.4028528487178898E-3</v>
      </c>
      <c r="G49" s="25">
        <f t="shared" si="23"/>
        <v>0</v>
      </c>
      <c r="H49" s="387">
        <v>135352313.33000001</v>
      </c>
      <c r="I49" s="343">
        <v>1</v>
      </c>
      <c r="J49" s="25">
        <f t="shared" si="24"/>
        <v>7.7634968711353769E-4</v>
      </c>
      <c r="K49" s="25">
        <f t="shared" si="25"/>
        <v>0</v>
      </c>
      <c r="L49" s="387">
        <v>135352313.27000001</v>
      </c>
      <c r="M49" s="343">
        <v>1</v>
      </c>
      <c r="N49" s="25">
        <f t="shared" si="26"/>
        <v>-4.4328760187423523E-10</v>
      </c>
      <c r="O49" s="25">
        <f t="shared" si="27"/>
        <v>0</v>
      </c>
      <c r="P49" s="387">
        <v>136542928.21000001</v>
      </c>
      <c r="Q49" s="343">
        <v>1</v>
      </c>
      <c r="R49" s="25">
        <f t="shared" si="28"/>
        <v>8.7964136794985229E-3</v>
      </c>
      <c r="S49" s="25">
        <f t="shared" si="29"/>
        <v>0</v>
      </c>
      <c r="T49" s="387">
        <v>136542928.19999999</v>
      </c>
      <c r="U49" s="343">
        <v>1</v>
      </c>
      <c r="V49" s="25">
        <f t="shared" si="30"/>
        <v>-7.3237189187853166E-11</v>
      </c>
      <c r="W49" s="25">
        <f t="shared" si="31"/>
        <v>0</v>
      </c>
      <c r="X49" s="387">
        <v>136522928.31999999</v>
      </c>
      <c r="Y49" s="343">
        <v>1</v>
      </c>
      <c r="Z49" s="25">
        <f t="shared" si="32"/>
        <v>-1.4647320270369911E-4</v>
      </c>
      <c r="AA49" s="25">
        <f t="shared" si="33"/>
        <v>0</v>
      </c>
      <c r="AB49" s="387">
        <v>136922925.28</v>
      </c>
      <c r="AC49" s="343">
        <v>1</v>
      </c>
      <c r="AD49" s="25">
        <f t="shared" si="34"/>
        <v>2.9298885170587906E-3</v>
      </c>
      <c r="AE49" s="25">
        <f t="shared" si="35"/>
        <v>0</v>
      </c>
      <c r="AF49" s="387">
        <v>137522920.72999999</v>
      </c>
      <c r="AG49" s="343">
        <v>1</v>
      </c>
      <c r="AH49" s="25">
        <f t="shared" si="36"/>
        <v>4.3819940946560245E-3</v>
      </c>
      <c r="AI49" s="25">
        <f t="shared" si="37"/>
        <v>0</v>
      </c>
      <c r="AJ49" s="26">
        <f t="shared" si="16"/>
        <v>1.9169149262975619E-3</v>
      </c>
      <c r="AK49" s="26">
        <f t="shared" si="17"/>
        <v>0</v>
      </c>
      <c r="AL49" s="27">
        <f t="shared" si="18"/>
        <v>1.6825521636466081E-2</v>
      </c>
      <c r="AM49" s="27">
        <f t="shared" si="19"/>
        <v>0</v>
      </c>
      <c r="AN49" s="28">
        <f t="shared" si="20"/>
        <v>3.3457580661938936E-3</v>
      </c>
      <c r="AO49" s="85">
        <f t="shared" si="21"/>
        <v>0</v>
      </c>
      <c r="AP49" s="32"/>
      <c r="AQ49" s="40"/>
      <c r="AR49" s="37"/>
      <c r="AS49" s="31"/>
      <c r="AT49" s="31"/>
    </row>
    <row r="50" spans="1:48" s="113" customFormat="1">
      <c r="A50" s="217" t="s">
        <v>185</v>
      </c>
      <c r="B50" s="387">
        <v>1024178582.47</v>
      </c>
      <c r="C50" s="343">
        <v>1</v>
      </c>
      <c r="D50" s="387">
        <v>1014735947.8</v>
      </c>
      <c r="E50" s="343">
        <v>1</v>
      </c>
      <c r="F50" s="25">
        <f t="shared" si="22"/>
        <v>-9.2197150298021068E-3</v>
      </c>
      <c r="G50" s="25">
        <f t="shared" si="23"/>
        <v>0</v>
      </c>
      <c r="H50" s="387">
        <v>1025854810.76</v>
      </c>
      <c r="I50" s="343">
        <v>1</v>
      </c>
      <c r="J50" s="25">
        <f t="shared" si="24"/>
        <v>1.0957395354038958E-2</v>
      </c>
      <c r="K50" s="25">
        <f t="shared" si="25"/>
        <v>0</v>
      </c>
      <c r="L50" s="387">
        <v>1024436433.03</v>
      </c>
      <c r="M50" s="343">
        <v>1</v>
      </c>
      <c r="N50" s="25">
        <f t="shared" si="26"/>
        <v>-1.3826300906550511E-3</v>
      </c>
      <c r="O50" s="25">
        <f t="shared" si="27"/>
        <v>0</v>
      </c>
      <c r="P50" s="387">
        <v>1023287009.5599999</v>
      </c>
      <c r="Q50" s="343">
        <v>1</v>
      </c>
      <c r="R50" s="25">
        <f t="shared" si="28"/>
        <v>-1.1220056539773303E-3</v>
      </c>
      <c r="S50" s="25">
        <f t="shared" si="29"/>
        <v>0</v>
      </c>
      <c r="T50" s="387">
        <v>1017047036.59</v>
      </c>
      <c r="U50" s="343">
        <v>1</v>
      </c>
      <c r="V50" s="25">
        <f t="shared" si="30"/>
        <v>-6.0979694960488322E-3</v>
      </c>
      <c r="W50" s="25">
        <f t="shared" si="31"/>
        <v>0</v>
      </c>
      <c r="X50" s="387">
        <v>1025200015.99</v>
      </c>
      <c r="Y50" s="343">
        <v>1</v>
      </c>
      <c r="Z50" s="25">
        <f t="shared" si="32"/>
        <v>8.0163248175184141E-3</v>
      </c>
      <c r="AA50" s="25">
        <f t="shared" si="33"/>
        <v>0</v>
      </c>
      <c r="AB50" s="387">
        <v>1031879897.52</v>
      </c>
      <c r="AC50" s="343">
        <v>1</v>
      </c>
      <c r="AD50" s="25">
        <f t="shared" si="34"/>
        <v>6.5156861352069356E-3</v>
      </c>
      <c r="AE50" s="25">
        <f t="shared" si="35"/>
        <v>0</v>
      </c>
      <c r="AF50" s="387">
        <v>1037042805.53</v>
      </c>
      <c r="AG50" s="343">
        <v>1</v>
      </c>
      <c r="AH50" s="25">
        <f t="shared" si="36"/>
        <v>5.003400126708954E-3</v>
      </c>
      <c r="AI50" s="25">
        <f t="shared" si="37"/>
        <v>0</v>
      </c>
      <c r="AJ50" s="26">
        <f t="shared" si="16"/>
        <v>1.5838107703737426E-3</v>
      </c>
      <c r="AK50" s="26">
        <f t="shared" si="17"/>
        <v>0</v>
      </c>
      <c r="AL50" s="27">
        <f t="shared" si="18"/>
        <v>2.1982918589178242E-2</v>
      </c>
      <c r="AM50" s="27">
        <f t="shared" si="19"/>
        <v>0</v>
      </c>
      <c r="AN50" s="28">
        <f t="shared" si="20"/>
        <v>7.1424829873789394E-3</v>
      </c>
      <c r="AO50" s="85">
        <f t="shared" si="21"/>
        <v>0</v>
      </c>
      <c r="AP50" s="32"/>
      <c r="AQ50" s="40"/>
      <c r="AR50" s="37"/>
      <c r="AS50" s="31"/>
      <c r="AT50" s="31"/>
    </row>
    <row r="51" spans="1:48" s="119" customFormat="1">
      <c r="A51" s="217" t="s">
        <v>195</v>
      </c>
      <c r="B51" s="387">
        <v>33792016.030000001</v>
      </c>
      <c r="C51" s="343">
        <v>100</v>
      </c>
      <c r="D51" s="387">
        <v>36236308.729999997</v>
      </c>
      <c r="E51" s="343">
        <v>100</v>
      </c>
      <c r="F51" s="25">
        <f t="shared" si="22"/>
        <v>7.2333438106503986E-2</v>
      </c>
      <c r="G51" s="25">
        <f t="shared" si="23"/>
        <v>0</v>
      </c>
      <c r="H51" s="387">
        <v>36923152.729999997</v>
      </c>
      <c r="I51" s="343">
        <v>100</v>
      </c>
      <c r="J51" s="25">
        <f t="shared" si="24"/>
        <v>1.8954579648764354E-2</v>
      </c>
      <c r="K51" s="25">
        <f t="shared" si="25"/>
        <v>0</v>
      </c>
      <c r="L51" s="387">
        <v>36923152.729999997</v>
      </c>
      <c r="M51" s="343">
        <v>100</v>
      </c>
      <c r="N51" s="25">
        <f t="shared" si="26"/>
        <v>0</v>
      </c>
      <c r="O51" s="25">
        <f t="shared" si="27"/>
        <v>0</v>
      </c>
      <c r="P51" s="387">
        <v>36923152.729999997</v>
      </c>
      <c r="Q51" s="343">
        <v>100</v>
      </c>
      <c r="R51" s="25">
        <f t="shared" si="28"/>
        <v>0</v>
      </c>
      <c r="S51" s="25">
        <f t="shared" si="29"/>
        <v>0</v>
      </c>
      <c r="T51" s="387">
        <v>36923152.729999997</v>
      </c>
      <c r="U51" s="343">
        <v>100</v>
      </c>
      <c r="V51" s="25">
        <f t="shared" si="30"/>
        <v>0</v>
      </c>
      <c r="W51" s="25">
        <f t="shared" si="31"/>
        <v>0</v>
      </c>
      <c r="X51" s="387">
        <v>36923152.729999997</v>
      </c>
      <c r="Y51" s="343">
        <v>100</v>
      </c>
      <c r="Z51" s="25">
        <f t="shared" si="32"/>
        <v>0</v>
      </c>
      <c r="AA51" s="25">
        <f t="shared" si="33"/>
        <v>0</v>
      </c>
      <c r="AB51" s="387">
        <v>38546362.039286934</v>
      </c>
      <c r="AC51" s="343">
        <v>100</v>
      </c>
      <c r="AD51" s="25">
        <f t="shared" si="34"/>
        <v>4.3961828534974545E-2</v>
      </c>
      <c r="AE51" s="25">
        <f t="shared" si="35"/>
        <v>0</v>
      </c>
      <c r="AF51" s="387">
        <v>38546362.039286934</v>
      </c>
      <c r="AG51" s="343">
        <v>100</v>
      </c>
      <c r="AH51" s="25">
        <f t="shared" si="36"/>
        <v>0</v>
      </c>
      <c r="AI51" s="25">
        <f t="shared" si="37"/>
        <v>0</v>
      </c>
      <c r="AJ51" s="26">
        <f t="shared" si="16"/>
        <v>1.6906230786280362E-2</v>
      </c>
      <c r="AK51" s="26">
        <f t="shared" si="17"/>
        <v>0</v>
      </c>
      <c r="AL51" s="27">
        <f t="shared" si="18"/>
        <v>6.3749686164210395E-2</v>
      </c>
      <c r="AM51" s="27">
        <f t="shared" si="19"/>
        <v>0</v>
      </c>
      <c r="AN51" s="28">
        <f t="shared" si="20"/>
        <v>2.7353452670329015E-2</v>
      </c>
      <c r="AO51" s="85">
        <f t="shared" si="21"/>
        <v>0</v>
      </c>
      <c r="AP51" s="32"/>
      <c r="AQ51" s="40"/>
      <c r="AR51" s="37"/>
      <c r="AS51" s="31"/>
      <c r="AT51" s="31"/>
    </row>
    <row r="52" spans="1:48">
      <c r="A52" s="217" t="s">
        <v>204</v>
      </c>
      <c r="B52" s="387">
        <v>2313022660.52</v>
      </c>
      <c r="C52" s="343">
        <v>100</v>
      </c>
      <c r="D52" s="387">
        <v>2379059134.7900004</v>
      </c>
      <c r="E52" s="343">
        <v>100</v>
      </c>
      <c r="F52" s="25">
        <f t="shared" si="22"/>
        <v>2.8549860490841249E-2</v>
      </c>
      <c r="G52" s="25">
        <f t="shared" si="23"/>
        <v>0</v>
      </c>
      <c r="H52" s="387">
        <v>2615683146.5699997</v>
      </c>
      <c r="I52" s="343">
        <v>100</v>
      </c>
      <c r="J52" s="25">
        <f t="shared" si="24"/>
        <v>9.9461172830782138E-2</v>
      </c>
      <c r="K52" s="25">
        <f t="shared" si="25"/>
        <v>0</v>
      </c>
      <c r="L52" s="387">
        <v>2687777877.7799997</v>
      </c>
      <c r="M52" s="343">
        <v>100</v>
      </c>
      <c r="N52" s="25">
        <f t="shared" si="26"/>
        <v>2.75624864213922E-2</v>
      </c>
      <c r="O52" s="25">
        <f t="shared" si="27"/>
        <v>0</v>
      </c>
      <c r="P52" s="387">
        <v>2743322843.6199994</v>
      </c>
      <c r="Q52" s="343">
        <v>100</v>
      </c>
      <c r="R52" s="25">
        <f t="shared" si="28"/>
        <v>2.0665757501463499E-2</v>
      </c>
      <c r="S52" s="25">
        <f t="shared" si="29"/>
        <v>0</v>
      </c>
      <c r="T52" s="387">
        <v>2835783650.5099998</v>
      </c>
      <c r="U52" s="343">
        <v>100</v>
      </c>
      <c r="V52" s="25">
        <f t="shared" si="30"/>
        <v>3.3703946695530763E-2</v>
      </c>
      <c r="W52" s="25">
        <f t="shared" si="31"/>
        <v>0</v>
      </c>
      <c r="X52" s="387">
        <v>2784419355.7399998</v>
      </c>
      <c r="Y52" s="343">
        <v>100</v>
      </c>
      <c r="Z52" s="25">
        <f t="shared" si="32"/>
        <v>-1.8112910257015693E-2</v>
      </c>
      <c r="AA52" s="25">
        <f t="shared" si="33"/>
        <v>0</v>
      </c>
      <c r="AB52" s="387">
        <v>2893650266.5900002</v>
      </c>
      <c r="AC52" s="343">
        <v>100</v>
      </c>
      <c r="AD52" s="25">
        <f t="shared" si="34"/>
        <v>3.9229331826337158E-2</v>
      </c>
      <c r="AE52" s="25">
        <f t="shared" si="35"/>
        <v>0</v>
      </c>
      <c r="AF52" s="387">
        <v>2979051482.6799998</v>
      </c>
      <c r="AG52" s="343">
        <v>100</v>
      </c>
      <c r="AH52" s="25">
        <f t="shared" si="36"/>
        <v>2.9513316476437935E-2</v>
      </c>
      <c r="AI52" s="25">
        <f t="shared" si="37"/>
        <v>0</v>
      </c>
      <c r="AJ52" s="26">
        <f t="shared" si="16"/>
        <v>3.2571620248221154E-2</v>
      </c>
      <c r="AK52" s="26">
        <f t="shared" si="17"/>
        <v>0</v>
      </c>
      <c r="AL52" s="27">
        <f t="shared" si="18"/>
        <v>0.25219732419259966</v>
      </c>
      <c r="AM52" s="27">
        <f t="shared" si="19"/>
        <v>0</v>
      </c>
      <c r="AN52" s="28">
        <f t="shared" si="20"/>
        <v>3.2251489283040273E-2</v>
      </c>
      <c r="AO52" s="85">
        <f t="shared" si="21"/>
        <v>0</v>
      </c>
      <c r="AP52" s="32"/>
      <c r="AQ52" s="41">
        <v>2266908745.4000001</v>
      </c>
      <c r="AR52" s="37">
        <v>1</v>
      </c>
      <c r="AS52" s="31" t="e">
        <f>(#REF!/AQ52)-1</f>
        <v>#REF!</v>
      </c>
      <c r="AT52" s="31" t="e">
        <f>(#REF!/AR52)-1</f>
        <v>#REF!</v>
      </c>
    </row>
    <row r="53" spans="1:48">
      <c r="A53" s="219" t="s">
        <v>46</v>
      </c>
      <c r="B53" s="82">
        <f>SUM(B24:B52)</f>
        <v>588565606910.96375</v>
      </c>
      <c r="C53" s="94"/>
      <c r="D53" s="82">
        <f>SUM(D24:D52)</f>
        <v>590991900611.65771</v>
      </c>
      <c r="E53" s="94"/>
      <c r="F53" s="25">
        <f>((D53-B53)/B53)</f>
        <v>4.1223844414357896E-3</v>
      </c>
      <c r="G53" s="25"/>
      <c r="H53" s="82">
        <f>SUM(H24:H52)</f>
        <v>599441283293.77356</v>
      </c>
      <c r="I53" s="94"/>
      <c r="J53" s="25">
        <f>((H53-D53)/D53)</f>
        <v>1.4296951740575469E-2</v>
      </c>
      <c r="K53" s="25"/>
      <c r="L53" s="82">
        <f>SUM(L24:L52)</f>
        <v>614697197461.63013</v>
      </c>
      <c r="M53" s="94"/>
      <c r="N53" s="25">
        <f>((L53-H53)/H53)</f>
        <v>2.545022272077975E-2</v>
      </c>
      <c r="O53" s="25"/>
      <c r="P53" s="82">
        <f>SUM(P24:P52)</f>
        <v>638005833111.39978</v>
      </c>
      <c r="Q53" s="94"/>
      <c r="R53" s="25">
        <f>((P53-L53)/L53)</f>
        <v>3.7918890383788671E-2</v>
      </c>
      <c r="S53" s="25"/>
      <c r="T53" s="82">
        <f>SUM(T24:T52)</f>
        <v>652456174435.47937</v>
      </c>
      <c r="U53" s="94"/>
      <c r="V53" s="25">
        <f>((T53-P53)/P53)</f>
        <v>2.2649230734472722E-2</v>
      </c>
      <c r="W53" s="25"/>
      <c r="X53" s="82">
        <f>SUM(X24:X52)</f>
        <v>668991989528.35986</v>
      </c>
      <c r="Y53" s="94"/>
      <c r="Z53" s="25">
        <f>((X53-T53)/T53)</f>
        <v>2.5343947594928768E-2</v>
      </c>
      <c r="AA53" s="25"/>
      <c r="AB53" s="82">
        <f>SUM(AB24:AB52)</f>
        <v>689393093044.69934</v>
      </c>
      <c r="AC53" s="94"/>
      <c r="AD53" s="25">
        <f>((AB53-X53)/X53)</f>
        <v>3.049528818831191E-2</v>
      </c>
      <c r="AE53" s="25"/>
      <c r="AF53" s="82">
        <f>SUM(AF24:AF52)</f>
        <v>708387215249.38928</v>
      </c>
      <c r="AG53" s="94"/>
      <c r="AH53" s="25">
        <f>((AF53-AB53)/AB53)</f>
        <v>2.7551947352420583E-2</v>
      </c>
      <c r="AI53" s="25"/>
      <c r="AJ53" s="26">
        <f t="shared" si="16"/>
        <v>2.347860789458921E-2</v>
      </c>
      <c r="AK53" s="26"/>
      <c r="AL53" s="27">
        <f t="shared" si="18"/>
        <v>0.19864115653062447</v>
      </c>
      <c r="AM53" s="27"/>
      <c r="AN53" s="28">
        <f t="shared" si="20"/>
        <v>1.0291247840791062E-2</v>
      </c>
      <c r="AO53" s="85"/>
      <c r="AP53" s="32"/>
      <c r="AQ53" s="45">
        <f>SUM(AQ24:AQ52)</f>
        <v>132930613532.55411</v>
      </c>
      <c r="AR53" s="46"/>
      <c r="AS53" s="31" t="e">
        <f>(#REF!/AQ53)-1</f>
        <v>#REF!</v>
      </c>
      <c r="AT53" s="31" t="e">
        <f>(#REF!/AR53)-1</f>
        <v>#REF!</v>
      </c>
    </row>
    <row r="54" spans="1:48" s="119" customFormat="1" ht="8.25" customHeight="1">
      <c r="A54" s="219"/>
      <c r="B54" s="94"/>
      <c r="C54" s="94"/>
      <c r="D54" s="94"/>
      <c r="E54" s="94"/>
      <c r="F54" s="25"/>
      <c r="G54" s="25"/>
      <c r="H54" s="94"/>
      <c r="I54" s="94"/>
      <c r="J54" s="25"/>
      <c r="K54" s="25"/>
      <c r="L54" s="94"/>
      <c r="M54" s="94"/>
      <c r="N54" s="25"/>
      <c r="O54" s="25"/>
      <c r="P54" s="94"/>
      <c r="Q54" s="94"/>
      <c r="R54" s="25"/>
      <c r="S54" s="25"/>
      <c r="T54" s="94"/>
      <c r="U54" s="94"/>
      <c r="V54" s="25"/>
      <c r="W54" s="25"/>
      <c r="X54" s="94"/>
      <c r="Y54" s="94"/>
      <c r="Z54" s="25"/>
      <c r="AA54" s="25"/>
      <c r="AB54" s="94"/>
      <c r="AC54" s="94"/>
      <c r="AD54" s="25"/>
      <c r="AE54" s="25"/>
      <c r="AF54" s="94"/>
      <c r="AG54" s="94"/>
      <c r="AH54" s="25"/>
      <c r="AI54" s="25"/>
      <c r="AJ54" s="26"/>
      <c r="AK54" s="26"/>
      <c r="AL54" s="27"/>
      <c r="AM54" s="27"/>
      <c r="AN54" s="28"/>
      <c r="AO54" s="85"/>
      <c r="AP54" s="32"/>
      <c r="AQ54" s="45"/>
      <c r="AR54" s="46"/>
      <c r="AS54" s="31"/>
      <c r="AT54" s="31"/>
    </row>
    <row r="55" spans="1:48">
      <c r="A55" s="220" t="s">
        <v>209</v>
      </c>
      <c r="B55" s="94"/>
      <c r="C55" s="94"/>
      <c r="D55" s="94"/>
      <c r="E55" s="94"/>
      <c r="F55" s="25"/>
      <c r="G55" s="25"/>
      <c r="H55" s="94"/>
      <c r="I55" s="94"/>
      <c r="J55" s="25"/>
      <c r="K55" s="25"/>
      <c r="L55" s="94"/>
      <c r="M55" s="94"/>
      <c r="N55" s="25"/>
      <c r="O55" s="25"/>
      <c r="P55" s="94"/>
      <c r="Q55" s="94"/>
      <c r="R55" s="25"/>
      <c r="S55" s="25"/>
      <c r="T55" s="94"/>
      <c r="U55" s="94"/>
      <c r="V55" s="25"/>
      <c r="W55" s="25"/>
      <c r="X55" s="94"/>
      <c r="Y55" s="94"/>
      <c r="Z55" s="25"/>
      <c r="AA55" s="25"/>
      <c r="AB55" s="94"/>
      <c r="AC55" s="94"/>
      <c r="AD55" s="25"/>
      <c r="AE55" s="25"/>
      <c r="AF55" s="94"/>
      <c r="AG55" s="94"/>
      <c r="AH55" s="25"/>
      <c r="AI55" s="25"/>
      <c r="AJ55" s="26"/>
      <c r="AK55" s="26"/>
      <c r="AL55" s="27"/>
      <c r="AM55" s="27"/>
      <c r="AN55" s="28"/>
      <c r="AO55" s="85"/>
      <c r="AP55" s="32"/>
      <c r="AQ55" s="42"/>
      <c r="AR55" s="15"/>
      <c r="AS55" s="31" t="e">
        <f>(#REF!/AQ55)-1</f>
        <v>#REF!</v>
      </c>
      <c r="AT55" s="31" t="e">
        <f>(#REF!/AR55)-1</f>
        <v>#REF!</v>
      </c>
    </row>
    <row r="56" spans="1:48">
      <c r="A56" s="217" t="s">
        <v>20</v>
      </c>
      <c r="B56" s="393">
        <v>49757479644.5</v>
      </c>
      <c r="C56" s="394">
        <v>244.39</v>
      </c>
      <c r="D56" s="393">
        <v>47700981350.269997</v>
      </c>
      <c r="E56" s="394">
        <v>244.55</v>
      </c>
      <c r="F56" s="25">
        <f t="shared" ref="F56:F84" si="38">((D56-B56)/B56)</f>
        <v>-4.1330435321945025E-2</v>
      </c>
      <c r="G56" s="25">
        <f t="shared" ref="G56:G84" si="39">((E56-C56)/C56)</f>
        <v>6.5469127214708058E-4</v>
      </c>
      <c r="H56" s="393">
        <v>47161071001.010002</v>
      </c>
      <c r="I56" s="394">
        <v>244.74</v>
      </c>
      <c r="J56" s="25">
        <f t="shared" ref="J56:J84" si="40">((H56-D56)/D56)</f>
        <v>-1.1318642383799479E-2</v>
      </c>
      <c r="K56" s="25">
        <f t="shared" ref="K56:K85" si="41">((I56-E56)/E56)</f>
        <v>7.7693723164995996E-4</v>
      </c>
      <c r="L56" s="393">
        <v>46741526404.959999</v>
      </c>
      <c r="M56" s="394">
        <v>245.03</v>
      </c>
      <c r="N56" s="25">
        <f t="shared" ref="N56:N84" si="42">((L56-H56)/H56)</f>
        <v>-8.8959938174647916E-3</v>
      </c>
      <c r="O56" s="25">
        <f t="shared" ref="O56:O85" si="43">((M56-I56)/I56)</f>
        <v>1.1849309471275314E-3</v>
      </c>
      <c r="P56" s="393">
        <v>46712395049.68</v>
      </c>
      <c r="Q56" s="394">
        <v>245.23</v>
      </c>
      <c r="R56" s="25">
        <f t="shared" ref="R56:R84" si="44">((P56-L56)/L56)</f>
        <v>-6.2324355921991224E-4</v>
      </c>
      <c r="S56" s="25">
        <f t="shared" ref="S56:S85" si="45">((Q56-M56)/M56)</f>
        <v>8.1622658449981072E-4</v>
      </c>
      <c r="T56" s="393">
        <v>46507399602.230003</v>
      </c>
      <c r="U56" s="394">
        <v>245.4</v>
      </c>
      <c r="V56" s="25">
        <f t="shared" ref="V56:V84" si="46">((T56-P56)/P56)</f>
        <v>-4.3884593635581792E-3</v>
      </c>
      <c r="W56" s="25">
        <f t="shared" ref="W56:W85" si="47">((U56-Q56)/Q56)</f>
        <v>6.9322676670886894E-4</v>
      </c>
      <c r="X56" s="393">
        <v>45767085554.709999</v>
      </c>
      <c r="Y56" s="394">
        <v>245.58</v>
      </c>
      <c r="Z56" s="25">
        <f t="shared" ref="Z56:Z84" si="48">((X56-T56)/T56)</f>
        <v>-1.5918199122113605E-2</v>
      </c>
      <c r="AA56" s="25">
        <f t="shared" ref="AA56:AA85" si="49">((Y56-U56)/U56)</f>
        <v>7.334963325183652E-4</v>
      </c>
      <c r="AB56" s="393">
        <v>45266681411.410004</v>
      </c>
      <c r="AC56" s="394">
        <v>245.82</v>
      </c>
      <c r="AD56" s="25">
        <f t="shared" ref="AD56:AD84" si="50">((AB56-X56)/X56)</f>
        <v>-1.0933712235222232E-2</v>
      </c>
      <c r="AE56" s="25">
        <f t="shared" ref="AE56:AE85" si="51">((AC56-Y56)/Y56)</f>
        <v>9.7727827999014851E-4</v>
      </c>
      <c r="AF56" s="393">
        <v>45134879962.370003</v>
      </c>
      <c r="AG56" s="394">
        <v>245.96</v>
      </c>
      <c r="AH56" s="25">
        <f t="shared" ref="AH56:AH84" si="52">((AF56-AB56)/AB56)</f>
        <v>-2.9116658197695668E-3</v>
      </c>
      <c r="AI56" s="25">
        <f t="shared" ref="AI56:AI85" si="53">((AG56-AC56)/AC56)</f>
        <v>5.6952241477509875E-4</v>
      </c>
      <c r="AJ56" s="26">
        <f t="shared" si="16"/>
        <v>-1.2040043952886598E-2</v>
      </c>
      <c r="AK56" s="26">
        <f t="shared" si="17"/>
        <v>8.00788728677108E-4</v>
      </c>
      <c r="AL56" s="27">
        <f t="shared" si="18"/>
        <v>-5.3795568042028744E-2</v>
      </c>
      <c r="AM56" s="27">
        <f t="shared" si="19"/>
        <v>5.7656920875076532E-3</v>
      </c>
      <c r="AN56" s="28">
        <f t="shared" si="20"/>
        <v>1.285531530265259E-2</v>
      </c>
      <c r="AO56" s="85">
        <f t="shared" si="21"/>
        <v>1.9655876766254841E-4</v>
      </c>
      <c r="AP56" s="32"/>
      <c r="AQ56" s="30">
        <v>1092437778.4100001</v>
      </c>
      <c r="AR56" s="34">
        <v>143.21</v>
      </c>
      <c r="AS56" s="31" t="e">
        <f>(#REF!/AQ56)-1</f>
        <v>#REF!</v>
      </c>
      <c r="AT56" s="31" t="e">
        <f>(#REF!/AR56)-1</f>
        <v>#REF!</v>
      </c>
    </row>
    <row r="57" spans="1:48">
      <c r="A57" s="217" t="s">
        <v>21</v>
      </c>
      <c r="B57" s="393">
        <v>1423116403.98</v>
      </c>
      <c r="C57" s="394">
        <v>321.17169999999999</v>
      </c>
      <c r="D57" s="393">
        <v>1426222522.1600001</v>
      </c>
      <c r="E57" s="394">
        <v>321.87270000000001</v>
      </c>
      <c r="F57" s="25">
        <f t="shared" si="38"/>
        <v>2.1826170869180136E-3</v>
      </c>
      <c r="G57" s="25">
        <f t="shared" si="39"/>
        <v>2.182633152298356E-3</v>
      </c>
      <c r="H57" s="393">
        <v>1429327958.95</v>
      </c>
      <c r="I57" s="394">
        <v>322.5736</v>
      </c>
      <c r="J57" s="25">
        <f t="shared" si="40"/>
        <v>2.177385885967365E-3</v>
      </c>
      <c r="K57" s="25">
        <f t="shared" si="41"/>
        <v>2.1775689581626217E-3</v>
      </c>
      <c r="L57" s="393">
        <v>1432432714.52</v>
      </c>
      <c r="M57" s="394">
        <v>323.27420000000001</v>
      </c>
      <c r="N57" s="25">
        <f t="shared" si="42"/>
        <v>2.1721785756438437E-3</v>
      </c>
      <c r="O57" s="25">
        <f t="shared" si="43"/>
        <v>2.1719074344583949E-3</v>
      </c>
      <c r="P57" s="393">
        <v>1455535528.6600001</v>
      </c>
      <c r="Q57" s="394">
        <v>323.96870000000001</v>
      </c>
      <c r="R57" s="25">
        <f t="shared" si="44"/>
        <v>1.6128376506495613E-2</v>
      </c>
      <c r="S57" s="25">
        <f t="shared" si="45"/>
        <v>2.1483310452860296E-3</v>
      </c>
      <c r="T57" s="393">
        <v>1458634593.3399999</v>
      </c>
      <c r="U57" s="394">
        <v>324.6585</v>
      </c>
      <c r="V57" s="25">
        <f t="shared" si="46"/>
        <v>2.1291577010510349E-3</v>
      </c>
      <c r="W57" s="25">
        <f t="shared" si="47"/>
        <v>2.1292180386561759E-3</v>
      </c>
      <c r="X57" s="393">
        <v>1441464715.8299999</v>
      </c>
      <c r="Y57" s="394">
        <v>325.31259999999997</v>
      </c>
      <c r="Z57" s="25">
        <f t="shared" si="48"/>
        <v>-1.1771198618486202E-2</v>
      </c>
      <c r="AA57" s="25">
        <f t="shared" si="49"/>
        <v>2.0147324034330573E-3</v>
      </c>
      <c r="AB57" s="393">
        <v>1442895699.1199999</v>
      </c>
      <c r="AC57" s="394">
        <v>311.63119999999998</v>
      </c>
      <c r="AD57" s="25">
        <f t="shared" si="50"/>
        <v>9.9272862823839383E-4</v>
      </c>
      <c r="AE57" s="25">
        <f t="shared" si="51"/>
        <v>-4.2056163825194587E-2</v>
      </c>
      <c r="AF57" s="393">
        <v>1448176779.3299999</v>
      </c>
      <c r="AG57" s="394">
        <v>312.77179999999998</v>
      </c>
      <c r="AH57" s="25">
        <f t="shared" si="52"/>
        <v>3.6600567963581071E-3</v>
      </c>
      <c r="AI57" s="25">
        <f t="shared" si="53"/>
        <v>3.6600956515265683E-3</v>
      </c>
      <c r="AJ57" s="26">
        <f t="shared" si="16"/>
        <v>2.2089128202732716E-3</v>
      </c>
      <c r="AK57" s="26">
        <f t="shared" si="17"/>
        <v>-3.1964596426716728E-3</v>
      </c>
      <c r="AL57" s="27">
        <f t="shared" si="18"/>
        <v>1.5393290197626615E-2</v>
      </c>
      <c r="AM57" s="27">
        <f t="shared" si="19"/>
        <v>-2.8274842818294389E-2</v>
      </c>
      <c r="AN57" s="28">
        <f t="shared" si="20"/>
        <v>7.4908449235185819E-3</v>
      </c>
      <c r="AO57" s="85">
        <f t="shared" si="21"/>
        <v>1.5710821112645088E-2</v>
      </c>
      <c r="AP57" s="32"/>
      <c r="AQ57" s="33">
        <v>1186217562.8099999</v>
      </c>
      <c r="AR57" s="37">
        <v>212.98</v>
      </c>
      <c r="AS57" s="31" t="e">
        <f>(#REF!/AQ57)-1</f>
        <v>#REF!</v>
      </c>
      <c r="AT57" s="31" t="e">
        <f>(#REF!/AR57)-1</f>
        <v>#REF!</v>
      </c>
      <c r="AU57" s="92"/>
      <c r="AV57" s="92"/>
    </row>
    <row r="58" spans="1:48">
      <c r="A58" s="217" t="s">
        <v>230</v>
      </c>
      <c r="B58" s="393">
        <v>59848959887.300003</v>
      </c>
      <c r="C58" s="393">
        <v>1459.33</v>
      </c>
      <c r="D58" s="393">
        <v>60279027430.220001</v>
      </c>
      <c r="E58" s="393">
        <v>1462.37</v>
      </c>
      <c r="F58" s="25">
        <f t="shared" si="38"/>
        <v>7.1858816549167604E-3</v>
      </c>
      <c r="G58" s="25">
        <f t="shared" si="39"/>
        <v>2.0831477458833599E-3</v>
      </c>
      <c r="H58" s="393">
        <v>62369822864.970001</v>
      </c>
      <c r="I58" s="393">
        <v>1464.97</v>
      </c>
      <c r="J58" s="25">
        <f t="shared" si="40"/>
        <v>3.4685288132266887E-2</v>
      </c>
      <c r="K58" s="25">
        <f t="shared" si="41"/>
        <v>1.7779358165171172E-3</v>
      </c>
      <c r="L58" s="393">
        <v>62909816646.620003</v>
      </c>
      <c r="M58" s="393">
        <v>1468.16</v>
      </c>
      <c r="N58" s="25">
        <f t="shared" si="42"/>
        <v>8.6579335461491099E-3</v>
      </c>
      <c r="O58" s="25">
        <f t="shared" si="43"/>
        <v>2.1775189935630455E-3</v>
      </c>
      <c r="P58" s="393">
        <v>62909816646.620003</v>
      </c>
      <c r="Q58" s="393">
        <v>1468.16</v>
      </c>
      <c r="R58" s="25">
        <f t="shared" si="44"/>
        <v>0</v>
      </c>
      <c r="S58" s="25">
        <f t="shared" si="45"/>
        <v>0</v>
      </c>
      <c r="T58" s="393">
        <v>64474642694.279999</v>
      </c>
      <c r="U58" s="393">
        <v>1474.96</v>
      </c>
      <c r="V58" s="25">
        <f t="shared" si="46"/>
        <v>2.4874115536689782E-2</v>
      </c>
      <c r="W58" s="25">
        <f t="shared" si="47"/>
        <v>4.6316477768090355E-3</v>
      </c>
      <c r="X58" s="393">
        <v>64835795122.18</v>
      </c>
      <c r="Y58" s="393">
        <v>1479.54</v>
      </c>
      <c r="Z58" s="25">
        <f t="shared" si="48"/>
        <v>5.6014645883728474E-3</v>
      </c>
      <c r="AA58" s="25">
        <f t="shared" si="49"/>
        <v>3.1051689537342892E-3</v>
      </c>
      <c r="AB58" s="393">
        <v>65901740998.370003</v>
      </c>
      <c r="AC58" s="393">
        <v>1483.71</v>
      </c>
      <c r="AD58" s="25">
        <f t="shared" si="50"/>
        <v>1.6440700298057234E-2</v>
      </c>
      <c r="AE58" s="25">
        <f t="shared" si="51"/>
        <v>2.818443570298926E-3</v>
      </c>
      <c r="AF58" s="393">
        <v>65781795758.760002</v>
      </c>
      <c r="AG58" s="393">
        <v>1487.3</v>
      </c>
      <c r="AH58" s="25">
        <f t="shared" si="52"/>
        <v>-1.8200617736785938E-3</v>
      </c>
      <c r="AI58" s="25">
        <f t="shared" si="53"/>
        <v>2.4196103012043579E-3</v>
      </c>
      <c r="AJ58" s="26">
        <f t="shared" si="16"/>
        <v>1.1953165247846754E-2</v>
      </c>
      <c r="AK58" s="26">
        <f t="shared" si="17"/>
        <v>2.3766841447512665E-3</v>
      </c>
      <c r="AL58" s="27">
        <f t="shared" si="18"/>
        <v>9.1288273270667755E-2</v>
      </c>
      <c r="AM58" s="27">
        <f t="shared" si="19"/>
        <v>1.7047669194526736E-2</v>
      </c>
      <c r="AN58" s="28">
        <f t="shared" si="20"/>
        <v>1.2594488171677428E-2</v>
      </c>
      <c r="AO58" s="85">
        <f t="shared" si="21"/>
        <v>1.3063308814699091E-3</v>
      </c>
      <c r="AP58" s="32"/>
      <c r="AQ58" s="33">
        <v>4662655514.79</v>
      </c>
      <c r="AR58" s="37">
        <v>1067.58</v>
      </c>
      <c r="AS58" s="31" t="e">
        <f>(#REF!/AQ58)-1</f>
        <v>#REF!</v>
      </c>
      <c r="AT58" s="31" t="e">
        <f>(#REF!/AR58)-1</f>
        <v>#REF!</v>
      </c>
    </row>
    <row r="59" spans="1:48" s="113" customFormat="1">
      <c r="A59" s="217" t="s">
        <v>186</v>
      </c>
      <c r="B59" s="393">
        <v>671418219.80999994</v>
      </c>
      <c r="C59" s="354">
        <v>1.0609999999999999</v>
      </c>
      <c r="D59" s="393">
        <v>672170719.53999996</v>
      </c>
      <c r="E59" s="354">
        <v>1.0628</v>
      </c>
      <c r="F59" s="25">
        <f t="shared" si="38"/>
        <v>1.1207615578453676E-3</v>
      </c>
      <c r="G59" s="25">
        <f t="shared" si="39"/>
        <v>1.6965127238454513E-3</v>
      </c>
      <c r="H59" s="393">
        <v>674057430.72000003</v>
      </c>
      <c r="I59" s="354">
        <v>1.0649</v>
      </c>
      <c r="J59" s="25">
        <f t="shared" si="40"/>
        <v>2.8068928400975836E-3</v>
      </c>
      <c r="K59" s="25">
        <f t="shared" si="41"/>
        <v>1.9759126834775977E-3</v>
      </c>
      <c r="L59" s="393">
        <v>675581246.38</v>
      </c>
      <c r="M59" s="354">
        <v>1.0671999999999999</v>
      </c>
      <c r="N59" s="25">
        <f t="shared" si="42"/>
        <v>2.2606614667422184E-3</v>
      </c>
      <c r="O59" s="25">
        <f t="shared" si="43"/>
        <v>2.1598272138228648E-3</v>
      </c>
      <c r="P59" s="393">
        <v>676263464.47000003</v>
      </c>
      <c r="Q59" s="354">
        <v>1.0682</v>
      </c>
      <c r="R59" s="25">
        <f t="shared" si="44"/>
        <v>1.0098239015005166E-3</v>
      </c>
      <c r="S59" s="25">
        <f t="shared" si="45"/>
        <v>9.3703148425797601E-4</v>
      </c>
      <c r="T59" s="393">
        <v>677267967.00999999</v>
      </c>
      <c r="U59" s="354">
        <v>1.0703</v>
      </c>
      <c r="V59" s="25">
        <f t="shared" si="46"/>
        <v>1.4853715937282058E-3</v>
      </c>
      <c r="W59" s="25">
        <f t="shared" si="47"/>
        <v>1.9659239842725993E-3</v>
      </c>
      <c r="X59" s="393">
        <v>679357116.98000002</v>
      </c>
      <c r="Y59" s="354">
        <v>1.0736000000000001</v>
      </c>
      <c r="Z59" s="25">
        <f t="shared" si="48"/>
        <v>3.0846726432717611E-3</v>
      </c>
      <c r="AA59" s="25">
        <f t="shared" si="49"/>
        <v>3.0832476875643096E-3</v>
      </c>
      <c r="AB59" s="393">
        <v>681006688.22000003</v>
      </c>
      <c r="AC59" s="354">
        <v>1.0757000000000001</v>
      </c>
      <c r="AD59" s="25">
        <f t="shared" si="50"/>
        <v>2.4281356576243422E-3</v>
      </c>
      <c r="AE59" s="25">
        <f t="shared" si="51"/>
        <v>1.9560357675111684E-3</v>
      </c>
      <c r="AF59" s="393">
        <v>682370353.85000002</v>
      </c>
      <c r="AG59" s="354">
        <v>1.0778000000000001</v>
      </c>
      <c r="AH59" s="25">
        <f t="shared" si="52"/>
        <v>2.0024261928532801E-3</v>
      </c>
      <c r="AI59" s="25">
        <f t="shared" si="53"/>
        <v>1.952217160918463E-3</v>
      </c>
      <c r="AJ59" s="26">
        <f t="shared" si="16"/>
        <v>2.0248432317079091E-3</v>
      </c>
      <c r="AK59" s="26">
        <f t="shared" si="17"/>
        <v>1.9658385882088038E-3</v>
      </c>
      <c r="AL59" s="27">
        <f t="shared" si="18"/>
        <v>1.5174172295068405E-2</v>
      </c>
      <c r="AM59" s="27">
        <f t="shared" si="19"/>
        <v>1.4113662024840162E-2</v>
      </c>
      <c r="AN59" s="28">
        <f t="shared" si="20"/>
        <v>7.6459653953653934E-4</v>
      </c>
      <c r="AO59" s="85">
        <f t="shared" si="21"/>
        <v>5.8768289479080467E-4</v>
      </c>
      <c r="AP59" s="32"/>
      <c r="AQ59" s="33"/>
      <c r="AR59" s="33"/>
      <c r="AS59" s="31"/>
      <c r="AT59" s="31"/>
    </row>
    <row r="60" spans="1:48">
      <c r="A60" s="218" t="s">
        <v>22</v>
      </c>
      <c r="B60" s="393">
        <v>2763626771.9865999</v>
      </c>
      <c r="C60" s="393">
        <v>3691.3376225000102</v>
      </c>
      <c r="D60" s="393">
        <v>2768552004.5500002</v>
      </c>
      <c r="E60" s="393">
        <v>3699.4965999999999</v>
      </c>
      <c r="F60" s="25">
        <f t="shared" si="38"/>
        <v>1.7821627049371157E-3</v>
      </c>
      <c r="G60" s="25">
        <f t="shared" si="39"/>
        <v>2.2103037799246273E-3</v>
      </c>
      <c r="H60" s="393">
        <v>2774218484.6220999</v>
      </c>
      <c r="I60" s="393">
        <v>3705.6041539685498</v>
      </c>
      <c r="J60" s="25">
        <f t="shared" si="40"/>
        <v>2.0467305879705569E-3</v>
      </c>
      <c r="K60" s="25">
        <f t="shared" si="41"/>
        <v>1.6509148754319269E-3</v>
      </c>
      <c r="L60" s="393">
        <v>2779160539.0440998</v>
      </c>
      <c r="M60" s="393">
        <v>3711.2368188138298</v>
      </c>
      <c r="N60" s="25">
        <f t="shared" si="42"/>
        <v>1.7814222093156917E-3</v>
      </c>
      <c r="O60" s="25">
        <f t="shared" si="43"/>
        <v>1.5200395431464746E-3</v>
      </c>
      <c r="P60" s="393">
        <v>2782527104.9903002</v>
      </c>
      <c r="Q60" s="393">
        <v>3717.3798506471599</v>
      </c>
      <c r="R60" s="25">
        <f t="shared" si="44"/>
        <v>1.2113607324599933E-3</v>
      </c>
      <c r="S60" s="25">
        <f t="shared" si="45"/>
        <v>1.6552519101417657E-3</v>
      </c>
      <c r="T60" s="393">
        <v>2783531082.0030999</v>
      </c>
      <c r="U60" s="393">
        <v>3723.3897840357899</v>
      </c>
      <c r="V60" s="25">
        <f t="shared" si="46"/>
        <v>3.6081481865860916E-4</v>
      </c>
      <c r="W60" s="25">
        <f t="shared" si="47"/>
        <v>1.616712208622914E-3</v>
      </c>
      <c r="X60" s="393">
        <v>2786190226.1162901</v>
      </c>
      <c r="Y60" s="393">
        <v>3728.8673447405199</v>
      </c>
      <c r="Z60" s="25">
        <f t="shared" si="48"/>
        <v>9.5531324596403869E-4</v>
      </c>
      <c r="AA60" s="25">
        <f t="shared" si="49"/>
        <v>1.471122021179536E-3</v>
      </c>
      <c r="AB60" s="393">
        <v>2789583219.0589099</v>
      </c>
      <c r="AC60" s="393">
        <v>3734.5709536272698</v>
      </c>
      <c r="AD60" s="25">
        <f t="shared" si="50"/>
        <v>1.2177894067733276E-3</v>
      </c>
      <c r="AE60" s="25">
        <f t="shared" si="51"/>
        <v>1.5295821383387823E-3</v>
      </c>
      <c r="AF60" s="393">
        <v>2792536039.86694</v>
      </c>
      <c r="AG60" s="393">
        <v>3740.2730861172299</v>
      </c>
      <c r="AH60" s="25">
        <f t="shared" si="52"/>
        <v>1.0585168378759778E-3</v>
      </c>
      <c r="AI60" s="25">
        <f t="shared" si="53"/>
        <v>1.5268507576276867E-3</v>
      </c>
      <c r="AJ60" s="26">
        <f t="shared" si="16"/>
        <v>1.3017638179944138E-3</v>
      </c>
      <c r="AK60" s="26">
        <f t="shared" si="17"/>
        <v>1.6475971543017142E-3</v>
      </c>
      <c r="AL60" s="27">
        <f t="shared" si="18"/>
        <v>8.6630250316855409E-3</v>
      </c>
      <c r="AM60" s="27">
        <f t="shared" si="19"/>
        <v>1.1022171534697445E-2</v>
      </c>
      <c r="AN60" s="28">
        <f t="shared" si="20"/>
        <v>5.4715331913347224E-4</v>
      </c>
      <c r="AO60" s="85">
        <f t="shared" si="21"/>
        <v>2.3712078960087316E-4</v>
      </c>
      <c r="AP60" s="32"/>
      <c r="AQ60" s="47">
        <v>1198249163.9190199</v>
      </c>
      <c r="AR60" s="47">
        <v>1987.7461478934799</v>
      </c>
      <c r="AS60" s="31" t="e">
        <f>(#REF!/AQ60)-1</f>
        <v>#REF!</v>
      </c>
      <c r="AT60" s="31" t="e">
        <f>(#REF!/AR60)-1</f>
        <v>#REF!</v>
      </c>
    </row>
    <row r="61" spans="1:48">
      <c r="A61" s="217" t="s">
        <v>167</v>
      </c>
      <c r="B61" s="393">
        <v>100134917198.37</v>
      </c>
      <c r="C61" s="393">
        <v>1.9427000000000001</v>
      </c>
      <c r="D61" s="393">
        <v>100204450229.63</v>
      </c>
      <c r="E61" s="393">
        <v>1.9454</v>
      </c>
      <c r="F61" s="25">
        <f t="shared" si="38"/>
        <v>6.9439345640305409E-4</v>
      </c>
      <c r="G61" s="25">
        <f t="shared" si="39"/>
        <v>1.3898182941266921E-3</v>
      </c>
      <c r="H61" s="393">
        <v>100371778930.53</v>
      </c>
      <c r="I61" s="393">
        <v>1.9489000000000001</v>
      </c>
      <c r="J61" s="25">
        <f t="shared" si="40"/>
        <v>1.6698729499192997E-3</v>
      </c>
      <c r="K61" s="25">
        <f t="shared" si="41"/>
        <v>1.7991158630616113E-3</v>
      </c>
      <c r="L61" s="393">
        <v>100521961444.42999</v>
      </c>
      <c r="M61" s="393">
        <v>1.9517</v>
      </c>
      <c r="N61" s="25">
        <f t="shared" si="42"/>
        <v>1.496262350834085E-3</v>
      </c>
      <c r="O61" s="25">
        <f t="shared" si="43"/>
        <v>1.4367078865000326E-3</v>
      </c>
      <c r="P61" s="393">
        <v>100625936251.25999</v>
      </c>
      <c r="Q61" s="393">
        <v>1.9544999999999999</v>
      </c>
      <c r="R61" s="25">
        <f t="shared" si="44"/>
        <v>1.0343491644607494E-3</v>
      </c>
      <c r="S61" s="25">
        <f t="shared" si="45"/>
        <v>1.4346467182455877E-3</v>
      </c>
      <c r="T61" s="393">
        <v>100638180880.91</v>
      </c>
      <c r="U61" s="393">
        <v>1.9573</v>
      </c>
      <c r="V61" s="25">
        <f t="shared" si="46"/>
        <v>1.2168462829935491E-4</v>
      </c>
      <c r="W61" s="25">
        <f t="shared" si="47"/>
        <v>1.4325914556153163E-3</v>
      </c>
      <c r="X61" s="393">
        <v>100823461417.21001</v>
      </c>
      <c r="Y61" s="393">
        <v>1.9599</v>
      </c>
      <c r="Z61" s="25">
        <f t="shared" si="48"/>
        <v>1.8410560949949444E-3</v>
      </c>
      <c r="AA61" s="25">
        <f t="shared" si="49"/>
        <v>1.3283604966024298E-3</v>
      </c>
      <c r="AB61" s="393">
        <v>100918801811.34</v>
      </c>
      <c r="AC61" s="393">
        <v>1.9626999999999999</v>
      </c>
      <c r="AD61" s="25">
        <f t="shared" si="50"/>
        <v>9.4561714892398593E-4</v>
      </c>
      <c r="AE61" s="25">
        <f t="shared" si="51"/>
        <v>1.4286443185876391E-3</v>
      </c>
      <c r="AF61" s="393">
        <v>100939786075.22</v>
      </c>
      <c r="AG61" s="393">
        <v>1.9652000000000001</v>
      </c>
      <c r="AH61" s="25">
        <f t="shared" si="52"/>
        <v>2.0793215439907187E-4</v>
      </c>
      <c r="AI61" s="25">
        <f t="shared" si="53"/>
        <v>1.2737555408366887E-3</v>
      </c>
      <c r="AJ61" s="26">
        <f t="shared" si="16"/>
        <v>1.001395993529318E-3</v>
      </c>
      <c r="AK61" s="26">
        <f t="shared" si="17"/>
        <v>1.4404550716969997E-3</v>
      </c>
      <c r="AL61" s="27">
        <f t="shared" si="18"/>
        <v>7.3383551718999487E-3</v>
      </c>
      <c r="AM61" s="27">
        <f t="shared" si="19"/>
        <v>1.0177855453891251E-2</v>
      </c>
      <c r="AN61" s="28">
        <f t="shared" si="20"/>
        <v>6.4350690280610588E-4</v>
      </c>
      <c r="AO61" s="85">
        <f t="shared" si="21"/>
        <v>1.5666373569495065E-4</v>
      </c>
      <c r="AP61" s="32"/>
      <c r="AQ61" s="30">
        <v>609639394.97000003</v>
      </c>
      <c r="AR61" s="34">
        <v>1.1629</v>
      </c>
      <c r="AS61" s="31" t="e">
        <f>(#REF!/AQ61)-1</f>
        <v>#REF!</v>
      </c>
      <c r="AT61" s="31" t="e">
        <f>(#REF!/AR61)-1</f>
        <v>#REF!</v>
      </c>
    </row>
    <row r="62" spans="1:48">
      <c r="A62" s="217" t="s">
        <v>53</v>
      </c>
      <c r="B62" s="393">
        <v>9720041380.7900009</v>
      </c>
      <c r="C62" s="394">
        <v>1</v>
      </c>
      <c r="D62" s="393">
        <v>9662204479.1299992</v>
      </c>
      <c r="E62" s="394">
        <v>1</v>
      </c>
      <c r="F62" s="25">
        <f t="shared" si="38"/>
        <v>-5.950273192695095E-3</v>
      </c>
      <c r="G62" s="25">
        <f t="shared" si="39"/>
        <v>0</v>
      </c>
      <c r="H62" s="393">
        <v>9660295986.3099995</v>
      </c>
      <c r="I62" s="394">
        <v>1</v>
      </c>
      <c r="J62" s="25">
        <f t="shared" si="40"/>
        <v>-1.9752146874162807E-4</v>
      </c>
      <c r="K62" s="25">
        <f t="shared" si="41"/>
        <v>0</v>
      </c>
      <c r="L62" s="393">
        <v>9672470184.2800007</v>
      </c>
      <c r="M62" s="394">
        <v>1</v>
      </c>
      <c r="N62" s="25">
        <f t="shared" si="42"/>
        <v>1.260230327026602E-3</v>
      </c>
      <c r="O62" s="25">
        <f t="shared" si="43"/>
        <v>0</v>
      </c>
      <c r="P62" s="393">
        <v>9642551136.1100006</v>
      </c>
      <c r="Q62" s="394">
        <v>1</v>
      </c>
      <c r="R62" s="25">
        <f t="shared" si="44"/>
        <v>-3.0932168928910677E-3</v>
      </c>
      <c r="S62" s="25">
        <f t="shared" si="45"/>
        <v>0</v>
      </c>
      <c r="T62" s="393">
        <v>9554837374.6900005</v>
      </c>
      <c r="U62" s="394">
        <v>1</v>
      </c>
      <c r="V62" s="25">
        <f t="shared" si="46"/>
        <v>-9.0965305946394577E-3</v>
      </c>
      <c r="W62" s="25">
        <f t="shared" si="47"/>
        <v>0</v>
      </c>
      <c r="X62" s="393">
        <v>9805816423.0100002</v>
      </c>
      <c r="Y62" s="394">
        <v>1</v>
      </c>
      <c r="Z62" s="25">
        <f t="shared" si="48"/>
        <v>2.6267223446923661E-2</v>
      </c>
      <c r="AA62" s="25">
        <f t="shared" si="49"/>
        <v>0</v>
      </c>
      <c r="AB62" s="393">
        <v>9816509334.4599991</v>
      </c>
      <c r="AC62" s="394">
        <v>1</v>
      </c>
      <c r="AD62" s="25">
        <f t="shared" si="50"/>
        <v>1.0904662078832343E-3</v>
      </c>
      <c r="AE62" s="25">
        <f t="shared" si="51"/>
        <v>0</v>
      </c>
      <c r="AF62" s="393">
        <v>9875463395.9500008</v>
      </c>
      <c r="AG62" s="394">
        <v>1</v>
      </c>
      <c r="AH62" s="25">
        <f t="shared" si="52"/>
        <v>6.005603364838517E-3</v>
      </c>
      <c r="AI62" s="25">
        <f t="shared" si="53"/>
        <v>0</v>
      </c>
      <c r="AJ62" s="26">
        <f t="shared" si="16"/>
        <v>2.0357476497130959E-3</v>
      </c>
      <c r="AK62" s="26">
        <f t="shared" si="17"/>
        <v>0</v>
      </c>
      <c r="AL62" s="27">
        <f t="shared" si="18"/>
        <v>2.2071455564890281E-2</v>
      </c>
      <c r="AM62" s="27">
        <f t="shared" si="19"/>
        <v>0</v>
      </c>
      <c r="AN62" s="28">
        <f t="shared" si="20"/>
        <v>1.0845783076988084E-2</v>
      </c>
      <c r="AO62" s="85">
        <f t="shared" si="21"/>
        <v>0</v>
      </c>
      <c r="AP62" s="32"/>
      <c r="AQ62" s="30">
        <v>4056683843.0900002</v>
      </c>
      <c r="AR62" s="37">
        <v>1</v>
      </c>
      <c r="AS62" s="31" t="e">
        <f>(#REF!/AQ62)-1</f>
        <v>#REF!</v>
      </c>
      <c r="AT62" s="31" t="e">
        <f>(#REF!/AR62)-1</f>
        <v>#REF!</v>
      </c>
    </row>
    <row r="63" spans="1:48" ht="15" customHeight="1">
      <c r="A63" s="217" t="s">
        <v>23</v>
      </c>
      <c r="B63" s="393">
        <v>3604454841.6599998</v>
      </c>
      <c r="C63" s="394">
        <v>23.509</v>
      </c>
      <c r="D63" s="393">
        <v>3609400726.27</v>
      </c>
      <c r="E63" s="394">
        <v>23.8018</v>
      </c>
      <c r="F63" s="25">
        <f t="shared" si="38"/>
        <v>1.3721588498865338E-3</v>
      </c>
      <c r="G63" s="25">
        <f t="shared" si="39"/>
        <v>1.2454804542940989E-2</v>
      </c>
      <c r="H63" s="393">
        <v>3459149646.1300001</v>
      </c>
      <c r="I63" s="394">
        <v>23.517099999999999</v>
      </c>
      <c r="J63" s="25">
        <f t="shared" si="40"/>
        <v>-4.1627708180596287E-2</v>
      </c>
      <c r="K63" s="25">
        <f t="shared" si="41"/>
        <v>-1.1961280239309667E-2</v>
      </c>
      <c r="L63" s="393">
        <v>3463939758.4299998</v>
      </c>
      <c r="M63" s="394">
        <v>23.543600000000001</v>
      </c>
      <c r="N63" s="25">
        <f t="shared" si="42"/>
        <v>1.3847658499997991E-3</v>
      </c>
      <c r="O63" s="25">
        <f t="shared" si="43"/>
        <v>1.1268396188306462E-3</v>
      </c>
      <c r="P63" s="393">
        <v>3466320641.5900002</v>
      </c>
      <c r="Q63" s="394">
        <v>23.575500000000002</v>
      </c>
      <c r="R63" s="25">
        <f t="shared" si="44"/>
        <v>6.8733388166064373E-4</v>
      </c>
      <c r="S63" s="25">
        <f t="shared" si="45"/>
        <v>1.3549329754158352E-3</v>
      </c>
      <c r="T63" s="393">
        <v>3468085438.9499998</v>
      </c>
      <c r="U63" s="394">
        <v>23.598700000000001</v>
      </c>
      <c r="V63" s="25">
        <f t="shared" si="46"/>
        <v>5.0912698001017722E-4</v>
      </c>
      <c r="W63" s="25">
        <f t="shared" si="47"/>
        <v>9.840724480922661E-4</v>
      </c>
      <c r="X63" s="393">
        <v>3481204543.0999999</v>
      </c>
      <c r="Y63" s="394">
        <v>23.654</v>
      </c>
      <c r="Z63" s="25">
        <f t="shared" si="48"/>
        <v>3.7828088093389205E-3</v>
      </c>
      <c r="AA63" s="25">
        <f t="shared" si="49"/>
        <v>2.3433494217901417E-3</v>
      </c>
      <c r="AB63" s="393">
        <v>3484348469.6100001</v>
      </c>
      <c r="AC63" s="394">
        <v>23.685300000000002</v>
      </c>
      <c r="AD63" s="25">
        <f t="shared" si="50"/>
        <v>9.0311456022649388E-4</v>
      </c>
      <c r="AE63" s="25">
        <f t="shared" si="51"/>
        <v>1.3232434260590877E-3</v>
      </c>
      <c r="AF63" s="393">
        <v>3487799753.27</v>
      </c>
      <c r="AG63" s="394">
        <v>23.717600000000001</v>
      </c>
      <c r="AH63" s="25">
        <f t="shared" si="52"/>
        <v>9.9051047566035963E-4</v>
      </c>
      <c r="AI63" s="25">
        <f t="shared" si="53"/>
        <v>1.3637150468855926E-3</v>
      </c>
      <c r="AJ63" s="26">
        <f t="shared" si="16"/>
        <v>-3.9997360967266703E-3</v>
      </c>
      <c r="AK63" s="26">
        <f t="shared" si="17"/>
        <v>1.1237096550881114E-3</v>
      </c>
      <c r="AL63" s="27">
        <f t="shared" si="18"/>
        <v>-3.369007273561004E-2</v>
      </c>
      <c r="AM63" s="27">
        <f t="shared" si="19"/>
        <v>-3.5375475804350579E-3</v>
      </c>
      <c r="AN63" s="28">
        <f t="shared" si="20"/>
        <v>1.5238679083811766E-2</v>
      </c>
      <c r="AO63" s="85">
        <f t="shared" si="21"/>
        <v>6.5603634692261888E-3</v>
      </c>
      <c r="AP63" s="32"/>
      <c r="AQ63" s="30">
        <v>739078842.02999997</v>
      </c>
      <c r="AR63" s="34">
        <v>16.871500000000001</v>
      </c>
      <c r="AS63" s="31" t="e">
        <f>(#REF!/AQ63)-1</f>
        <v>#REF!</v>
      </c>
      <c r="AT63" s="31" t="e">
        <f>(#REF!/AR63)-1</f>
        <v>#REF!</v>
      </c>
    </row>
    <row r="64" spans="1:48">
      <c r="A64" s="217" t="s">
        <v>112</v>
      </c>
      <c r="B64" s="393">
        <v>408285330.36000001</v>
      </c>
      <c r="C64" s="394">
        <v>2.0647000000000002</v>
      </c>
      <c r="D64" s="393">
        <v>411064777.54000002</v>
      </c>
      <c r="E64" s="394">
        <v>2.0787</v>
      </c>
      <c r="F64" s="25">
        <f t="shared" si="38"/>
        <v>6.8076097114468147E-3</v>
      </c>
      <c r="G64" s="25">
        <f t="shared" si="39"/>
        <v>6.7806460987067316E-3</v>
      </c>
      <c r="H64" s="393">
        <v>411826531.14999998</v>
      </c>
      <c r="I64" s="394">
        <v>2.0825999999999998</v>
      </c>
      <c r="J64" s="25">
        <f t="shared" si="40"/>
        <v>1.8531230395331785E-3</v>
      </c>
      <c r="K64" s="25">
        <f t="shared" si="41"/>
        <v>1.8761726078798252E-3</v>
      </c>
      <c r="L64" s="393">
        <v>412686356.10000002</v>
      </c>
      <c r="M64" s="394">
        <v>2.0863999999999998</v>
      </c>
      <c r="N64" s="25">
        <f t="shared" si="42"/>
        <v>2.0878328251437324E-3</v>
      </c>
      <c r="O64" s="25">
        <f t="shared" si="43"/>
        <v>1.8246422740804888E-3</v>
      </c>
      <c r="P64" s="393">
        <v>414930495.36000001</v>
      </c>
      <c r="Q64" s="394">
        <v>2.0988000000000002</v>
      </c>
      <c r="R64" s="25">
        <f t="shared" si="44"/>
        <v>5.4378809156855239E-3</v>
      </c>
      <c r="S64" s="25">
        <f t="shared" si="45"/>
        <v>5.9432515337425286E-3</v>
      </c>
      <c r="T64" s="393">
        <v>414930495.36000001</v>
      </c>
      <c r="U64" s="394">
        <v>2.0988000000000002</v>
      </c>
      <c r="V64" s="25">
        <f t="shared" si="46"/>
        <v>0</v>
      </c>
      <c r="W64" s="25">
        <f t="shared" si="47"/>
        <v>0</v>
      </c>
      <c r="X64" s="393">
        <v>412899995.08999997</v>
      </c>
      <c r="Y64" s="394">
        <v>2.1053999999999999</v>
      </c>
      <c r="Z64" s="25">
        <f t="shared" si="48"/>
        <v>-4.8935913188023154E-3</v>
      </c>
      <c r="AA64" s="25">
        <f t="shared" si="49"/>
        <v>3.1446540880501793E-3</v>
      </c>
      <c r="AB64" s="393">
        <v>416692178.63</v>
      </c>
      <c r="AC64" s="394">
        <v>2.1244999999999998</v>
      </c>
      <c r="AD64" s="25">
        <f t="shared" si="50"/>
        <v>9.1842663722324289E-3</v>
      </c>
      <c r="AE64" s="25">
        <f t="shared" si="51"/>
        <v>9.071910325828771E-3</v>
      </c>
      <c r="AF64" s="393">
        <v>416910135.31</v>
      </c>
      <c r="AG64" s="394">
        <v>2.1255999999999999</v>
      </c>
      <c r="AH64" s="25">
        <f t="shared" si="52"/>
        <v>5.2306400546466903E-4</v>
      </c>
      <c r="AI64" s="25">
        <f t="shared" si="53"/>
        <v>5.1776888679694094E-4</v>
      </c>
      <c r="AJ64" s="26">
        <f t="shared" si="16"/>
        <v>2.625023193838004E-3</v>
      </c>
      <c r="AK64" s="26">
        <f t="shared" si="17"/>
        <v>3.6448807268856828E-3</v>
      </c>
      <c r="AL64" s="27">
        <f t="shared" si="18"/>
        <v>1.4220040464136286E-2</v>
      </c>
      <c r="AM64" s="27">
        <f t="shared" si="19"/>
        <v>2.256217828450471E-2</v>
      </c>
      <c r="AN64" s="28">
        <f t="shared" si="20"/>
        <v>4.4264273943448841E-3</v>
      </c>
      <c r="AO64" s="85">
        <f t="shared" si="21"/>
        <v>3.2584832185692655E-3</v>
      </c>
      <c r="AP64" s="32"/>
      <c r="AQ64" s="38">
        <v>0</v>
      </c>
      <c r="AR64" s="39">
        <v>0</v>
      </c>
      <c r="AS64" s="31" t="e">
        <f>(#REF!/AQ64)-1</f>
        <v>#REF!</v>
      </c>
      <c r="AT64" s="31" t="e">
        <f>(#REF!/AR64)-1</f>
        <v>#REF!</v>
      </c>
    </row>
    <row r="65" spans="1:46">
      <c r="A65" s="217" t="s">
        <v>68</v>
      </c>
      <c r="B65" s="393">
        <v>15580422361.629999</v>
      </c>
      <c r="C65" s="394">
        <v>331.36</v>
      </c>
      <c r="D65" s="393">
        <v>15539477236.98</v>
      </c>
      <c r="E65" s="394">
        <v>331.69</v>
      </c>
      <c r="F65" s="25">
        <f t="shared" si="38"/>
        <v>-2.627985538494478E-3</v>
      </c>
      <c r="G65" s="25">
        <f t="shared" si="39"/>
        <v>9.9589570255910215E-4</v>
      </c>
      <c r="H65" s="393">
        <v>15434207148.58</v>
      </c>
      <c r="I65" s="394">
        <v>332.02</v>
      </c>
      <c r="J65" s="25">
        <f t="shared" si="40"/>
        <v>-6.7743648511858308E-3</v>
      </c>
      <c r="K65" s="25">
        <f t="shared" si="41"/>
        <v>9.9490488106359579E-4</v>
      </c>
      <c r="L65" s="393">
        <v>15374180590.620001</v>
      </c>
      <c r="M65" s="394">
        <v>332.46</v>
      </c>
      <c r="N65" s="25">
        <f t="shared" si="42"/>
        <v>-3.8891896021702502E-3</v>
      </c>
      <c r="O65" s="25">
        <f t="shared" si="43"/>
        <v>1.3252213722064869E-3</v>
      </c>
      <c r="P65" s="393">
        <v>15357547109.43</v>
      </c>
      <c r="Q65" s="394">
        <v>332.79</v>
      </c>
      <c r="R65" s="25">
        <f t="shared" si="44"/>
        <v>-1.0819100954329137E-3</v>
      </c>
      <c r="S65" s="25">
        <f t="shared" si="45"/>
        <v>9.9260061360777522E-4</v>
      </c>
      <c r="T65" s="393">
        <v>15228761887.76</v>
      </c>
      <c r="U65" s="394">
        <v>333.22</v>
      </c>
      <c r="V65" s="25">
        <f t="shared" si="46"/>
        <v>-8.3857936916841395E-3</v>
      </c>
      <c r="W65" s="25">
        <f t="shared" si="47"/>
        <v>1.2921061329968051E-3</v>
      </c>
      <c r="X65" s="393">
        <v>15234542421.57</v>
      </c>
      <c r="Y65" s="394">
        <v>333.65</v>
      </c>
      <c r="Z65" s="25">
        <f t="shared" si="48"/>
        <v>3.7958002446971908E-4</v>
      </c>
      <c r="AA65" s="25">
        <f t="shared" si="49"/>
        <v>1.2904387491745693E-3</v>
      </c>
      <c r="AB65" s="393">
        <v>15237704481.639999</v>
      </c>
      <c r="AC65" s="394">
        <v>334.08</v>
      </c>
      <c r="AD65" s="25">
        <f t="shared" si="50"/>
        <v>2.075585851218384E-4</v>
      </c>
      <c r="AE65" s="25">
        <f t="shared" si="51"/>
        <v>1.2887756631200565E-3</v>
      </c>
      <c r="AF65" s="393">
        <v>15199943360.51</v>
      </c>
      <c r="AG65" s="394">
        <v>334.41</v>
      </c>
      <c r="AH65" s="25">
        <f t="shared" si="52"/>
        <v>-2.4781371219987735E-3</v>
      </c>
      <c r="AI65" s="25">
        <f t="shared" si="53"/>
        <v>9.8778735632196169E-4</v>
      </c>
      <c r="AJ65" s="26">
        <f t="shared" si="16"/>
        <v>-3.0812802864218533E-3</v>
      </c>
      <c r="AK65" s="26">
        <f t="shared" si="17"/>
        <v>1.145966308881294E-3</v>
      </c>
      <c r="AL65" s="27">
        <f t="shared" si="18"/>
        <v>-2.1849761822231389E-2</v>
      </c>
      <c r="AM65" s="27">
        <f t="shared" si="19"/>
        <v>8.2004281105852676E-3</v>
      </c>
      <c r="AN65" s="28">
        <f t="shared" si="20"/>
        <v>3.1575353795543844E-3</v>
      </c>
      <c r="AO65" s="85">
        <f t="shared" si="21"/>
        <v>1.64159496900487E-4</v>
      </c>
      <c r="AP65" s="32"/>
      <c r="AQ65" s="30">
        <v>3320655667.8400002</v>
      </c>
      <c r="AR65" s="34">
        <v>177.09</v>
      </c>
      <c r="AS65" s="31" t="e">
        <f>(#REF!/AQ65)-1</f>
        <v>#REF!</v>
      </c>
      <c r="AT65" s="31" t="e">
        <f>(#REF!/AR65)-1</f>
        <v>#REF!</v>
      </c>
    </row>
    <row r="66" spans="1:46">
      <c r="A66" s="217" t="s">
        <v>39</v>
      </c>
      <c r="B66" s="393">
        <v>6918378178.9799995</v>
      </c>
      <c r="C66" s="394">
        <v>1.0900000000000001</v>
      </c>
      <c r="D66" s="393">
        <v>6930044655.1499996</v>
      </c>
      <c r="E66" s="394">
        <v>1.0900000000000001</v>
      </c>
      <c r="F66" s="25">
        <f t="shared" si="38"/>
        <v>1.6863021749007807E-3</v>
      </c>
      <c r="G66" s="25">
        <f t="shared" si="39"/>
        <v>0</v>
      </c>
      <c r="H66" s="393">
        <v>6559050836.9499998</v>
      </c>
      <c r="I66" s="394">
        <v>1.1000000000000001</v>
      </c>
      <c r="J66" s="25">
        <f t="shared" si="40"/>
        <v>-5.3534116540547703E-2</v>
      </c>
      <c r="K66" s="25">
        <f t="shared" si="41"/>
        <v>9.174311926605512E-3</v>
      </c>
      <c r="L66" s="393">
        <v>6551967511.0699997</v>
      </c>
      <c r="M66" s="394">
        <v>1.1000000000000001</v>
      </c>
      <c r="N66" s="25">
        <f t="shared" si="42"/>
        <v>-1.0799315413286088E-3</v>
      </c>
      <c r="O66" s="25">
        <f t="shared" si="43"/>
        <v>0</v>
      </c>
      <c r="P66" s="393">
        <v>6454636622.2600002</v>
      </c>
      <c r="Q66" s="394">
        <v>1</v>
      </c>
      <c r="R66" s="25">
        <f t="shared" si="44"/>
        <v>-1.4855215421253575E-2</v>
      </c>
      <c r="S66" s="25">
        <f t="shared" si="45"/>
        <v>-9.0909090909090981E-2</v>
      </c>
      <c r="T66" s="393">
        <v>6573397093.9200001</v>
      </c>
      <c r="U66" s="394">
        <v>1</v>
      </c>
      <c r="V66" s="25">
        <f t="shared" si="46"/>
        <v>1.8399249812209806E-2</v>
      </c>
      <c r="W66" s="25">
        <f t="shared" si="47"/>
        <v>0</v>
      </c>
      <c r="X66" s="393">
        <v>6671908602.7700005</v>
      </c>
      <c r="Y66" s="394">
        <v>1.01</v>
      </c>
      <c r="Z66" s="25">
        <f t="shared" si="48"/>
        <v>1.4986392491200273E-2</v>
      </c>
      <c r="AA66" s="25">
        <f t="shared" si="49"/>
        <v>1.0000000000000009E-2</v>
      </c>
      <c r="AB66" s="393">
        <v>6464200299.3000002</v>
      </c>
      <c r="AC66" s="394">
        <v>1.01</v>
      </c>
      <c r="AD66" s="25">
        <f t="shared" si="50"/>
        <v>-3.1131766910560684E-2</v>
      </c>
      <c r="AE66" s="25">
        <f t="shared" si="51"/>
        <v>0</v>
      </c>
      <c r="AF66" s="393">
        <v>6563947332.9499998</v>
      </c>
      <c r="AG66" s="394">
        <v>1.01</v>
      </c>
      <c r="AH66" s="25">
        <f t="shared" si="52"/>
        <v>1.5430684234954955E-2</v>
      </c>
      <c r="AI66" s="25">
        <f t="shared" si="53"/>
        <v>0</v>
      </c>
      <c r="AJ66" s="26">
        <f t="shared" si="16"/>
        <v>-6.2623002125530933E-3</v>
      </c>
      <c r="AK66" s="26">
        <f t="shared" si="17"/>
        <v>-8.9668473728106816E-3</v>
      </c>
      <c r="AL66" s="27">
        <f t="shared" si="18"/>
        <v>-5.2827556014078195E-2</v>
      </c>
      <c r="AM66" s="27">
        <f t="shared" si="19"/>
        <v>-7.3394495412844096E-2</v>
      </c>
      <c r="AN66" s="28">
        <f t="shared" si="20"/>
        <v>2.5487461833546592E-2</v>
      </c>
      <c r="AO66" s="85">
        <f t="shared" si="21"/>
        <v>3.3392462782545422E-2</v>
      </c>
      <c r="AP66" s="32"/>
      <c r="AQ66" s="48">
        <v>1300500308</v>
      </c>
      <c r="AR66" s="34">
        <v>1.19</v>
      </c>
      <c r="AS66" s="31" t="e">
        <f>(#REF!/AQ66)-1</f>
        <v>#REF!</v>
      </c>
      <c r="AT66" s="31" t="e">
        <f>(#REF!/AR66)-1</f>
        <v>#REF!</v>
      </c>
    </row>
    <row r="67" spans="1:46">
      <c r="A67" s="217" t="s">
        <v>119</v>
      </c>
      <c r="B67" s="393">
        <v>1664237720.0699999</v>
      </c>
      <c r="C67" s="394">
        <v>3.56</v>
      </c>
      <c r="D67" s="393">
        <v>1665794587.76</v>
      </c>
      <c r="E67" s="394">
        <v>3.57</v>
      </c>
      <c r="F67" s="25">
        <f t="shared" si="38"/>
        <v>9.3548395834615111E-4</v>
      </c>
      <c r="G67" s="25">
        <f t="shared" si="39"/>
        <v>2.8089887640448839E-3</v>
      </c>
      <c r="H67" s="393">
        <v>1666467123.74</v>
      </c>
      <c r="I67" s="394">
        <v>3.57</v>
      </c>
      <c r="J67" s="25">
        <f t="shared" si="40"/>
        <v>4.0373284013629833E-4</v>
      </c>
      <c r="K67" s="25">
        <f t="shared" si="41"/>
        <v>0</v>
      </c>
      <c r="L67" s="393">
        <v>1667804957.21</v>
      </c>
      <c r="M67" s="394">
        <v>3.57</v>
      </c>
      <c r="N67" s="25">
        <f t="shared" si="42"/>
        <v>8.027961973816626E-4</v>
      </c>
      <c r="O67" s="25">
        <f t="shared" si="43"/>
        <v>0</v>
      </c>
      <c r="P67" s="393">
        <v>1669419183.8699999</v>
      </c>
      <c r="Q67" s="394">
        <v>3.58</v>
      </c>
      <c r="R67" s="25">
        <f t="shared" si="44"/>
        <v>9.6787496224991351E-4</v>
      </c>
      <c r="S67" s="25">
        <f t="shared" si="45"/>
        <v>2.8011204481793364E-3</v>
      </c>
      <c r="T67" s="393">
        <v>1669419183.8699999</v>
      </c>
      <c r="U67" s="394">
        <v>3.58</v>
      </c>
      <c r="V67" s="25">
        <f t="shared" si="46"/>
        <v>0</v>
      </c>
      <c r="W67" s="25">
        <f t="shared" si="47"/>
        <v>0</v>
      </c>
      <c r="X67" s="393">
        <v>1541763718.3099999</v>
      </c>
      <c r="Y67" s="394">
        <v>3.53</v>
      </c>
      <c r="Z67" s="25">
        <f t="shared" si="48"/>
        <v>-7.6466993307260728E-2</v>
      </c>
      <c r="AA67" s="25">
        <f t="shared" si="49"/>
        <v>-1.3966480446927448E-2</v>
      </c>
      <c r="AB67" s="393">
        <v>1543349555.27</v>
      </c>
      <c r="AC67" s="394">
        <v>3.54</v>
      </c>
      <c r="AD67" s="25">
        <f t="shared" si="50"/>
        <v>1.0285862490903269E-3</v>
      </c>
      <c r="AE67" s="25">
        <f t="shared" si="51"/>
        <v>2.8328611898017653E-3</v>
      </c>
      <c r="AF67" s="393">
        <v>1504009068.04</v>
      </c>
      <c r="AG67" s="394">
        <v>3.54</v>
      </c>
      <c r="AH67" s="25">
        <f t="shared" si="52"/>
        <v>-2.5490328549139102E-2</v>
      </c>
      <c r="AI67" s="25">
        <f t="shared" si="53"/>
        <v>0</v>
      </c>
      <c r="AJ67" s="26">
        <f t="shared" si="16"/>
        <v>-1.2227355956149434E-2</v>
      </c>
      <c r="AK67" s="26">
        <f t="shared" si="17"/>
        <v>-6.904387556126827E-4</v>
      </c>
      <c r="AL67" s="27">
        <f t="shared" si="18"/>
        <v>-9.7122130728947556E-2</v>
      </c>
      <c r="AM67" s="27">
        <f t="shared" si="19"/>
        <v>-8.403361344537761E-3</v>
      </c>
      <c r="AN67" s="28">
        <f t="shared" si="20"/>
        <v>2.7528088069564964E-2</v>
      </c>
      <c r="AO67" s="85">
        <f t="shared" si="21"/>
        <v>5.5421853198227896E-3</v>
      </c>
      <c r="AP67" s="32"/>
      <c r="AQ67" s="33">
        <v>776682398.99000001</v>
      </c>
      <c r="AR67" s="37">
        <v>2.4700000000000002</v>
      </c>
      <c r="AS67" s="31" t="e">
        <f>(#REF!/AQ67)-1</f>
        <v>#REF!</v>
      </c>
      <c r="AT67" s="31" t="e">
        <f>(#REF!/AR67)-1</f>
        <v>#REF!</v>
      </c>
    </row>
    <row r="68" spans="1:46">
      <c r="A68" s="218" t="s">
        <v>73</v>
      </c>
      <c r="B68" s="393">
        <v>39372245550.720001</v>
      </c>
      <c r="C68" s="393">
        <v>4554.87</v>
      </c>
      <c r="D68" s="393">
        <v>38757414936.410004</v>
      </c>
      <c r="E68" s="393">
        <v>4560.3999999999996</v>
      </c>
      <c r="F68" s="25">
        <f t="shared" si="38"/>
        <v>-1.5615838154772306E-2</v>
      </c>
      <c r="G68" s="25">
        <f t="shared" si="39"/>
        <v>1.2140851440325948E-3</v>
      </c>
      <c r="H68" s="393">
        <v>38213912030.050003</v>
      </c>
      <c r="I68" s="393">
        <v>4562.5600000000004</v>
      </c>
      <c r="J68" s="25">
        <f t="shared" si="40"/>
        <v>-1.4023198070659142E-2</v>
      </c>
      <c r="K68" s="25">
        <f t="shared" si="41"/>
        <v>4.7364266292447245E-4</v>
      </c>
      <c r="L68" s="393">
        <v>47044717555.330002</v>
      </c>
      <c r="M68" s="393">
        <v>4570.4399999999996</v>
      </c>
      <c r="N68" s="25">
        <f t="shared" si="42"/>
        <v>0.23108875946372046</v>
      </c>
      <c r="O68" s="25">
        <f t="shared" si="43"/>
        <v>1.727100575115549E-3</v>
      </c>
      <c r="P68" s="393">
        <v>46972332393.550003</v>
      </c>
      <c r="Q68" s="393">
        <v>4576.53</v>
      </c>
      <c r="R68" s="25">
        <f t="shared" si="44"/>
        <v>-1.538645899932665E-3</v>
      </c>
      <c r="S68" s="25">
        <f t="shared" si="45"/>
        <v>1.3324756478588814E-3</v>
      </c>
      <c r="T68" s="393">
        <v>46050980936.120003</v>
      </c>
      <c r="U68" s="393">
        <v>4580.96</v>
      </c>
      <c r="V68" s="25">
        <f t="shared" si="46"/>
        <v>-1.9614769173278597E-2</v>
      </c>
      <c r="W68" s="25">
        <f t="shared" si="47"/>
        <v>9.6798229226079395E-4</v>
      </c>
      <c r="X68" s="393">
        <v>44213188501.279999</v>
      </c>
      <c r="Y68" s="393">
        <v>4586.42</v>
      </c>
      <c r="Z68" s="25">
        <f t="shared" si="48"/>
        <v>-3.9907780409483846E-2</v>
      </c>
      <c r="AA68" s="25">
        <f t="shared" si="49"/>
        <v>1.19188990953862E-3</v>
      </c>
      <c r="AB68" s="393">
        <v>42997908215.529999</v>
      </c>
      <c r="AC68" s="393">
        <v>4591.88</v>
      </c>
      <c r="AD68" s="25">
        <f t="shared" si="50"/>
        <v>-2.7486827504304895E-2</v>
      </c>
      <c r="AE68" s="25">
        <f t="shared" si="51"/>
        <v>1.1904709991671142E-3</v>
      </c>
      <c r="AF68" s="393">
        <v>42631431626.849998</v>
      </c>
      <c r="AG68" s="393">
        <v>4598.99</v>
      </c>
      <c r="AH68" s="25">
        <f t="shared" si="52"/>
        <v>-8.5231259819201193E-3</v>
      </c>
      <c r="AI68" s="25">
        <f t="shared" si="53"/>
        <v>1.5483854107685028E-3</v>
      </c>
      <c r="AJ68" s="26">
        <f t="shared" si="16"/>
        <v>1.3047321783671111E-2</v>
      </c>
      <c r="AK68" s="26">
        <f t="shared" si="17"/>
        <v>1.205754080208316E-3</v>
      </c>
      <c r="AL68" s="27">
        <f t="shared" si="18"/>
        <v>9.9955497465353774E-2</v>
      </c>
      <c r="AM68" s="27">
        <f t="shared" si="19"/>
        <v>8.4619770195597209E-3</v>
      </c>
      <c r="AN68" s="28">
        <f t="shared" si="20"/>
        <v>8.8872754374656374E-2</v>
      </c>
      <c r="AO68" s="85">
        <f t="shared" si="21"/>
        <v>3.7763824280867233E-4</v>
      </c>
      <c r="AP68" s="32"/>
      <c r="AQ68" s="30">
        <v>8144502990.9799995</v>
      </c>
      <c r="AR68" s="30">
        <v>2263.5700000000002</v>
      </c>
      <c r="AS68" s="31" t="e">
        <f>(#REF!/AQ68)-1</f>
        <v>#REF!</v>
      </c>
      <c r="AT68" s="31" t="e">
        <f>(#REF!/AR68)-1</f>
        <v>#REF!</v>
      </c>
    </row>
    <row r="69" spans="1:46">
      <c r="A69" s="218" t="s">
        <v>74</v>
      </c>
      <c r="B69" s="393">
        <v>234685522.52000001</v>
      </c>
      <c r="C69" s="393">
        <v>4171.57</v>
      </c>
      <c r="D69" s="393">
        <v>235492171.16999999</v>
      </c>
      <c r="E69" s="393">
        <v>4185.92</v>
      </c>
      <c r="F69" s="25">
        <f t="shared" si="38"/>
        <v>3.43714704400325E-3</v>
      </c>
      <c r="G69" s="25">
        <f t="shared" si="39"/>
        <v>3.4399518646457722E-3</v>
      </c>
      <c r="H69" s="393">
        <v>237358787.83000001</v>
      </c>
      <c r="I69" s="393">
        <v>4219.2</v>
      </c>
      <c r="J69" s="25">
        <f t="shared" si="40"/>
        <v>7.9264488952056501E-3</v>
      </c>
      <c r="K69" s="25">
        <f t="shared" si="41"/>
        <v>7.9504625028666929E-3</v>
      </c>
      <c r="L69" s="393">
        <v>239509173.63</v>
      </c>
      <c r="M69" s="393">
        <v>4257.57</v>
      </c>
      <c r="N69" s="25">
        <f t="shared" si="42"/>
        <v>9.0596426602082298E-3</v>
      </c>
      <c r="O69" s="25">
        <f t="shared" si="43"/>
        <v>9.0941410693970159E-3</v>
      </c>
      <c r="P69" s="393">
        <v>240963324.24000001</v>
      </c>
      <c r="Q69" s="393">
        <v>4283.72</v>
      </c>
      <c r="R69" s="25">
        <f t="shared" si="44"/>
        <v>6.0713775090987703E-3</v>
      </c>
      <c r="S69" s="25">
        <f t="shared" si="45"/>
        <v>6.1420011884714869E-3</v>
      </c>
      <c r="T69" s="393">
        <v>242585253.30000001</v>
      </c>
      <c r="U69" s="393">
        <v>4312.6499999999996</v>
      </c>
      <c r="V69" s="25">
        <f t="shared" si="46"/>
        <v>6.7310204368883847E-3</v>
      </c>
      <c r="W69" s="25">
        <f t="shared" si="47"/>
        <v>6.7534759508089647E-3</v>
      </c>
      <c r="X69" s="393">
        <v>243248345.88999999</v>
      </c>
      <c r="Y69" s="393">
        <v>4324.46</v>
      </c>
      <c r="Z69" s="25">
        <f t="shared" si="48"/>
        <v>2.73344146430839E-3</v>
      </c>
      <c r="AA69" s="25">
        <f t="shared" si="49"/>
        <v>2.7384554740125912E-3</v>
      </c>
      <c r="AB69" s="393">
        <v>244171568.50999999</v>
      </c>
      <c r="AC69" s="393">
        <v>4341.07</v>
      </c>
      <c r="AD69" s="25">
        <f t="shared" si="50"/>
        <v>3.7953911531118812E-3</v>
      </c>
      <c r="AE69" s="25">
        <f t="shared" si="51"/>
        <v>3.8409419904449739E-3</v>
      </c>
      <c r="AF69" s="393">
        <v>246173710.88</v>
      </c>
      <c r="AG69" s="393">
        <v>4377.1099999999997</v>
      </c>
      <c r="AH69" s="25">
        <f t="shared" si="52"/>
        <v>8.1997358751373529E-3</v>
      </c>
      <c r="AI69" s="25">
        <f t="shared" si="53"/>
        <v>8.3021006341754376E-3</v>
      </c>
      <c r="AJ69" s="26">
        <f t="shared" si="16"/>
        <v>5.9942756297452389E-3</v>
      </c>
      <c r="AK69" s="26">
        <f t="shared" si="17"/>
        <v>6.0326913343528681E-3</v>
      </c>
      <c r="AL69" s="27">
        <f t="shared" si="18"/>
        <v>4.5358364386088604E-2</v>
      </c>
      <c r="AM69" s="27">
        <f t="shared" si="19"/>
        <v>4.5674547052977507E-2</v>
      </c>
      <c r="AN69" s="28">
        <f t="shared" si="20"/>
        <v>2.4068236348214196E-3</v>
      </c>
      <c r="AO69" s="85">
        <f t="shared" si="21"/>
        <v>2.4233999569814157E-3</v>
      </c>
      <c r="AP69" s="32"/>
      <c r="AQ69" s="30"/>
      <c r="AR69" s="30"/>
      <c r="AS69" s="31"/>
      <c r="AT69" s="31"/>
    </row>
    <row r="70" spans="1:46">
      <c r="A70" s="218" t="s">
        <v>97</v>
      </c>
      <c r="B70" s="393">
        <v>54377379.450000003</v>
      </c>
      <c r="C70" s="393">
        <v>11.610673</v>
      </c>
      <c r="D70" s="393">
        <v>54471334.799999997</v>
      </c>
      <c r="E70" s="393">
        <v>11.765102000000001</v>
      </c>
      <c r="F70" s="25">
        <f t="shared" si="38"/>
        <v>1.7278388725294491E-3</v>
      </c>
      <c r="G70" s="25">
        <f t="shared" si="39"/>
        <v>1.3300607122429541E-2</v>
      </c>
      <c r="H70" s="393">
        <v>54471334.799999997</v>
      </c>
      <c r="I70" s="393">
        <v>11.765102000000001</v>
      </c>
      <c r="J70" s="25">
        <f t="shared" si="40"/>
        <v>0</v>
      </c>
      <c r="K70" s="25">
        <f t="shared" si="41"/>
        <v>0</v>
      </c>
      <c r="L70" s="393">
        <v>53735796.859999999</v>
      </c>
      <c r="M70" s="393">
        <v>11.61585</v>
      </c>
      <c r="N70" s="25">
        <f t="shared" si="42"/>
        <v>-1.3503211233957087E-2</v>
      </c>
      <c r="O70" s="25">
        <f t="shared" si="43"/>
        <v>-1.2685992862620366E-2</v>
      </c>
      <c r="P70" s="393">
        <v>53672625.829999998</v>
      </c>
      <c r="Q70" s="393">
        <v>11.638166</v>
      </c>
      <c r="R70" s="25">
        <f t="shared" si="44"/>
        <v>-1.1755856187372299E-3</v>
      </c>
      <c r="S70" s="25">
        <f t="shared" si="45"/>
        <v>1.9211680591605439E-3</v>
      </c>
      <c r="T70" s="393">
        <v>53701823.649999999</v>
      </c>
      <c r="U70" s="393">
        <v>11.647703999999999</v>
      </c>
      <c r="V70" s="25">
        <f t="shared" si="46"/>
        <v>5.4399835201802906E-4</v>
      </c>
      <c r="W70" s="25">
        <f t="shared" si="47"/>
        <v>8.1954493517270323E-4</v>
      </c>
      <c r="X70" s="393">
        <v>53763448.409999996</v>
      </c>
      <c r="Y70" s="393">
        <v>11.692159999999999</v>
      </c>
      <c r="Z70" s="25">
        <f t="shared" si="48"/>
        <v>1.1475357038456535E-3</v>
      </c>
      <c r="AA70" s="25">
        <f t="shared" si="49"/>
        <v>3.8167178698909482E-3</v>
      </c>
      <c r="AB70" s="393">
        <v>53887213.490000002</v>
      </c>
      <c r="AC70" s="393">
        <v>11.716478</v>
      </c>
      <c r="AD70" s="25">
        <f t="shared" si="50"/>
        <v>2.3020301647352177E-3</v>
      </c>
      <c r="AE70" s="25">
        <f t="shared" si="51"/>
        <v>2.0798552192239032E-3</v>
      </c>
      <c r="AF70" s="393">
        <v>53499589.799999997</v>
      </c>
      <c r="AG70" s="393">
        <v>11.651462</v>
      </c>
      <c r="AH70" s="25">
        <f t="shared" si="52"/>
        <v>-7.1932405647944196E-3</v>
      </c>
      <c r="AI70" s="25">
        <f t="shared" si="53"/>
        <v>-5.5491078462316032E-3</v>
      </c>
      <c r="AJ70" s="26">
        <f t="shared" ref="AJ70:AJ133" si="54">AVERAGE(F70,J70,N70,R70,V70,Z70,AD70,AH70)</f>
        <v>-2.0188292905450483E-3</v>
      </c>
      <c r="AK70" s="26">
        <f t="shared" ref="AK70:AK133" si="55">AVERAGE(G70,K70,O70,S70,W70,AA70,AE70,AI70)</f>
        <v>4.6284906212820881E-4</v>
      </c>
      <c r="AL70" s="27">
        <f t="shared" ref="AL70:AL133" si="56">((AF70-D70)/D70)</f>
        <v>-1.783956650902559E-2</v>
      </c>
      <c r="AM70" s="27">
        <f t="shared" ref="AM70:AM133" si="57">((AG70-E70)/E70)</f>
        <v>-9.6590747789522084E-3</v>
      </c>
      <c r="AN70" s="28">
        <f t="shared" ref="AN70:AN133" si="58">STDEV(F70,J70,N70,R70,V70,Z70,AD70,AH70)</f>
        <v>5.5130182789897174E-3</v>
      </c>
      <c r="AO70" s="85">
        <f t="shared" ref="AO70:AO133" si="59">STDEV(G70,K70,O70,S70,W70,AA70,AE70,AI70)</f>
        <v>7.465874766791206E-3</v>
      </c>
      <c r="AP70" s="32"/>
      <c r="AQ70" s="30">
        <v>421796041.39999998</v>
      </c>
      <c r="AR70" s="30">
        <v>2004.5</v>
      </c>
      <c r="AS70" s="31" t="e">
        <f>(#REF!/AQ70)-1</f>
        <v>#REF!</v>
      </c>
      <c r="AT70" s="31" t="e">
        <f>(#REF!/AR70)-1</f>
        <v>#REF!</v>
      </c>
    </row>
    <row r="71" spans="1:46">
      <c r="A71" s="217" t="s">
        <v>91</v>
      </c>
      <c r="B71" s="393">
        <v>14991061991.209999</v>
      </c>
      <c r="C71" s="393">
        <v>1176.95</v>
      </c>
      <c r="D71" s="393">
        <v>15162122681.92</v>
      </c>
      <c r="E71" s="393">
        <v>1178.83</v>
      </c>
      <c r="F71" s="25">
        <f t="shared" si="38"/>
        <v>1.1410845396430376E-2</v>
      </c>
      <c r="G71" s="25">
        <f t="shared" si="39"/>
        <v>1.5973490802496976E-3</v>
      </c>
      <c r="H71" s="393">
        <v>14991061991.209999</v>
      </c>
      <c r="I71" s="393">
        <v>1176.95</v>
      </c>
      <c r="J71" s="25">
        <f t="shared" si="40"/>
        <v>-1.1282107017507613E-2</v>
      </c>
      <c r="K71" s="25">
        <f t="shared" si="41"/>
        <v>-1.5948016253402796E-3</v>
      </c>
      <c r="L71" s="393">
        <v>15529502889.469999</v>
      </c>
      <c r="M71" s="393">
        <v>1183.8499999999999</v>
      </c>
      <c r="N71" s="25">
        <f t="shared" si="42"/>
        <v>3.5917461923359047E-2</v>
      </c>
      <c r="O71" s="25">
        <f t="shared" si="43"/>
        <v>5.862610986023079E-3</v>
      </c>
      <c r="P71" s="393">
        <v>15529502889.469999</v>
      </c>
      <c r="Q71" s="393">
        <v>1183.8499999999999</v>
      </c>
      <c r="R71" s="25">
        <f t="shared" si="44"/>
        <v>0</v>
      </c>
      <c r="S71" s="25">
        <f t="shared" si="45"/>
        <v>0</v>
      </c>
      <c r="T71" s="393">
        <v>15628115601.200001</v>
      </c>
      <c r="U71" s="393">
        <v>1185.71</v>
      </c>
      <c r="V71" s="25">
        <f t="shared" si="46"/>
        <v>6.3500237214204197E-3</v>
      </c>
      <c r="W71" s="25">
        <f t="shared" si="47"/>
        <v>1.5711449930313193E-3</v>
      </c>
      <c r="X71" s="393">
        <v>15627517056.77</v>
      </c>
      <c r="Y71" s="393">
        <v>1186.45</v>
      </c>
      <c r="Z71" s="25">
        <f t="shared" si="48"/>
        <v>-3.8299206716537605E-5</v>
      </c>
      <c r="AA71" s="25">
        <f t="shared" si="49"/>
        <v>6.2409864132039795E-4</v>
      </c>
      <c r="AB71" s="393">
        <v>15481166021.469999</v>
      </c>
      <c r="AC71" s="393">
        <v>1164.53</v>
      </c>
      <c r="AD71" s="25">
        <f t="shared" si="50"/>
        <v>-9.3649576428777841E-3</v>
      </c>
      <c r="AE71" s="25">
        <f t="shared" si="51"/>
        <v>-1.8475283408487565E-2</v>
      </c>
      <c r="AF71" s="393">
        <v>15253556583.790001</v>
      </c>
      <c r="AG71" s="393">
        <v>1166.44</v>
      </c>
      <c r="AH71" s="25">
        <f t="shared" si="52"/>
        <v>-1.4702344601455671E-2</v>
      </c>
      <c r="AI71" s="25">
        <f t="shared" si="53"/>
        <v>1.6401466686131589E-3</v>
      </c>
      <c r="AJ71" s="26">
        <f t="shared" si="54"/>
        <v>2.2863278215815297E-3</v>
      </c>
      <c r="AK71" s="26">
        <f t="shared" si="55"/>
        <v>-1.0968418330737741E-3</v>
      </c>
      <c r="AL71" s="27">
        <f t="shared" si="56"/>
        <v>6.0304156474759799E-3</v>
      </c>
      <c r="AM71" s="27">
        <f t="shared" si="57"/>
        <v>-1.0510421349982502E-2</v>
      </c>
      <c r="AN71" s="28">
        <f t="shared" si="58"/>
        <v>1.6256535739267015E-2</v>
      </c>
      <c r="AO71" s="85">
        <f t="shared" si="59"/>
        <v>7.3360635770854657E-3</v>
      </c>
      <c r="AP71" s="32"/>
      <c r="AQ71" s="30"/>
      <c r="AR71" s="30"/>
      <c r="AS71" s="31"/>
      <c r="AT71" s="31"/>
    </row>
    <row r="72" spans="1:46">
      <c r="A72" s="217" t="s">
        <v>190</v>
      </c>
      <c r="B72" s="393">
        <v>25656843.879999999</v>
      </c>
      <c r="C72" s="393">
        <v>0.68010000000000004</v>
      </c>
      <c r="D72" s="393">
        <v>23023250.620000001</v>
      </c>
      <c r="E72" s="393">
        <v>0.68130000000000002</v>
      </c>
      <c r="F72" s="25">
        <f t="shared" si="38"/>
        <v>-0.10264681315900021</v>
      </c>
      <c r="G72" s="25">
        <f t="shared" si="39"/>
        <v>1.7644464049404187E-3</v>
      </c>
      <c r="H72" s="393">
        <v>23054719.539999999</v>
      </c>
      <c r="I72" s="393">
        <v>0.68220000000000003</v>
      </c>
      <c r="J72" s="25">
        <f t="shared" si="40"/>
        <v>1.3668321871396134E-3</v>
      </c>
      <c r="K72" s="25">
        <f t="shared" si="41"/>
        <v>1.3210039630119064E-3</v>
      </c>
      <c r="L72" s="393">
        <v>23086167.539999999</v>
      </c>
      <c r="M72" s="393">
        <v>0.68310000000000004</v>
      </c>
      <c r="N72" s="25">
        <f t="shared" si="42"/>
        <v>1.3640591005862222E-3</v>
      </c>
      <c r="O72" s="25">
        <f t="shared" si="43"/>
        <v>1.3192612137203339E-3</v>
      </c>
      <c r="P72" s="393">
        <v>21354460.920000002</v>
      </c>
      <c r="Q72" s="393">
        <v>0.63190000000000002</v>
      </c>
      <c r="R72" s="25">
        <f t="shared" si="44"/>
        <v>-7.5010571460142728E-2</v>
      </c>
      <c r="S72" s="25">
        <f t="shared" si="45"/>
        <v>-7.4952422778509761E-2</v>
      </c>
      <c r="T72" s="393">
        <v>21398702.379999999</v>
      </c>
      <c r="U72" s="393">
        <v>0.63319999999999999</v>
      </c>
      <c r="V72" s="25">
        <f t="shared" si="46"/>
        <v>2.0717666517426265E-3</v>
      </c>
      <c r="W72" s="25">
        <f t="shared" si="47"/>
        <v>2.0572875454976545E-3</v>
      </c>
      <c r="X72" s="393">
        <v>21413212.379999999</v>
      </c>
      <c r="Y72" s="393">
        <v>0.63360000000000005</v>
      </c>
      <c r="Z72" s="25">
        <f t="shared" si="48"/>
        <v>6.7807849944964747E-4</v>
      </c>
      <c r="AA72" s="25">
        <f t="shared" si="49"/>
        <v>6.317119393557596E-4</v>
      </c>
      <c r="AB72" s="393">
        <v>21232230.949999999</v>
      </c>
      <c r="AC72" s="393">
        <v>0.62829999999999997</v>
      </c>
      <c r="AD72" s="25">
        <f t="shared" si="50"/>
        <v>-8.4518579832065215E-3</v>
      </c>
      <c r="AE72" s="25">
        <f t="shared" si="51"/>
        <v>-8.3648989898991201E-3</v>
      </c>
      <c r="AF72" s="393">
        <v>21237029.399999999</v>
      </c>
      <c r="AG72" s="393">
        <v>0.62839999999999996</v>
      </c>
      <c r="AH72" s="25">
        <f t="shared" si="52"/>
        <v>2.2599838949091946E-4</v>
      </c>
      <c r="AI72" s="25">
        <f t="shared" si="53"/>
        <v>1.5915963711600985E-4</v>
      </c>
      <c r="AJ72" s="26">
        <f t="shared" si="54"/>
        <v>-2.2550313471742554E-2</v>
      </c>
      <c r="AK72" s="26">
        <f t="shared" si="55"/>
        <v>-9.508056383095851E-3</v>
      </c>
      <c r="AL72" s="27">
        <f t="shared" si="56"/>
        <v>-7.7583363421685342E-2</v>
      </c>
      <c r="AM72" s="27">
        <f t="shared" si="57"/>
        <v>-7.7645677381476666E-2</v>
      </c>
      <c r="AN72" s="28">
        <f t="shared" si="58"/>
        <v>4.1704379445763891E-2</v>
      </c>
      <c r="AO72" s="85">
        <f t="shared" si="59"/>
        <v>2.6661549956423725E-2</v>
      </c>
      <c r="AP72" s="32"/>
      <c r="AQ72" s="30"/>
      <c r="AR72" s="30"/>
      <c r="AS72" s="31"/>
      <c r="AT72" s="31"/>
    </row>
    <row r="73" spans="1:46">
      <c r="A73" s="217" t="s">
        <v>108</v>
      </c>
      <c r="B73" s="393">
        <v>394842846.06</v>
      </c>
      <c r="C73" s="393">
        <v>1161.43</v>
      </c>
      <c r="D73" s="393">
        <v>396967577.81</v>
      </c>
      <c r="E73" s="393">
        <v>1168.03</v>
      </c>
      <c r="F73" s="25">
        <f t="shared" si="38"/>
        <v>5.3812086788502366E-3</v>
      </c>
      <c r="G73" s="25">
        <f t="shared" si="39"/>
        <v>5.6826498368389902E-3</v>
      </c>
      <c r="H73" s="393">
        <v>399426631.81999999</v>
      </c>
      <c r="I73" s="393">
        <v>1175.57</v>
      </c>
      <c r="J73" s="25">
        <f t="shared" si="40"/>
        <v>6.1945966055116063E-3</v>
      </c>
      <c r="K73" s="25">
        <f t="shared" si="41"/>
        <v>6.4553136477658651E-3</v>
      </c>
      <c r="L73" s="393">
        <v>400617975.57999998</v>
      </c>
      <c r="M73" s="393">
        <v>1179.08</v>
      </c>
      <c r="N73" s="25">
        <f t="shared" si="42"/>
        <v>2.9826347696737076E-3</v>
      </c>
      <c r="O73" s="25">
        <f t="shared" si="43"/>
        <v>2.9857856188912537E-3</v>
      </c>
      <c r="P73" s="393">
        <v>381123781.33999997</v>
      </c>
      <c r="Q73" s="393">
        <v>1108.96</v>
      </c>
      <c r="R73" s="25">
        <f t="shared" si="44"/>
        <v>-4.8660308394242749E-2</v>
      </c>
      <c r="S73" s="25">
        <f t="shared" si="45"/>
        <v>-5.9470095328561165E-2</v>
      </c>
      <c r="T73" s="393">
        <v>381614571.61000001</v>
      </c>
      <c r="U73" s="393">
        <v>1112.1099999999999</v>
      </c>
      <c r="V73" s="25">
        <f t="shared" si="46"/>
        <v>1.2877450687397731E-3</v>
      </c>
      <c r="W73" s="25">
        <f t="shared" si="47"/>
        <v>2.8404992064635908E-3</v>
      </c>
      <c r="X73" s="393">
        <v>360938156.56999999</v>
      </c>
      <c r="Y73" s="393">
        <v>1107.03</v>
      </c>
      <c r="Z73" s="25">
        <f t="shared" si="48"/>
        <v>-5.4181408620661294E-2</v>
      </c>
      <c r="AA73" s="25">
        <f t="shared" si="49"/>
        <v>-4.5678934637760002E-3</v>
      </c>
      <c r="AB73" s="393">
        <v>359262473.38</v>
      </c>
      <c r="AC73" s="393">
        <v>1110.6300000000001</v>
      </c>
      <c r="AD73" s="25">
        <f t="shared" si="50"/>
        <v>-4.6425770163067183E-3</v>
      </c>
      <c r="AE73" s="25">
        <f t="shared" si="51"/>
        <v>3.2519443917510245E-3</v>
      </c>
      <c r="AF73" s="393">
        <v>360065095.25999999</v>
      </c>
      <c r="AG73" s="78">
        <v>1113.53</v>
      </c>
      <c r="AH73" s="25">
        <f t="shared" si="52"/>
        <v>2.2340821529418242E-3</v>
      </c>
      <c r="AI73" s="25">
        <f t="shared" si="53"/>
        <v>2.6111306195581458E-3</v>
      </c>
      <c r="AJ73" s="26">
        <f t="shared" si="54"/>
        <v>-1.1175503344436701E-2</v>
      </c>
      <c r="AK73" s="26">
        <f t="shared" si="55"/>
        <v>-5.0263331838835369E-3</v>
      </c>
      <c r="AL73" s="27">
        <f t="shared" si="56"/>
        <v>-9.2960948482454134E-2</v>
      </c>
      <c r="AM73" s="27">
        <f t="shared" si="57"/>
        <v>-4.6659760451358272E-2</v>
      </c>
      <c r="AN73" s="28">
        <f t="shared" si="58"/>
        <v>2.509622945222155E-2</v>
      </c>
      <c r="AO73" s="85">
        <f t="shared" si="59"/>
        <v>2.22446968552821E-2</v>
      </c>
      <c r="AP73" s="32"/>
      <c r="AQ73" s="30"/>
      <c r="AR73" s="30"/>
      <c r="AS73" s="31"/>
      <c r="AT73" s="31"/>
    </row>
    <row r="74" spans="1:46">
      <c r="A74" s="217" t="s">
        <v>111</v>
      </c>
      <c r="B74" s="393">
        <v>725861653.89999998</v>
      </c>
      <c r="C74" s="394">
        <v>198.00166899999999</v>
      </c>
      <c r="D74" s="393">
        <v>729205714.49000001</v>
      </c>
      <c r="E74" s="394">
        <v>198.45895400000001</v>
      </c>
      <c r="F74" s="25">
        <f t="shared" si="38"/>
        <v>4.6070219745493477E-3</v>
      </c>
      <c r="G74" s="25">
        <f t="shared" si="39"/>
        <v>2.3095007345620561E-3</v>
      </c>
      <c r="H74" s="393">
        <v>729710706.53999996</v>
      </c>
      <c r="I74" s="394">
        <v>198.92843500000001</v>
      </c>
      <c r="J74" s="25">
        <f t="shared" si="40"/>
        <v>6.9252344018332231E-4</v>
      </c>
      <c r="K74" s="25">
        <f t="shared" si="41"/>
        <v>2.3656327443910734E-3</v>
      </c>
      <c r="L74" s="393">
        <v>731251484.28999996</v>
      </c>
      <c r="M74" s="394">
        <v>199.36254700000001</v>
      </c>
      <c r="N74" s="25">
        <f t="shared" si="42"/>
        <v>2.1114912200010873E-3</v>
      </c>
      <c r="O74" s="25">
        <f t="shared" si="43"/>
        <v>2.1822521249915778E-3</v>
      </c>
      <c r="P74" s="393">
        <v>729510875.46000004</v>
      </c>
      <c r="Q74" s="394">
        <v>199.06486000000001</v>
      </c>
      <c r="R74" s="25">
        <f t="shared" si="44"/>
        <v>-2.3803149359620753E-3</v>
      </c>
      <c r="S74" s="25">
        <f t="shared" si="45"/>
        <v>-1.4931942056297879E-3</v>
      </c>
      <c r="T74" s="393">
        <v>720954491.48000002</v>
      </c>
      <c r="U74" s="394">
        <v>199.52411799999999</v>
      </c>
      <c r="V74" s="25">
        <f t="shared" si="46"/>
        <v>-1.1728932724415808E-2</v>
      </c>
      <c r="W74" s="25">
        <f t="shared" si="47"/>
        <v>2.3070772008679835E-3</v>
      </c>
      <c r="X74" s="393">
        <v>720903124.25</v>
      </c>
      <c r="Y74" s="394">
        <v>199.80257399999999</v>
      </c>
      <c r="Z74" s="25">
        <f t="shared" si="48"/>
        <v>-7.1248921543675618E-5</v>
      </c>
      <c r="AA74" s="25">
        <f t="shared" si="49"/>
        <v>1.3956007062765495E-3</v>
      </c>
      <c r="AB74" s="393">
        <v>714641406.76999998</v>
      </c>
      <c r="AC74" s="394">
        <v>198.16141099999999</v>
      </c>
      <c r="AD74" s="25">
        <f t="shared" si="50"/>
        <v>-8.6859347246059874E-3</v>
      </c>
      <c r="AE74" s="25">
        <f t="shared" si="51"/>
        <v>-8.2139232100183358E-3</v>
      </c>
      <c r="AF74" s="393">
        <v>714641406.76999998</v>
      </c>
      <c r="AG74" s="394">
        <v>198.16141099999999</v>
      </c>
      <c r="AH74" s="25">
        <f t="shared" si="52"/>
        <v>0</v>
      </c>
      <c r="AI74" s="25">
        <f t="shared" si="53"/>
        <v>0</v>
      </c>
      <c r="AJ74" s="26">
        <f t="shared" si="54"/>
        <v>-1.9319243339742235E-3</v>
      </c>
      <c r="AK74" s="26">
        <f t="shared" si="55"/>
        <v>1.0661826193013963E-4</v>
      </c>
      <c r="AL74" s="27">
        <f t="shared" si="56"/>
        <v>-1.9972838158826247E-2</v>
      </c>
      <c r="AM74" s="27">
        <f t="shared" si="57"/>
        <v>-1.4992671985967372E-3</v>
      </c>
      <c r="AN74" s="28">
        <f t="shared" si="58"/>
        <v>5.541896049972234E-3</v>
      </c>
      <c r="AO74" s="85">
        <f t="shared" si="59"/>
        <v>3.6365165162167584E-3</v>
      </c>
      <c r="AP74" s="32"/>
      <c r="AQ74" s="30"/>
      <c r="AR74" s="30"/>
      <c r="AS74" s="31"/>
      <c r="AT74" s="31"/>
    </row>
    <row r="75" spans="1:46" s="95" customFormat="1">
      <c r="A75" s="217" t="s">
        <v>117</v>
      </c>
      <c r="B75" s="393">
        <v>322371101.23000002</v>
      </c>
      <c r="C75" s="394">
        <v>1.3671</v>
      </c>
      <c r="D75" s="393">
        <v>325872548.5</v>
      </c>
      <c r="E75" s="394">
        <v>1.3671</v>
      </c>
      <c r="F75" s="25">
        <f t="shared" si="38"/>
        <v>1.0861542044681686E-2</v>
      </c>
      <c r="G75" s="25">
        <f t="shared" si="39"/>
        <v>0</v>
      </c>
      <c r="H75" s="393">
        <v>328035830.23000002</v>
      </c>
      <c r="I75" s="394">
        <v>1.3898999999999999</v>
      </c>
      <c r="J75" s="25">
        <f t="shared" si="40"/>
        <v>6.6384288580233668E-3</v>
      </c>
      <c r="K75" s="25">
        <f t="shared" si="41"/>
        <v>1.6677638797454417E-2</v>
      </c>
      <c r="L75" s="393">
        <v>329076934.24000001</v>
      </c>
      <c r="M75" s="394">
        <v>1.3939999999999999</v>
      </c>
      <c r="N75" s="25">
        <f t="shared" si="42"/>
        <v>3.1737508956568182E-3</v>
      </c>
      <c r="O75" s="25">
        <f t="shared" si="43"/>
        <v>2.949852507374626E-3</v>
      </c>
      <c r="P75" s="393">
        <v>329076934.24000001</v>
      </c>
      <c r="Q75" s="394">
        <v>1.3944000000000001</v>
      </c>
      <c r="R75" s="25">
        <f t="shared" si="44"/>
        <v>0</v>
      </c>
      <c r="S75" s="25">
        <f t="shared" si="45"/>
        <v>2.8694404591117506E-4</v>
      </c>
      <c r="T75" s="393">
        <v>341312067.02999997</v>
      </c>
      <c r="U75" s="394">
        <v>1.4457</v>
      </c>
      <c r="V75" s="25">
        <f t="shared" si="46"/>
        <v>3.7180159157179711E-2</v>
      </c>
      <c r="W75" s="25">
        <f t="shared" si="47"/>
        <v>3.6790017211703885E-2</v>
      </c>
      <c r="X75" s="393">
        <v>337672067.02999997</v>
      </c>
      <c r="Y75" s="394">
        <v>1.4137999999999999</v>
      </c>
      <c r="Z75" s="25">
        <f t="shared" si="48"/>
        <v>-1.0664726951127862E-2</v>
      </c>
      <c r="AA75" s="25">
        <f t="shared" si="49"/>
        <v>-2.2065435429203875E-2</v>
      </c>
      <c r="AB75" s="393">
        <v>331462654.23000002</v>
      </c>
      <c r="AC75" s="394">
        <v>1.3561000000000001</v>
      </c>
      <c r="AD75" s="25">
        <f t="shared" si="50"/>
        <v>-1.8388884975339952E-2</v>
      </c>
      <c r="AE75" s="25">
        <f t="shared" si="51"/>
        <v>-4.0811996039043619E-2</v>
      </c>
      <c r="AF75" s="393">
        <v>331755186.32999998</v>
      </c>
      <c r="AG75" s="394">
        <v>1.3561000000000001</v>
      </c>
      <c r="AH75" s="25">
        <f t="shared" si="52"/>
        <v>8.8254919903277523E-4</v>
      </c>
      <c r="AI75" s="25">
        <f t="shared" si="53"/>
        <v>0</v>
      </c>
      <c r="AJ75" s="26">
        <f t="shared" si="54"/>
        <v>3.7103522785133184E-3</v>
      </c>
      <c r="AK75" s="26">
        <f t="shared" si="55"/>
        <v>-7.7162236322542415E-4</v>
      </c>
      <c r="AL75" s="27">
        <f t="shared" si="56"/>
        <v>1.8051958831997117E-2</v>
      </c>
      <c r="AM75" s="27">
        <f t="shared" si="57"/>
        <v>-8.0462292443858521E-3</v>
      </c>
      <c r="AN75" s="28">
        <f t="shared" si="58"/>
        <v>1.64621272510749E-2</v>
      </c>
      <c r="AO75" s="85">
        <f t="shared" si="59"/>
        <v>2.3263006260082351E-2</v>
      </c>
      <c r="AP75" s="32"/>
      <c r="AQ75" s="30"/>
      <c r="AR75" s="30"/>
      <c r="AS75" s="31"/>
      <c r="AT75" s="31"/>
    </row>
    <row r="76" spans="1:46" s="95" customFormat="1">
      <c r="A76" s="217" t="s">
        <v>148</v>
      </c>
      <c r="B76" s="393">
        <v>412353530.12</v>
      </c>
      <c r="C76" s="394">
        <v>1.1716</v>
      </c>
      <c r="D76" s="393">
        <v>427741047.83999997</v>
      </c>
      <c r="E76" s="394">
        <v>1.2157</v>
      </c>
      <c r="F76" s="25">
        <f t="shared" si="38"/>
        <v>3.7316323484661351E-2</v>
      </c>
      <c r="G76" s="25">
        <f t="shared" si="39"/>
        <v>3.7640833048822146E-2</v>
      </c>
      <c r="H76" s="393">
        <v>430500523.10000002</v>
      </c>
      <c r="I76" s="394">
        <v>1.2295</v>
      </c>
      <c r="J76" s="25">
        <f t="shared" si="40"/>
        <v>6.4512753076535556E-3</v>
      </c>
      <c r="K76" s="25">
        <f t="shared" si="41"/>
        <v>1.1351484741301337E-2</v>
      </c>
      <c r="L76" s="393">
        <v>431046640.11000001</v>
      </c>
      <c r="M76" s="394">
        <v>1.2311000000000001</v>
      </c>
      <c r="N76" s="25">
        <f t="shared" si="42"/>
        <v>1.2685629417298853E-3</v>
      </c>
      <c r="O76" s="25">
        <f t="shared" si="43"/>
        <v>1.3013420089467635E-3</v>
      </c>
      <c r="P76" s="393">
        <v>434223646.60000002</v>
      </c>
      <c r="Q76" s="394">
        <v>1.2404999999999999</v>
      </c>
      <c r="R76" s="25">
        <f t="shared" si="44"/>
        <v>7.3704471729306607E-3</v>
      </c>
      <c r="S76" s="25">
        <f t="shared" si="45"/>
        <v>7.63544797335704E-3</v>
      </c>
      <c r="T76" s="393">
        <v>433248355.13</v>
      </c>
      <c r="U76" s="394">
        <v>1.2387999999999999</v>
      </c>
      <c r="V76" s="25">
        <f t="shared" si="46"/>
        <v>-2.2460579418846155E-3</v>
      </c>
      <c r="W76" s="25">
        <f t="shared" si="47"/>
        <v>-1.3704151551793913E-3</v>
      </c>
      <c r="X76" s="393">
        <v>426006472.60000002</v>
      </c>
      <c r="Y76" s="394">
        <v>1.2181</v>
      </c>
      <c r="Z76" s="25">
        <f t="shared" si="48"/>
        <v>-1.6715314540148643E-2</v>
      </c>
      <c r="AA76" s="25">
        <f t="shared" si="49"/>
        <v>-1.6709719082983486E-2</v>
      </c>
      <c r="AB76" s="393">
        <v>429134588.19999999</v>
      </c>
      <c r="AC76" s="394">
        <v>1.2272000000000001</v>
      </c>
      <c r="AD76" s="25">
        <f t="shared" si="50"/>
        <v>7.3428827991942674E-3</v>
      </c>
      <c r="AE76" s="25">
        <f t="shared" si="51"/>
        <v>7.4706510138741553E-3</v>
      </c>
      <c r="AF76" s="393">
        <v>426638654.23000002</v>
      </c>
      <c r="AG76" s="394">
        <v>1.2239</v>
      </c>
      <c r="AH76" s="25">
        <f t="shared" si="52"/>
        <v>-5.8162032113727646E-3</v>
      </c>
      <c r="AI76" s="25">
        <f t="shared" si="53"/>
        <v>-2.6890482398957633E-3</v>
      </c>
      <c r="AJ76" s="26">
        <f t="shared" si="54"/>
        <v>4.3714895015954615E-3</v>
      </c>
      <c r="AK76" s="26">
        <f t="shared" si="55"/>
        <v>5.5788220385303497E-3</v>
      </c>
      <c r="AL76" s="27">
        <f t="shared" si="56"/>
        <v>-2.577245311308804E-3</v>
      </c>
      <c r="AM76" s="27">
        <f t="shared" si="57"/>
        <v>6.7450851361355478E-3</v>
      </c>
      <c r="AN76" s="28">
        <f t="shared" si="58"/>
        <v>1.5626776449075841E-2</v>
      </c>
      <c r="AO76" s="85">
        <f t="shared" si="59"/>
        <v>1.5587680066807375E-2</v>
      </c>
      <c r="AP76" s="32"/>
      <c r="AQ76" s="30"/>
      <c r="AR76" s="30"/>
      <c r="AS76" s="31"/>
      <c r="AT76" s="31"/>
    </row>
    <row r="77" spans="1:46" s="95" customFormat="1">
      <c r="A77" s="217" t="s">
        <v>154</v>
      </c>
      <c r="B77" s="393">
        <v>954885274.12</v>
      </c>
      <c r="C77" s="394">
        <v>1.0605</v>
      </c>
      <c r="D77" s="393">
        <v>947944881.15999997</v>
      </c>
      <c r="E77" s="394">
        <v>1.0629999999999999</v>
      </c>
      <c r="F77" s="25">
        <f t="shared" si="38"/>
        <v>-7.2683003373322959E-3</v>
      </c>
      <c r="G77" s="25">
        <f t="shared" si="39"/>
        <v>2.3573785950023072E-3</v>
      </c>
      <c r="H77" s="393">
        <v>964410272.22000003</v>
      </c>
      <c r="I77" s="394">
        <v>1.0817000000000001</v>
      </c>
      <c r="J77" s="25">
        <f t="shared" si="40"/>
        <v>1.7369565875867556E-2</v>
      </c>
      <c r="K77" s="25">
        <f t="shared" si="41"/>
        <v>1.7591721542803539E-2</v>
      </c>
      <c r="L77" s="393">
        <v>1026359586.5</v>
      </c>
      <c r="M77" s="394">
        <v>1.1074999999999999</v>
      </c>
      <c r="N77" s="25">
        <f t="shared" si="42"/>
        <v>6.4235435959632922E-2</v>
      </c>
      <c r="O77" s="25">
        <f t="shared" si="43"/>
        <v>2.3851345104927264E-2</v>
      </c>
      <c r="P77" s="393">
        <v>1022278222.96</v>
      </c>
      <c r="Q77" s="394">
        <v>1.1088</v>
      </c>
      <c r="R77" s="25">
        <f t="shared" si="44"/>
        <v>-3.9765434977012924E-3</v>
      </c>
      <c r="S77" s="25">
        <f t="shared" si="45"/>
        <v>1.1738148984199359E-3</v>
      </c>
      <c r="T77" s="393">
        <v>1027838657.5</v>
      </c>
      <c r="U77" s="394">
        <v>1.1147</v>
      </c>
      <c r="V77" s="25">
        <f t="shared" si="46"/>
        <v>5.4392575476172808E-3</v>
      </c>
      <c r="W77" s="25">
        <f t="shared" si="47"/>
        <v>5.3210678210678358E-3</v>
      </c>
      <c r="X77" s="393">
        <v>1023618232.6</v>
      </c>
      <c r="Y77" s="394">
        <v>1.1156999999999999</v>
      </c>
      <c r="Z77" s="25">
        <f t="shared" si="48"/>
        <v>-4.1061161391470393E-3</v>
      </c>
      <c r="AA77" s="25">
        <f t="shared" si="49"/>
        <v>8.9710235937910633E-4</v>
      </c>
      <c r="AB77" s="393">
        <v>1003334455.79</v>
      </c>
      <c r="AC77" s="394">
        <v>1.117</v>
      </c>
      <c r="AD77" s="25">
        <f t="shared" si="50"/>
        <v>-1.9815763498544841E-2</v>
      </c>
      <c r="AE77" s="25">
        <f t="shared" si="51"/>
        <v>1.1651877744914216E-3</v>
      </c>
      <c r="AF77" s="393">
        <v>1003073941.77</v>
      </c>
      <c r="AG77" s="394">
        <v>1.1181000000000001</v>
      </c>
      <c r="AH77" s="25">
        <f t="shared" si="52"/>
        <v>-2.5964823444128493E-4</v>
      </c>
      <c r="AI77" s="25">
        <f t="shared" si="53"/>
        <v>9.8478066248889966E-4</v>
      </c>
      <c r="AJ77" s="26">
        <f t="shared" si="54"/>
        <v>6.4522359594938756E-3</v>
      </c>
      <c r="AK77" s="26">
        <f t="shared" si="55"/>
        <v>6.6677998448225395E-3</v>
      </c>
      <c r="AL77" s="27">
        <f t="shared" si="56"/>
        <v>5.8156398864181419E-2</v>
      </c>
      <c r="AM77" s="27">
        <f t="shared" si="57"/>
        <v>5.1834430856067877E-2</v>
      </c>
      <c r="AN77" s="28">
        <f t="shared" si="58"/>
        <v>2.5642211185188044E-2</v>
      </c>
      <c r="AO77" s="85">
        <f t="shared" si="59"/>
        <v>8.9527328481110273E-3</v>
      </c>
      <c r="AP77" s="32"/>
      <c r="AQ77" s="30"/>
      <c r="AR77" s="30"/>
      <c r="AS77" s="31"/>
      <c r="AT77" s="31"/>
    </row>
    <row r="78" spans="1:46" s="113" customFormat="1" ht="15.75" customHeight="1">
      <c r="A78" s="217" t="s">
        <v>178</v>
      </c>
      <c r="B78" s="393">
        <v>24773717917.650002</v>
      </c>
      <c r="C78" s="394">
        <v>114.41</v>
      </c>
      <c r="D78" s="393">
        <v>24040733530.689999</v>
      </c>
      <c r="E78" s="394">
        <v>114.54</v>
      </c>
      <c r="F78" s="25">
        <f t="shared" si="38"/>
        <v>-2.9587177402943997E-2</v>
      </c>
      <c r="G78" s="25">
        <f t="shared" si="39"/>
        <v>1.1362643125601753E-3</v>
      </c>
      <c r="H78" s="393">
        <v>24210812747.16</v>
      </c>
      <c r="I78" s="394">
        <v>114.75</v>
      </c>
      <c r="J78" s="25">
        <f t="shared" si="40"/>
        <v>7.0746267476772678E-3</v>
      </c>
      <c r="K78" s="25">
        <f t="shared" si="41"/>
        <v>1.8334206390779966E-3</v>
      </c>
      <c r="L78" s="393">
        <v>23667193388.049999</v>
      </c>
      <c r="M78" s="394">
        <v>114.97</v>
      </c>
      <c r="N78" s="25">
        <f t="shared" si="42"/>
        <v>-2.2453577448521167E-2</v>
      </c>
      <c r="O78" s="25">
        <f t="shared" si="43"/>
        <v>1.9172113289760249E-3</v>
      </c>
      <c r="P78" s="393">
        <v>22875844665</v>
      </c>
      <c r="Q78" s="394">
        <v>115.18</v>
      </c>
      <c r="R78" s="25">
        <f t="shared" si="44"/>
        <v>-3.3436525830289859E-2</v>
      </c>
      <c r="S78" s="25">
        <f t="shared" si="45"/>
        <v>1.8265634513352001E-3</v>
      </c>
      <c r="T78" s="393">
        <v>22373892491.91</v>
      </c>
      <c r="U78" s="394">
        <v>115.35</v>
      </c>
      <c r="V78" s="25">
        <f t="shared" si="46"/>
        <v>-2.1942454166861258E-2</v>
      </c>
      <c r="W78" s="25">
        <f t="shared" si="47"/>
        <v>1.4759506858828572E-3</v>
      </c>
      <c r="X78" s="393">
        <v>21349180755.75</v>
      </c>
      <c r="Y78" s="394">
        <v>115.56</v>
      </c>
      <c r="Z78" s="25">
        <f t="shared" si="48"/>
        <v>-4.5799439526694664E-2</v>
      </c>
      <c r="AA78" s="25">
        <f t="shared" si="49"/>
        <v>1.8205461638492238E-3</v>
      </c>
      <c r="AB78" s="393">
        <v>21151189880.599998</v>
      </c>
      <c r="AC78" s="394">
        <v>115.75</v>
      </c>
      <c r="AD78" s="25">
        <f t="shared" si="50"/>
        <v>-9.2739331506515258E-3</v>
      </c>
      <c r="AE78" s="25">
        <f t="shared" si="51"/>
        <v>1.6441675320179796E-3</v>
      </c>
      <c r="AF78" s="393">
        <v>26446086162.439999</v>
      </c>
      <c r="AG78" s="394">
        <v>115.89</v>
      </c>
      <c r="AH78" s="25">
        <f t="shared" si="52"/>
        <v>0.25033562233283679</v>
      </c>
      <c r="AI78" s="25">
        <f t="shared" si="53"/>
        <v>1.2095032397408257E-3</v>
      </c>
      <c r="AJ78" s="26">
        <f t="shared" si="54"/>
        <v>1.1864642694318948E-2</v>
      </c>
      <c r="AK78" s="26">
        <f t="shared" si="55"/>
        <v>1.6079534191800354E-3</v>
      </c>
      <c r="AL78" s="27">
        <f t="shared" si="56"/>
        <v>0.1000532129637129</v>
      </c>
      <c r="AM78" s="27">
        <f t="shared" si="57"/>
        <v>1.178627553693028E-2</v>
      </c>
      <c r="AN78" s="28">
        <f t="shared" si="58"/>
        <v>9.765423510726387E-2</v>
      </c>
      <c r="AO78" s="85">
        <f t="shared" si="59"/>
        <v>3.0224192902618971E-4</v>
      </c>
      <c r="AP78" s="32"/>
      <c r="AQ78" s="30"/>
      <c r="AR78" s="30"/>
      <c r="AS78" s="31"/>
      <c r="AT78" s="31"/>
    </row>
    <row r="79" spans="1:46" s="113" customFormat="1" ht="15.75" customHeight="1">
      <c r="A79" s="217" t="s">
        <v>183</v>
      </c>
      <c r="B79" s="393">
        <v>241299841.63</v>
      </c>
      <c r="C79" s="393">
        <v>1090.92</v>
      </c>
      <c r="D79" s="393">
        <v>243633320.91999999</v>
      </c>
      <c r="E79" s="393">
        <v>1105.72</v>
      </c>
      <c r="F79" s="25">
        <f t="shared" si="38"/>
        <v>9.670455124367882E-3</v>
      </c>
      <c r="G79" s="25">
        <f t="shared" si="39"/>
        <v>1.3566531001356611E-2</v>
      </c>
      <c r="H79" s="393">
        <v>246720067.06999999</v>
      </c>
      <c r="I79" s="393">
        <v>1123.29</v>
      </c>
      <c r="J79" s="25">
        <f t="shared" si="40"/>
        <v>1.2669638694510005E-2</v>
      </c>
      <c r="K79" s="25">
        <f t="shared" si="41"/>
        <v>1.5890098759179482E-2</v>
      </c>
      <c r="L79" s="393">
        <v>247256046.61000001</v>
      </c>
      <c r="M79" s="393">
        <v>1125.73</v>
      </c>
      <c r="N79" s="25">
        <f t="shared" si="42"/>
        <v>2.1724197239616997E-3</v>
      </c>
      <c r="O79" s="25">
        <f t="shared" si="43"/>
        <v>2.1721906186292538E-3</v>
      </c>
      <c r="P79" s="393">
        <v>248673933.28999999</v>
      </c>
      <c r="Q79" s="393">
        <v>1128.1300000000001</v>
      </c>
      <c r="R79" s="25">
        <f t="shared" si="44"/>
        <v>5.7344873843931804E-3</v>
      </c>
      <c r="S79" s="25">
        <f t="shared" si="45"/>
        <v>2.1319499347091141E-3</v>
      </c>
      <c r="T79" s="393">
        <v>249792009.34999999</v>
      </c>
      <c r="U79" s="393">
        <v>1131.1300000000001</v>
      </c>
      <c r="V79" s="25">
        <f t="shared" si="46"/>
        <v>4.4961530354535309E-3</v>
      </c>
      <c r="W79" s="25">
        <f t="shared" si="47"/>
        <v>2.6592679921640236E-3</v>
      </c>
      <c r="X79" s="393">
        <v>243576735.93000001</v>
      </c>
      <c r="Y79" s="393">
        <v>1101.98</v>
      </c>
      <c r="Z79" s="25">
        <f t="shared" si="48"/>
        <v>-2.4881794402363603E-2</v>
      </c>
      <c r="AA79" s="25">
        <f t="shared" si="49"/>
        <v>-2.5770689487503724E-2</v>
      </c>
      <c r="AB79" s="393">
        <v>244186014.75</v>
      </c>
      <c r="AC79" s="78">
        <v>1104.29</v>
      </c>
      <c r="AD79" s="25">
        <f t="shared" si="50"/>
        <v>2.5013834661742479E-3</v>
      </c>
      <c r="AE79" s="25">
        <f t="shared" si="51"/>
        <v>2.0962267917747556E-3</v>
      </c>
      <c r="AF79" s="393">
        <v>245300840.37</v>
      </c>
      <c r="AG79" s="78">
        <v>1107.05</v>
      </c>
      <c r="AH79" s="25">
        <f t="shared" si="52"/>
        <v>4.5654769424095564E-3</v>
      </c>
      <c r="AI79" s="25">
        <f t="shared" si="53"/>
        <v>2.4993434695596184E-3</v>
      </c>
      <c r="AJ79" s="26">
        <f t="shared" si="54"/>
        <v>2.1160274961133122E-3</v>
      </c>
      <c r="AK79" s="26">
        <f t="shared" si="55"/>
        <v>1.9056148849836423E-3</v>
      </c>
      <c r="AL79" s="27">
        <f t="shared" si="56"/>
        <v>6.8443817278489938E-3</v>
      </c>
      <c r="AM79" s="27">
        <f t="shared" si="57"/>
        <v>1.2028361610533654E-3</v>
      </c>
      <c r="AN79" s="28">
        <f t="shared" si="58"/>
        <v>1.1478179328139073E-2</v>
      </c>
      <c r="AO79" s="85">
        <f t="shared" si="59"/>
        <v>1.2527681961690806E-2</v>
      </c>
      <c r="AP79" s="32"/>
      <c r="AQ79" s="30"/>
      <c r="AR79" s="30"/>
      <c r="AS79" s="31"/>
      <c r="AT79" s="31"/>
    </row>
    <row r="80" spans="1:46" s="311" customFormat="1" ht="15.75" customHeight="1">
      <c r="A80" s="217" t="s">
        <v>192</v>
      </c>
      <c r="B80" s="393">
        <v>1282088996.53</v>
      </c>
      <c r="C80" s="394">
        <v>1.0356000000000001</v>
      </c>
      <c r="D80" s="393">
        <v>1280114718.01</v>
      </c>
      <c r="E80" s="394">
        <v>1.0374000000000001</v>
      </c>
      <c r="F80" s="25">
        <f t="shared" si="38"/>
        <v>-1.5398919461468011E-3</v>
      </c>
      <c r="G80" s="25">
        <f t="shared" si="39"/>
        <v>1.7381228273464888E-3</v>
      </c>
      <c r="H80" s="393">
        <v>1281617986.0999999</v>
      </c>
      <c r="I80" s="394">
        <v>1.0392999999999999</v>
      </c>
      <c r="J80" s="25">
        <f t="shared" si="40"/>
        <v>1.174322948443884E-3</v>
      </c>
      <c r="K80" s="25">
        <f t="shared" si="41"/>
        <v>1.8315018315016296E-3</v>
      </c>
      <c r="L80" s="393">
        <v>1282595713.29</v>
      </c>
      <c r="M80" s="394">
        <v>1.0409999999999999</v>
      </c>
      <c r="N80" s="25">
        <f t="shared" si="42"/>
        <v>7.6288504109973433E-4</v>
      </c>
      <c r="O80" s="25">
        <f t="shared" si="43"/>
        <v>1.6357163475416482E-3</v>
      </c>
      <c r="P80" s="393">
        <v>1292594143.1500001</v>
      </c>
      <c r="Q80" s="394">
        <v>1.0426</v>
      </c>
      <c r="R80" s="25">
        <f t="shared" si="44"/>
        <v>7.7954648970041032E-3</v>
      </c>
      <c r="S80" s="25">
        <f t="shared" si="45"/>
        <v>1.5369836695485553E-3</v>
      </c>
      <c r="T80" s="393">
        <v>1283931018.8599999</v>
      </c>
      <c r="U80" s="394">
        <v>1.0442</v>
      </c>
      <c r="V80" s="25">
        <f t="shared" si="46"/>
        <v>-6.7021224998656684E-3</v>
      </c>
      <c r="W80" s="25">
        <f t="shared" si="47"/>
        <v>1.5346249760215288E-3</v>
      </c>
      <c r="X80" s="393">
        <v>1324407119.21</v>
      </c>
      <c r="Y80" s="394">
        <v>1.046</v>
      </c>
      <c r="Z80" s="25">
        <f t="shared" si="48"/>
        <v>3.1525136284921915E-2</v>
      </c>
      <c r="AA80" s="25">
        <f t="shared" si="49"/>
        <v>1.7238076996744147E-3</v>
      </c>
      <c r="AB80" s="393">
        <v>1341122344.1199999</v>
      </c>
      <c r="AC80" s="394">
        <v>1.046</v>
      </c>
      <c r="AD80" s="25">
        <f t="shared" si="50"/>
        <v>1.2620911400695555E-2</v>
      </c>
      <c r="AE80" s="25">
        <f t="shared" si="51"/>
        <v>0</v>
      </c>
      <c r="AF80" s="393">
        <v>1350463246.6500001</v>
      </c>
      <c r="AG80" s="394">
        <v>1.0492999999999999</v>
      </c>
      <c r="AH80" s="25">
        <f t="shared" si="52"/>
        <v>6.96498911598509E-3</v>
      </c>
      <c r="AI80" s="25">
        <f t="shared" si="53"/>
        <v>3.154875717017073E-3</v>
      </c>
      <c r="AJ80" s="26">
        <f t="shared" si="54"/>
        <v>6.5752119052672267E-3</v>
      </c>
      <c r="AK80" s="26">
        <f t="shared" si="55"/>
        <v>1.6444541335814172E-3</v>
      </c>
      <c r="AL80" s="27">
        <f t="shared" si="56"/>
        <v>5.4954862755863226E-2</v>
      </c>
      <c r="AM80" s="27">
        <f t="shared" si="57"/>
        <v>1.1470985155195488E-2</v>
      </c>
      <c r="AN80" s="28">
        <f t="shared" si="58"/>
        <v>1.1746035301339327E-2</v>
      </c>
      <c r="AO80" s="85">
        <f t="shared" si="59"/>
        <v>8.5015537273207514E-4</v>
      </c>
      <c r="AP80" s="32"/>
      <c r="AQ80" s="30"/>
      <c r="AR80" s="30"/>
      <c r="AS80" s="31"/>
      <c r="AT80" s="31"/>
    </row>
    <row r="81" spans="1:46" s="311" customFormat="1" ht="15.75" customHeight="1">
      <c r="A81" s="217" t="s">
        <v>241</v>
      </c>
      <c r="B81" s="393">
        <v>3052117489.5700002</v>
      </c>
      <c r="C81" s="394">
        <v>109.23</v>
      </c>
      <c r="D81" s="393">
        <v>2436059436.8899999</v>
      </c>
      <c r="E81" s="394">
        <v>109.07</v>
      </c>
      <c r="F81" s="25">
        <f t="shared" si="38"/>
        <v>-0.20184611332468533</v>
      </c>
      <c r="G81" s="25">
        <f t="shared" si="39"/>
        <v>-1.4647990478807178E-3</v>
      </c>
      <c r="H81" s="393">
        <v>1987822943.95</v>
      </c>
      <c r="I81" s="394">
        <v>108.19</v>
      </c>
      <c r="J81" s="25">
        <f t="shared" si="40"/>
        <v>-0.18400063896316168</v>
      </c>
      <c r="K81" s="25">
        <f t="shared" si="41"/>
        <v>-8.0682130741725078E-3</v>
      </c>
      <c r="L81" s="393">
        <v>2049611821.29</v>
      </c>
      <c r="M81" s="394">
        <v>108.39</v>
      </c>
      <c r="N81" s="25">
        <f t="shared" si="42"/>
        <v>3.1083692603537078E-2</v>
      </c>
      <c r="O81" s="25">
        <f t="shared" si="43"/>
        <v>1.8485996857380796E-3</v>
      </c>
      <c r="P81" s="393">
        <v>1999948878.1800001</v>
      </c>
      <c r="Q81" s="394">
        <v>108.55</v>
      </c>
      <c r="R81" s="25">
        <f t="shared" si="44"/>
        <v>-2.4230414068719931E-2</v>
      </c>
      <c r="S81" s="25">
        <f t="shared" si="45"/>
        <v>1.4761509364332188E-3</v>
      </c>
      <c r="T81" s="393">
        <v>2003707828.8</v>
      </c>
      <c r="U81" s="394">
        <v>108.78</v>
      </c>
      <c r="V81" s="25">
        <f t="shared" si="46"/>
        <v>1.8795233523271945E-3</v>
      </c>
      <c r="W81" s="25">
        <f t="shared" si="47"/>
        <v>2.1188392445877845E-3</v>
      </c>
      <c r="X81" s="393">
        <v>2008744570.27</v>
      </c>
      <c r="Y81" s="394">
        <v>108.97</v>
      </c>
      <c r="Z81" s="25">
        <f t="shared" si="48"/>
        <v>2.513710530849441E-3</v>
      </c>
      <c r="AA81" s="25">
        <f t="shared" si="49"/>
        <v>1.7466446037874401E-3</v>
      </c>
      <c r="AB81" s="393">
        <v>2026614723.6400001</v>
      </c>
      <c r="AC81" s="394">
        <v>109.18</v>
      </c>
      <c r="AD81" s="25">
        <f t="shared" si="50"/>
        <v>8.8961800492126063E-3</v>
      </c>
      <c r="AE81" s="25">
        <f t="shared" si="51"/>
        <v>1.9271359089658435E-3</v>
      </c>
      <c r="AF81" s="393">
        <v>1728347180.1600001</v>
      </c>
      <c r="AG81" s="394">
        <v>108.04</v>
      </c>
      <c r="AH81" s="25">
        <f t="shared" si="52"/>
        <v>-0.14717525733962994</v>
      </c>
      <c r="AI81" s="25">
        <f t="shared" si="53"/>
        <v>-1.0441472797215611E-2</v>
      </c>
      <c r="AJ81" s="26">
        <f t="shared" si="54"/>
        <v>-6.4109914645033822E-2</v>
      </c>
      <c r="AK81" s="26">
        <f t="shared" si="55"/>
        <v>-1.3571393174695587E-3</v>
      </c>
      <c r="AL81" s="27">
        <f t="shared" si="56"/>
        <v>-0.290515184487248</v>
      </c>
      <c r="AM81" s="27">
        <f t="shared" si="57"/>
        <v>-9.4434766663609327E-3</v>
      </c>
      <c r="AN81" s="28">
        <f t="shared" si="58"/>
        <v>9.6377455877337745E-2</v>
      </c>
      <c r="AO81" s="85">
        <f t="shared" si="59"/>
        <v>5.0480813601796772E-3</v>
      </c>
      <c r="AP81" s="32"/>
      <c r="AQ81" s="30"/>
      <c r="AR81" s="30"/>
      <c r="AS81" s="31"/>
      <c r="AT81" s="31"/>
    </row>
    <row r="82" spans="1:46" s="314" customFormat="1" ht="15.75" customHeight="1">
      <c r="A82" s="217" t="s">
        <v>243</v>
      </c>
      <c r="B82" s="393">
        <v>366691201.22000003</v>
      </c>
      <c r="C82" s="394">
        <v>104.71</v>
      </c>
      <c r="D82" s="393">
        <v>367323796.73000002</v>
      </c>
      <c r="E82" s="394">
        <v>104.89</v>
      </c>
      <c r="F82" s="25">
        <f t="shared" si="38"/>
        <v>1.7251450481912667E-3</v>
      </c>
      <c r="G82" s="25">
        <f t="shared" si="39"/>
        <v>1.7190335211537278E-3</v>
      </c>
      <c r="H82" s="393">
        <v>368831698.93000001</v>
      </c>
      <c r="I82" s="394">
        <v>105.13</v>
      </c>
      <c r="J82" s="25">
        <f t="shared" si="40"/>
        <v>4.1051034902276316E-3</v>
      </c>
      <c r="K82" s="25">
        <f t="shared" si="41"/>
        <v>2.2881113547525492E-3</v>
      </c>
      <c r="L82" s="393">
        <v>363630273.51999998</v>
      </c>
      <c r="M82" s="394">
        <v>105.72</v>
      </c>
      <c r="N82" s="25">
        <f t="shared" si="42"/>
        <v>-1.4102435948671528E-2</v>
      </c>
      <c r="O82" s="25">
        <f t="shared" si="43"/>
        <v>5.612099305621644E-3</v>
      </c>
      <c r="P82" s="393">
        <v>360867459.51999998</v>
      </c>
      <c r="Q82" s="394">
        <v>105.83</v>
      </c>
      <c r="R82" s="25">
        <f t="shared" si="44"/>
        <v>-7.5978657476879269E-3</v>
      </c>
      <c r="S82" s="25">
        <f t="shared" si="45"/>
        <v>1.0404842981460408E-3</v>
      </c>
      <c r="T82" s="393">
        <v>366295470.23000002</v>
      </c>
      <c r="U82" s="394">
        <v>105.79</v>
      </c>
      <c r="V82" s="25">
        <f t="shared" si="46"/>
        <v>1.5041563229945943E-2</v>
      </c>
      <c r="W82" s="25">
        <f t="shared" si="47"/>
        <v>-3.7796466030418638E-4</v>
      </c>
      <c r="X82" s="393">
        <v>367417908.73000002</v>
      </c>
      <c r="Y82" s="394">
        <v>106.06</v>
      </c>
      <c r="Z82" s="25">
        <f t="shared" si="48"/>
        <v>3.0642980632417088E-3</v>
      </c>
      <c r="AA82" s="25">
        <f t="shared" si="49"/>
        <v>2.5522261083277815E-3</v>
      </c>
      <c r="AB82" s="393">
        <v>367032930.50999999</v>
      </c>
      <c r="AC82" s="394">
        <v>106.25</v>
      </c>
      <c r="AD82" s="25">
        <f t="shared" si="50"/>
        <v>-1.0477938359910836E-3</v>
      </c>
      <c r="AE82" s="25">
        <f t="shared" si="51"/>
        <v>1.7914388082217398E-3</v>
      </c>
      <c r="AF82" s="393">
        <v>367920524.94</v>
      </c>
      <c r="AG82" s="394">
        <v>115.08</v>
      </c>
      <c r="AH82" s="25">
        <f t="shared" si="52"/>
        <v>2.4182964421385188E-3</v>
      </c>
      <c r="AI82" s="25">
        <f t="shared" si="53"/>
        <v>8.3105882352941154E-2</v>
      </c>
      <c r="AJ82" s="26">
        <f t="shared" si="54"/>
        <v>4.507888426743161E-4</v>
      </c>
      <c r="AK82" s="26">
        <f t="shared" si="55"/>
        <v>1.2216413886107556E-2</v>
      </c>
      <c r="AL82" s="27">
        <f t="shared" si="56"/>
        <v>1.6245291356350685E-3</v>
      </c>
      <c r="AM82" s="27">
        <f t="shared" si="57"/>
        <v>9.7149394603870703E-2</v>
      </c>
      <c r="AN82" s="28">
        <f t="shared" si="58"/>
        <v>8.5972849176707486E-3</v>
      </c>
      <c r="AO82" s="85">
        <f t="shared" si="59"/>
        <v>2.8693693433956034E-2</v>
      </c>
      <c r="AP82" s="32"/>
      <c r="AQ82" s="30"/>
      <c r="AR82" s="30"/>
      <c r="AS82" s="31"/>
      <c r="AT82" s="31"/>
    </row>
    <row r="83" spans="1:46" s="330" customFormat="1" ht="15.75" customHeight="1">
      <c r="A83" s="217" t="s">
        <v>247</v>
      </c>
      <c r="B83" s="393">
        <v>894499702.17999995</v>
      </c>
      <c r="C83" s="394">
        <v>1.0261</v>
      </c>
      <c r="D83" s="393">
        <v>889862484.91999996</v>
      </c>
      <c r="E83" s="394">
        <v>1.0290999999999999</v>
      </c>
      <c r="F83" s="25">
        <f t="shared" si="38"/>
        <v>-5.1841462313498279E-3</v>
      </c>
      <c r="G83" s="25">
        <f t="shared" si="39"/>
        <v>2.9236916479874198E-3</v>
      </c>
      <c r="H83" s="393">
        <v>888628441.63</v>
      </c>
      <c r="I83" s="394">
        <v>1.0306999999999999</v>
      </c>
      <c r="J83" s="25">
        <f t="shared" si="40"/>
        <v>-1.3867797675625175E-3</v>
      </c>
      <c r="K83" s="25">
        <f t="shared" si="41"/>
        <v>1.5547565834224525E-3</v>
      </c>
      <c r="L83" s="393">
        <v>886592223.48000002</v>
      </c>
      <c r="M83" s="394">
        <v>1.0351999999999999</v>
      </c>
      <c r="N83" s="25">
        <f t="shared" si="42"/>
        <v>-2.2914168111308332E-3</v>
      </c>
      <c r="O83" s="25">
        <f t="shared" si="43"/>
        <v>4.3659648782380413E-3</v>
      </c>
      <c r="P83" s="393">
        <v>877500150.46000004</v>
      </c>
      <c r="Q83" s="394">
        <v>1.0367999999999999</v>
      </c>
      <c r="R83" s="25">
        <f t="shared" si="44"/>
        <v>-1.0255078692560947E-2</v>
      </c>
      <c r="S83" s="25">
        <f t="shared" si="45"/>
        <v>1.5455950540958713E-3</v>
      </c>
      <c r="T83" s="393">
        <v>873158180.47000003</v>
      </c>
      <c r="U83" s="394">
        <v>1.0381</v>
      </c>
      <c r="V83" s="25">
        <f t="shared" si="46"/>
        <v>-4.9481131002927772E-3</v>
      </c>
      <c r="W83" s="25">
        <f t="shared" si="47"/>
        <v>1.2538580246914341E-3</v>
      </c>
      <c r="X83" s="393">
        <v>873265802.91999996</v>
      </c>
      <c r="Y83" s="394">
        <v>1.0395000000000001</v>
      </c>
      <c r="Z83" s="25">
        <f t="shared" si="48"/>
        <v>1.2325653290220324E-4</v>
      </c>
      <c r="AA83" s="25">
        <f t="shared" si="49"/>
        <v>1.3486176668915015E-3</v>
      </c>
      <c r="AB83" s="393">
        <v>868481092.48000002</v>
      </c>
      <c r="AC83" s="394">
        <v>1.0407</v>
      </c>
      <c r="AD83" s="25">
        <f t="shared" si="50"/>
        <v>-5.4790997471800308E-3</v>
      </c>
      <c r="AE83" s="25">
        <f t="shared" si="51"/>
        <v>1.1544011544010271E-3</v>
      </c>
      <c r="AF83" s="393">
        <v>867392324.47000003</v>
      </c>
      <c r="AG83" s="394">
        <v>1.0419</v>
      </c>
      <c r="AH83" s="25">
        <f t="shared" si="52"/>
        <v>-1.2536461869203713E-3</v>
      </c>
      <c r="AI83" s="25">
        <f t="shared" si="53"/>
        <v>1.1530700490055635E-3</v>
      </c>
      <c r="AJ83" s="26">
        <f t="shared" si="54"/>
        <v>-3.8343780005118881E-3</v>
      </c>
      <c r="AK83" s="26">
        <f t="shared" si="55"/>
        <v>1.9124943823416642E-3</v>
      </c>
      <c r="AL83" s="27">
        <f t="shared" si="56"/>
        <v>-2.5251272899789713E-2</v>
      </c>
      <c r="AM83" s="27">
        <f t="shared" si="57"/>
        <v>1.2438052667379405E-2</v>
      </c>
      <c r="AN83" s="28">
        <f t="shared" si="58"/>
        <v>3.3313939872057401E-3</v>
      </c>
      <c r="AO83" s="85">
        <f t="shared" si="59"/>
        <v>1.1469100286225161E-3</v>
      </c>
      <c r="AP83" s="32"/>
      <c r="AQ83" s="30"/>
      <c r="AR83" s="30"/>
      <c r="AS83" s="31"/>
      <c r="AT83" s="31"/>
    </row>
    <row r="84" spans="1:46" s="330" customFormat="1" ht="15.75" customHeight="1">
      <c r="A84" s="217" t="s">
        <v>260</v>
      </c>
      <c r="B84" s="393">
        <v>402944942.54000002</v>
      </c>
      <c r="C84" s="78">
        <v>1000</v>
      </c>
      <c r="D84" s="393">
        <v>413737915.79000002</v>
      </c>
      <c r="E84" s="78">
        <v>1000</v>
      </c>
      <c r="F84" s="25">
        <f t="shared" si="38"/>
        <v>2.6785230711584351E-2</v>
      </c>
      <c r="G84" s="25">
        <f t="shared" si="39"/>
        <v>0</v>
      </c>
      <c r="H84" s="393">
        <v>414865997.49000001</v>
      </c>
      <c r="I84" s="78">
        <v>1000</v>
      </c>
      <c r="J84" s="25">
        <f t="shared" si="40"/>
        <v>2.7265610835932328E-3</v>
      </c>
      <c r="K84" s="25">
        <f t="shared" si="41"/>
        <v>0</v>
      </c>
      <c r="L84" s="393">
        <v>416673586.12</v>
      </c>
      <c r="M84" s="78">
        <v>1000</v>
      </c>
      <c r="N84" s="25">
        <f t="shared" si="42"/>
        <v>4.3570421315223973E-3</v>
      </c>
      <c r="O84" s="25">
        <f t="shared" si="43"/>
        <v>0</v>
      </c>
      <c r="P84" s="393">
        <v>428192921.66000003</v>
      </c>
      <c r="Q84" s="78">
        <v>1000</v>
      </c>
      <c r="R84" s="25">
        <f t="shared" si="44"/>
        <v>2.7645946188397236E-2</v>
      </c>
      <c r="S84" s="25">
        <f t="shared" si="45"/>
        <v>0</v>
      </c>
      <c r="T84" s="393">
        <v>390608749.48000002</v>
      </c>
      <c r="U84" s="78">
        <v>1000</v>
      </c>
      <c r="V84" s="25">
        <f t="shared" si="46"/>
        <v>-8.7773922171098237E-2</v>
      </c>
      <c r="W84" s="25">
        <f t="shared" si="47"/>
        <v>0</v>
      </c>
      <c r="X84" s="393">
        <v>395480500.27999997</v>
      </c>
      <c r="Y84" s="78">
        <v>1000</v>
      </c>
      <c r="Z84" s="25">
        <f t="shared" si="48"/>
        <v>1.247220090816065E-2</v>
      </c>
      <c r="AA84" s="25">
        <f t="shared" si="49"/>
        <v>0</v>
      </c>
      <c r="AB84" s="393">
        <v>395198998.81</v>
      </c>
      <c r="AC84" s="78">
        <v>1000</v>
      </c>
      <c r="AD84" s="25">
        <f t="shared" si="50"/>
        <v>-7.1179608046582855E-4</v>
      </c>
      <c r="AE84" s="25">
        <f t="shared" si="51"/>
        <v>0</v>
      </c>
      <c r="AF84" s="393">
        <v>395937942.35000002</v>
      </c>
      <c r="AG84" s="78">
        <v>1000</v>
      </c>
      <c r="AH84" s="25">
        <f t="shared" si="52"/>
        <v>1.8698011437910643E-3</v>
      </c>
      <c r="AI84" s="25">
        <f t="shared" si="53"/>
        <v>0</v>
      </c>
      <c r="AJ84" s="26">
        <f t="shared" si="54"/>
        <v>-1.5786170105643921E-3</v>
      </c>
      <c r="AK84" s="26">
        <f t="shared" si="55"/>
        <v>0</v>
      </c>
      <c r="AL84" s="27">
        <f t="shared" si="56"/>
        <v>-4.3022340377029136E-2</v>
      </c>
      <c r="AM84" s="27">
        <f t="shared" si="57"/>
        <v>0</v>
      </c>
      <c r="AN84" s="28">
        <f t="shared" si="58"/>
        <v>3.6551428820701504E-2</v>
      </c>
      <c r="AO84" s="85">
        <f t="shared" si="59"/>
        <v>0</v>
      </c>
      <c r="AP84" s="32"/>
      <c r="AQ84" s="30"/>
      <c r="AR84" s="30"/>
      <c r="AS84" s="31"/>
      <c r="AT84" s="31"/>
    </row>
    <row r="85" spans="1:46" s="119" customFormat="1" ht="15.75" customHeight="1">
      <c r="A85" s="217" t="s">
        <v>271</v>
      </c>
      <c r="B85" s="393"/>
      <c r="C85" s="78"/>
      <c r="D85" s="393"/>
      <c r="E85" s="78"/>
      <c r="F85" s="25" t="e">
        <f>((#REF!-B85)/B85)</f>
        <v>#REF!</v>
      </c>
      <c r="G85" s="25" t="e">
        <f>((E85-C85)/C85)</f>
        <v>#DIV/0!</v>
      </c>
      <c r="H85" s="393">
        <v>52580649.780000001</v>
      </c>
      <c r="I85" s="78">
        <v>101.70099999999999</v>
      </c>
      <c r="J85" s="25" t="e">
        <f>((#REF!-D85)/D85)</f>
        <v>#REF!</v>
      </c>
      <c r="K85" s="25" t="e">
        <f t="shared" si="41"/>
        <v>#DIV/0!</v>
      </c>
      <c r="L85" s="393">
        <v>52686146</v>
      </c>
      <c r="M85" s="78">
        <v>101.905</v>
      </c>
      <c r="N85" s="25" t="e">
        <f>((#REF!-H85)/H85)</f>
        <v>#REF!</v>
      </c>
      <c r="O85" s="25">
        <f t="shared" si="43"/>
        <v>2.0058799815145154E-3</v>
      </c>
      <c r="P85" s="393">
        <v>54791189.200000003</v>
      </c>
      <c r="Q85" s="78">
        <v>102.1018</v>
      </c>
      <c r="R85" s="25" t="e">
        <f>((#REF!-L85)/L85)</f>
        <v>#REF!</v>
      </c>
      <c r="S85" s="25">
        <f t="shared" si="45"/>
        <v>1.9312104410970619E-3</v>
      </c>
      <c r="T85" s="393">
        <v>54911054.799999997</v>
      </c>
      <c r="U85" s="78">
        <v>102.1018</v>
      </c>
      <c r="V85" s="25" t="e">
        <f>((#REF!-P85)/P85)</f>
        <v>#REF!</v>
      </c>
      <c r="W85" s="25">
        <f t="shared" si="47"/>
        <v>0</v>
      </c>
      <c r="X85" s="393">
        <v>54982272.899999999</v>
      </c>
      <c r="Y85" s="78">
        <v>102.4019</v>
      </c>
      <c r="Z85" s="25" t="e">
        <f>((#REF!-T85)/T85)</f>
        <v>#REF!</v>
      </c>
      <c r="AA85" s="25">
        <f t="shared" si="49"/>
        <v>2.9392234025257193E-3</v>
      </c>
      <c r="AB85" s="393">
        <v>55080400.369999997</v>
      </c>
      <c r="AC85" s="78">
        <v>102.5847</v>
      </c>
      <c r="AD85" s="25" t="e">
        <f>((#REF!-X85)/X85)</f>
        <v>#REF!</v>
      </c>
      <c r="AE85" s="25">
        <f t="shared" si="51"/>
        <v>1.7851231275982213E-3</v>
      </c>
      <c r="AF85" s="393">
        <v>55180067.270000003</v>
      </c>
      <c r="AG85" s="78">
        <v>102.7688</v>
      </c>
      <c r="AH85" s="25" t="e">
        <f>((#REF!-AB85)/AB85)</f>
        <v>#REF!</v>
      </c>
      <c r="AI85" s="25">
        <f t="shared" si="53"/>
        <v>1.7946145965236611E-3</v>
      </c>
      <c r="AJ85" s="26" t="e">
        <f t="shared" si="54"/>
        <v>#REF!</v>
      </c>
      <c r="AK85" s="26" t="e">
        <f t="shared" si="55"/>
        <v>#DIV/0!</v>
      </c>
      <c r="AL85" s="27" t="e">
        <f t="shared" si="56"/>
        <v>#DIV/0!</v>
      </c>
      <c r="AM85" s="27" t="e">
        <f t="shared" si="57"/>
        <v>#DIV/0!</v>
      </c>
      <c r="AN85" s="28" t="e">
        <f t="shared" si="58"/>
        <v>#REF!</v>
      </c>
      <c r="AO85" s="85" t="e">
        <f t="shared" si="59"/>
        <v>#DIV/0!</v>
      </c>
      <c r="AP85" s="32"/>
      <c r="AQ85" s="30"/>
      <c r="AR85" s="30"/>
      <c r="AS85" s="31"/>
      <c r="AT85" s="31"/>
    </row>
    <row r="86" spans="1:46">
      <c r="A86" s="219" t="s">
        <v>46</v>
      </c>
      <c r="B86" s="82">
        <f>SUM(B56:B85)</f>
        <v>340997039723.96667</v>
      </c>
      <c r="C86" s="94"/>
      <c r="D86" s="82">
        <f>SUM(D56:D85)</f>
        <v>337601112067.86987</v>
      </c>
      <c r="E86" s="94"/>
      <c r="F86" s="25">
        <f>((D85-B86)/B86)</f>
        <v>-1</v>
      </c>
      <c r="G86" s="25"/>
      <c r="H86" s="82">
        <f>SUM(H56:H85)</f>
        <v>337795097303.112</v>
      </c>
      <c r="I86" s="94"/>
      <c r="J86" s="25">
        <f>((H85-D86)/D86)</f>
        <v>-0.99984425214283812</v>
      </c>
      <c r="K86" s="25"/>
      <c r="L86" s="82">
        <f>SUM(L56:L85)</f>
        <v>346978671755.57391</v>
      </c>
      <c r="M86" s="94"/>
      <c r="N86" s="25">
        <f>((L85-H86)/H86)</f>
        <v>-0.9998440292756744</v>
      </c>
      <c r="O86" s="25"/>
      <c r="P86" s="82">
        <f>SUM(P56:P85)</f>
        <v>346020331729.3703</v>
      </c>
      <c r="Q86" s="94"/>
      <c r="R86" s="25">
        <f>((P85-L86)/L86)</f>
        <v>-0.99984209061345819</v>
      </c>
      <c r="S86" s="25"/>
      <c r="T86" s="82">
        <f>SUM(T56:T85)</f>
        <v>345947135557.62299</v>
      </c>
      <c r="U86" s="94"/>
      <c r="V86" s="25">
        <f>((T85-P86)/P86)</f>
        <v>-0.9998413068546419</v>
      </c>
      <c r="W86" s="25"/>
      <c r="X86" s="82">
        <f>SUM(X56:X85)</f>
        <v>343126814140.64636</v>
      </c>
      <c r="Y86" s="94"/>
      <c r="Z86" s="25">
        <f>((X85-T86)/T86)</f>
        <v>-0.9998410674139232</v>
      </c>
      <c r="AA86" s="25"/>
      <c r="AB86" s="82">
        <f>SUM(AB56:AB85)</f>
        <v>342048621360.02881</v>
      </c>
      <c r="AC86" s="94"/>
      <c r="AD86" s="25">
        <f>((AB85-X86)/X86)</f>
        <v>-0.99983947509171511</v>
      </c>
      <c r="AE86" s="25"/>
      <c r="AF86" s="82">
        <f>SUM(AF56:AF85)</f>
        <v>346326319129.15698</v>
      </c>
      <c r="AG86" s="94"/>
      <c r="AH86" s="25">
        <f>((AF85-AB86)/AB86)</f>
        <v>-0.99983867770888646</v>
      </c>
      <c r="AI86" s="25"/>
      <c r="AJ86" s="26">
        <f t="shared" si="54"/>
        <v>-0.99986136238764223</v>
      </c>
      <c r="AK86" s="26"/>
      <c r="AL86" s="27">
        <f t="shared" si="56"/>
        <v>2.5844722512445489E-2</v>
      </c>
      <c r="AM86" s="27"/>
      <c r="AN86" s="28">
        <f t="shared" si="58"/>
        <v>5.6051946345264972E-5</v>
      </c>
      <c r="AO86" s="85"/>
      <c r="AP86" s="32"/>
      <c r="AQ86" s="42"/>
      <c r="AR86" s="15"/>
      <c r="AS86" s="31" t="e">
        <f>(#REF!/AQ86)-1</f>
        <v>#REF!</v>
      </c>
      <c r="AT86" s="31" t="e">
        <f>(#REF!/AR86)-1</f>
        <v>#REF!</v>
      </c>
    </row>
    <row r="87" spans="1:46" s="119" customFormat="1" ht="7.5" customHeight="1">
      <c r="A87" s="219"/>
      <c r="B87" s="94"/>
      <c r="C87" s="94"/>
      <c r="D87" s="94"/>
      <c r="E87" s="94"/>
      <c r="F87" s="25"/>
      <c r="G87" s="25"/>
      <c r="H87" s="94"/>
      <c r="I87" s="94"/>
      <c r="J87" s="25"/>
      <c r="K87" s="25"/>
      <c r="L87" s="94"/>
      <c r="M87" s="94"/>
      <c r="N87" s="25"/>
      <c r="O87" s="25"/>
      <c r="P87" s="94"/>
      <c r="Q87" s="94"/>
      <c r="R87" s="25"/>
      <c r="S87" s="25"/>
      <c r="T87" s="94"/>
      <c r="U87" s="94"/>
      <c r="V87" s="25"/>
      <c r="W87" s="25"/>
      <c r="X87" s="94"/>
      <c r="Y87" s="94"/>
      <c r="Z87" s="25"/>
      <c r="AA87" s="25"/>
      <c r="AB87" s="94"/>
      <c r="AC87" s="94"/>
      <c r="AD87" s="25"/>
      <c r="AE87" s="25"/>
      <c r="AF87" s="94"/>
      <c r="AG87" s="94"/>
      <c r="AH87" s="25"/>
      <c r="AI87" s="25"/>
      <c r="AJ87" s="26"/>
      <c r="AK87" s="26"/>
      <c r="AL87" s="27"/>
      <c r="AM87" s="27"/>
      <c r="AN87" s="28"/>
      <c r="AO87" s="85"/>
      <c r="AP87" s="32"/>
      <c r="AQ87" s="42"/>
      <c r="AR87" s="15"/>
      <c r="AS87" s="31"/>
      <c r="AT87" s="31"/>
    </row>
    <row r="88" spans="1:46" s="119" customFormat="1">
      <c r="A88" s="216" t="s">
        <v>211</v>
      </c>
      <c r="B88" s="94"/>
      <c r="C88" s="94"/>
      <c r="D88" s="94"/>
      <c r="E88" s="94"/>
      <c r="F88" s="25"/>
      <c r="G88" s="25"/>
      <c r="H88" s="94"/>
      <c r="I88" s="94"/>
      <c r="J88" s="25"/>
      <c r="K88" s="25"/>
      <c r="L88" s="94"/>
      <c r="M88" s="94"/>
      <c r="N88" s="25"/>
      <c r="O88" s="25"/>
      <c r="P88" s="94"/>
      <c r="Q88" s="94"/>
      <c r="R88" s="25"/>
      <c r="S88" s="25"/>
      <c r="T88" s="94"/>
      <c r="U88" s="94"/>
      <c r="V88" s="25"/>
      <c r="W88" s="25"/>
      <c r="X88" s="94"/>
      <c r="Y88" s="94"/>
      <c r="Z88" s="25"/>
      <c r="AA88" s="25"/>
      <c r="AB88" s="94"/>
      <c r="AC88" s="94"/>
      <c r="AD88" s="25"/>
      <c r="AE88" s="25"/>
      <c r="AF88" s="94"/>
      <c r="AG88" s="94"/>
      <c r="AH88" s="25"/>
      <c r="AI88" s="25"/>
      <c r="AJ88" s="26"/>
      <c r="AK88" s="26"/>
      <c r="AL88" s="27"/>
      <c r="AM88" s="27"/>
      <c r="AN88" s="28"/>
      <c r="AO88" s="85"/>
      <c r="AP88" s="32"/>
      <c r="AQ88" s="42"/>
      <c r="AR88" s="15"/>
      <c r="AS88" s="31"/>
      <c r="AT88" s="31"/>
    </row>
    <row r="89" spans="1:46" s="119" customFormat="1">
      <c r="A89" s="215" t="s">
        <v>212</v>
      </c>
      <c r="B89" s="94"/>
      <c r="C89" s="94"/>
      <c r="D89" s="94"/>
      <c r="E89" s="94"/>
      <c r="F89" s="25"/>
      <c r="G89" s="25"/>
      <c r="H89" s="94"/>
      <c r="I89" s="94"/>
      <c r="J89" s="25"/>
      <c r="K89" s="25"/>
      <c r="L89" s="94"/>
      <c r="M89" s="94"/>
      <c r="N89" s="25"/>
      <c r="O89" s="25"/>
      <c r="P89" s="94"/>
      <c r="Q89" s="94"/>
      <c r="R89" s="25"/>
      <c r="S89" s="25"/>
      <c r="T89" s="94"/>
      <c r="U89" s="94"/>
      <c r="V89" s="25"/>
      <c r="W89" s="25"/>
      <c r="X89" s="94"/>
      <c r="Y89" s="94"/>
      <c r="Z89" s="25"/>
      <c r="AA89" s="25"/>
      <c r="AB89" s="94"/>
      <c r="AC89" s="94"/>
      <c r="AD89" s="25"/>
      <c r="AE89" s="25"/>
      <c r="AF89" s="94"/>
      <c r="AG89" s="94"/>
      <c r="AH89" s="25"/>
      <c r="AI89" s="25"/>
      <c r="AJ89" s="26"/>
      <c r="AK89" s="26"/>
      <c r="AL89" s="27"/>
      <c r="AM89" s="27"/>
      <c r="AN89" s="28"/>
      <c r="AO89" s="85"/>
      <c r="AP89" s="32"/>
      <c r="AQ89" s="42"/>
      <c r="AR89" s="15"/>
      <c r="AS89" s="31"/>
      <c r="AT89" s="31"/>
    </row>
    <row r="90" spans="1:46">
      <c r="A90" s="217" t="s">
        <v>261</v>
      </c>
      <c r="B90" s="393">
        <v>12656466883.27</v>
      </c>
      <c r="C90" s="393">
        <v>53454.98</v>
      </c>
      <c r="D90" s="393">
        <v>12878418727.9</v>
      </c>
      <c r="E90" s="393">
        <v>54125.82</v>
      </c>
      <c r="F90" s="25">
        <f>((D90-B90)/B90)</f>
        <v>1.7536635356221495E-2</v>
      </c>
      <c r="G90" s="25">
        <f>((E90-C90)/C90)</f>
        <v>1.2549625872088932E-2</v>
      </c>
      <c r="H90" s="393">
        <v>13021036875.49</v>
      </c>
      <c r="I90" s="393">
        <v>54793.7</v>
      </c>
      <c r="J90" s="25">
        <f>((H90-D90)/D90)</f>
        <v>1.1074197120259031E-2</v>
      </c>
      <c r="K90" s="25">
        <f t="shared" ref="K90:K95" si="60">((I90-E90)/E90)</f>
        <v>1.23393973523172E-2</v>
      </c>
      <c r="L90" s="393">
        <v>13163655023.09</v>
      </c>
      <c r="M90" s="393">
        <v>55472.3</v>
      </c>
      <c r="N90" s="25">
        <f>((L90-H90)/H90)</f>
        <v>1.0952902519495666E-2</v>
      </c>
      <c r="O90" s="25">
        <f t="shared" ref="O90:O95" si="61">((M90-I90)/I90)</f>
        <v>1.2384635459916119E-2</v>
      </c>
      <c r="P90" s="393">
        <v>13168504040.110001</v>
      </c>
      <c r="Q90" s="393">
        <v>55571.217900000003</v>
      </c>
      <c r="R90" s="25">
        <f>((P90-L90)/L90)</f>
        <v>3.6836403046835639E-4</v>
      </c>
      <c r="S90" s="25">
        <f t="shared" ref="S90:S95" si="62">((Q90-M90)/M90)</f>
        <v>1.7831944952706191E-3</v>
      </c>
      <c r="T90" s="393">
        <v>13175064474.889999</v>
      </c>
      <c r="U90" s="393">
        <v>55700.52</v>
      </c>
      <c r="V90" s="25">
        <f>((T90-P90)/P90)</f>
        <v>4.981913480845147E-4</v>
      </c>
      <c r="W90" s="25">
        <f t="shared" ref="W90:W95" si="63">((U90-Q90)/Q90)</f>
        <v>2.3267818285478588E-3</v>
      </c>
      <c r="X90" s="393">
        <v>13167363094.92</v>
      </c>
      <c r="Y90" s="393">
        <v>55667.96</v>
      </c>
      <c r="Z90" s="25">
        <f>((X90-T90)/T90)</f>
        <v>-5.8454210866877847E-4</v>
      </c>
      <c r="AA90" s="25">
        <f t="shared" ref="AA90:AA98" si="64">((Y90-U90)/U90)</f>
        <v>-5.8455468638349652E-4</v>
      </c>
      <c r="AB90" s="393">
        <v>13170785930.469999</v>
      </c>
      <c r="AC90" s="393">
        <v>55682.43</v>
      </c>
      <c r="AD90" s="25">
        <f>((AB90-X90)/X90)</f>
        <v>2.5994844414367027E-4</v>
      </c>
      <c r="AE90" s="25">
        <f t="shared" ref="AE90:AE98" si="65">((AC90-Y90)/Y90)</f>
        <v>2.5993408057347825E-4</v>
      </c>
      <c r="AF90" s="393">
        <v>13163655023.09</v>
      </c>
      <c r="AG90" s="393">
        <v>55652.29</v>
      </c>
      <c r="AH90" s="25">
        <f>((AF90-AB90)/AB90)</f>
        <v>-5.4141851652923301E-4</v>
      </c>
      <c r="AI90" s="25">
        <f t="shared" ref="AI90:AI98" si="66">((AG90-AC90)/AC90)</f>
        <v>-5.4128384842398974E-4</v>
      </c>
      <c r="AJ90" s="26">
        <f t="shared" si="54"/>
        <v>4.9455347741843405E-3</v>
      </c>
      <c r="AK90" s="26">
        <f t="shared" si="55"/>
        <v>5.0647163192383392E-3</v>
      </c>
      <c r="AL90" s="27">
        <f t="shared" si="56"/>
        <v>2.2148394241294573E-2</v>
      </c>
      <c r="AM90" s="27">
        <f t="shared" si="57"/>
        <v>2.8202251716463626E-2</v>
      </c>
      <c r="AN90" s="28">
        <f t="shared" si="58"/>
        <v>7.12698358167628E-3</v>
      </c>
      <c r="AO90" s="85">
        <f t="shared" si="59"/>
        <v>6.1785131737303947E-3</v>
      </c>
      <c r="AP90" s="32"/>
      <c r="AQ90" s="51">
        <v>31507613595.857655</v>
      </c>
      <c r="AR90" s="51">
        <v>11.808257597614354</v>
      </c>
      <c r="AS90" s="31" t="e">
        <f>(#REF!/AQ90)-1</f>
        <v>#REF!</v>
      </c>
      <c r="AT90" s="31" t="e">
        <f>(#REF!/AR90)-1</f>
        <v>#REF!</v>
      </c>
    </row>
    <row r="91" spans="1:46">
      <c r="A91" s="217" t="s">
        <v>177</v>
      </c>
      <c r="B91" s="393">
        <v>74343023418.369995</v>
      </c>
      <c r="C91" s="393">
        <v>55793.39</v>
      </c>
      <c r="D91" s="393">
        <v>76579811268.139999</v>
      </c>
      <c r="E91" s="393">
        <v>56477.77</v>
      </c>
      <c r="F91" s="25">
        <f>((D103-B91)/B91)</f>
        <v>-0.9191318455654246</v>
      </c>
      <c r="G91" s="25">
        <f t="shared" ref="G91:G98" si="67">((E91-C91)/C91)</f>
        <v>1.2266327606191296E-2</v>
      </c>
      <c r="H91" s="393">
        <v>77171782276.050003</v>
      </c>
      <c r="I91" s="393">
        <v>57162.11</v>
      </c>
      <c r="J91" s="25">
        <f>((H103-D91)/D91)</f>
        <v>-0.92456485317673576</v>
      </c>
      <c r="K91" s="25">
        <f t="shared" si="60"/>
        <v>1.2116979831179663E-2</v>
      </c>
      <c r="L91" s="393">
        <v>78095108316.550003</v>
      </c>
      <c r="M91" s="393">
        <v>57847.73</v>
      </c>
      <c r="N91" s="25">
        <f>((L103-H91)/H91)</f>
        <v>-0.92495274177311071</v>
      </c>
      <c r="O91" s="25">
        <f t="shared" si="61"/>
        <v>1.1994308817501709E-2</v>
      </c>
      <c r="P91" s="393">
        <v>74531918693.929993</v>
      </c>
      <c r="Q91" s="393">
        <v>57928.14</v>
      </c>
      <c r="R91" s="25">
        <f>((P103-L91)/L91)</f>
        <v>-0.92584245670272425</v>
      </c>
      <c r="S91" s="25">
        <f t="shared" si="62"/>
        <v>1.3900286147787684E-3</v>
      </c>
      <c r="T91" s="393">
        <v>74146134557.460007</v>
      </c>
      <c r="U91" s="393">
        <v>58019.81</v>
      </c>
      <c r="V91" s="25">
        <f>((T103-P91)/P91)</f>
        <v>-0.92235919515484999</v>
      </c>
      <c r="W91" s="25">
        <f t="shared" si="63"/>
        <v>1.5824778769005575E-3</v>
      </c>
      <c r="X91" s="393">
        <v>73893423959.940002</v>
      </c>
      <c r="Y91" s="393">
        <v>58027.72</v>
      </c>
      <c r="Z91" s="25">
        <f>((X103-T91)/T91)</f>
        <v>-0.92098537223191568</v>
      </c>
      <c r="AA91" s="25">
        <f t="shared" si="64"/>
        <v>1.3633274566055099E-4</v>
      </c>
      <c r="AB91" s="393">
        <v>73991820810.800003</v>
      </c>
      <c r="AC91" s="393">
        <v>58133.03</v>
      </c>
      <c r="AD91" s="25">
        <f>((AB103-X91)/X91)</f>
        <v>-0.91976979901115397</v>
      </c>
      <c r="AE91" s="25">
        <f t="shared" si="65"/>
        <v>1.8148222952753903E-3</v>
      </c>
      <c r="AF91" s="393">
        <v>74073614442.820007</v>
      </c>
      <c r="AG91" s="393">
        <v>58150.34</v>
      </c>
      <c r="AH91" s="25">
        <f>((AF103-AB91)/AB91)</f>
        <v>-0.9174655234796083</v>
      </c>
      <c r="AI91" s="25">
        <f t="shared" si="66"/>
        <v>2.9776531517448294E-4</v>
      </c>
      <c r="AJ91" s="26">
        <f t="shared" si="54"/>
        <v>-0.92188397338694039</v>
      </c>
      <c r="AK91" s="26">
        <f t="shared" si="55"/>
        <v>5.1998803878328019E-3</v>
      </c>
      <c r="AL91" s="27">
        <f t="shared" si="56"/>
        <v>-3.2726599658814533E-2</v>
      </c>
      <c r="AM91" s="27">
        <f t="shared" si="57"/>
        <v>2.9614660777151785E-2</v>
      </c>
      <c r="AN91" s="28">
        <f t="shared" si="58"/>
        <v>3.0442922283684961E-3</v>
      </c>
      <c r="AO91" s="85">
        <f t="shared" si="59"/>
        <v>5.7653476582540898E-3</v>
      </c>
      <c r="AP91" s="32"/>
      <c r="AQ91" s="42">
        <f>SUM(AQ90:AQ90)</f>
        <v>31507613595.857655</v>
      </c>
      <c r="AR91" s="15"/>
      <c r="AS91" s="31" t="e">
        <f>(#REF!/AQ91)-1</f>
        <v>#REF!</v>
      </c>
      <c r="AT91" s="31" t="e">
        <f>(#REF!/AR91)-1</f>
        <v>#REF!</v>
      </c>
    </row>
    <row r="92" spans="1:46">
      <c r="A92" s="217" t="s">
        <v>129</v>
      </c>
      <c r="B92" s="393">
        <v>6064128697.0799999</v>
      </c>
      <c r="C92" s="393">
        <v>445.15</v>
      </c>
      <c r="D92" s="393">
        <v>6081211190.8699999</v>
      </c>
      <c r="E92" s="393">
        <v>445.96</v>
      </c>
      <c r="F92" s="25">
        <f>((D104-B92)/B92)</f>
        <v>-0.94271835895612455</v>
      </c>
      <c r="G92" s="25">
        <f t="shared" si="67"/>
        <v>1.8196113669549643E-3</v>
      </c>
      <c r="H92" s="393">
        <v>6116811736.6400003</v>
      </c>
      <c r="I92" s="393">
        <v>446.63</v>
      </c>
      <c r="J92" s="25">
        <f>((H104-D92)/D92)</f>
        <v>-0.94264323816221551</v>
      </c>
      <c r="K92" s="25">
        <f t="shared" si="60"/>
        <v>1.5023768947888061E-3</v>
      </c>
      <c r="L92" s="393">
        <v>6139535902.8500004</v>
      </c>
      <c r="M92" s="393">
        <v>448.55</v>
      </c>
      <c r="N92" s="25">
        <f>((L104-H92)/H92)</f>
        <v>-0.94147637646656757</v>
      </c>
      <c r="O92" s="25">
        <f t="shared" si="61"/>
        <v>4.2988603542082173E-3</v>
      </c>
      <c r="P92" s="393">
        <v>6173356433.3199997</v>
      </c>
      <c r="Q92" s="393">
        <v>450.58</v>
      </c>
      <c r="R92" s="25">
        <f>((P104-L92)/L92)</f>
        <v>-0.93833571434540242</v>
      </c>
      <c r="S92" s="25">
        <f t="shared" si="62"/>
        <v>4.5256939025749027E-3</v>
      </c>
      <c r="T92" s="393">
        <v>6259776164.21</v>
      </c>
      <c r="U92" s="393">
        <v>453.11</v>
      </c>
      <c r="V92" s="25">
        <f>((T104-P92)/P92)</f>
        <v>-0.93644193368258388</v>
      </c>
      <c r="W92" s="25">
        <f t="shared" si="63"/>
        <v>5.614985130276598E-3</v>
      </c>
      <c r="X92" s="393">
        <v>6292787089.46</v>
      </c>
      <c r="Y92" s="393">
        <v>455.06</v>
      </c>
      <c r="Z92" s="25">
        <f>((X104-T92)/T92)</f>
        <v>-0.93746419871238262</v>
      </c>
      <c r="AA92" s="25">
        <f t="shared" si="64"/>
        <v>4.303590739555491E-3</v>
      </c>
      <c r="AB92" s="393">
        <v>6374295367.1899996</v>
      </c>
      <c r="AC92" s="393">
        <v>460.41</v>
      </c>
      <c r="AD92" s="25">
        <f>((AB104-X92)/X92)</f>
        <v>-0.93811184568880446</v>
      </c>
      <c r="AE92" s="25">
        <f t="shared" si="65"/>
        <v>1.1756691425306602E-2</v>
      </c>
      <c r="AF92" s="393">
        <v>4983719407.1000004</v>
      </c>
      <c r="AG92" s="393">
        <v>459.7</v>
      </c>
      <c r="AH92" s="25">
        <f>((AF104-AB92)/AB92)</f>
        <v>-0.94114001784868706</v>
      </c>
      <c r="AI92" s="25">
        <f t="shared" si="66"/>
        <v>-1.5421037770683441E-3</v>
      </c>
      <c r="AJ92" s="26">
        <f t="shared" si="54"/>
        <v>-0.93979146048284601</v>
      </c>
      <c r="AK92" s="26">
        <f t="shared" si="55"/>
        <v>4.0349632545746547E-3</v>
      </c>
      <c r="AL92" s="27">
        <f t="shared" si="56"/>
        <v>-0.18047256530372011</v>
      </c>
      <c r="AM92" s="27">
        <f t="shared" si="57"/>
        <v>3.0809938111041373E-2</v>
      </c>
      <c r="AN92" s="28">
        <f t="shared" si="58"/>
        <v>2.4765384613429022E-3</v>
      </c>
      <c r="AO92" s="85">
        <f t="shared" si="59"/>
        <v>3.8716852804382162E-3</v>
      </c>
      <c r="AP92" s="32"/>
      <c r="AQ92" s="42"/>
      <c r="AR92" s="15"/>
      <c r="AS92" s="31" t="e">
        <f>(#REF!/AQ92)-1</f>
        <v>#REF!</v>
      </c>
      <c r="AT92" s="31" t="e">
        <f>(#REF!/AR92)-1</f>
        <v>#REF!</v>
      </c>
    </row>
    <row r="93" spans="1:46">
      <c r="A93" s="217" t="s">
        <v>137</v>
      </c>
      <c r="B93" s="393">
        <f>1720402.65*445.65</f>
        <v>766697440.97249997</v>
      </c>
      <c r="C93" s="393">
        <f>120.75*445.65</f>
        <v>53812.237499999996</v>
      </c>
      <c r="D93" s="393">
        <v>761779373.22479999</v>
      </c>
      <c r="E93" s="393">
        <v>54444.433571360001</v>
      </c>
      <c r="F93" s="25">
        <f>((D105-B93)/B93)</f>
        <v>1.2959589808668879</v>
      </c>
      <c r="G93" s="25">
        <f t="shared" si="67"/>
        <v>1.1748184069841097E-2</v>
      </c>
      <c r="H93" s="393">
        <v>761779373.22479999</v>
      </c>
      <c r="I93" s="393">
        <v>54444.433571360001</v>
      </c>
      <c r="J93" s="25">
        <f>((H105-D93)/D93)</f>
        <v>1.3656378515974266</v>
      </c>
      <c r="K93" s="25">
        <f t="shared" si="60"/>
        <v>0</v>
      </c>
      <c r="L93" s="393">
        <v>774605565.02700007</v>
      </c>
      <c r="M93" s="393">
        <v>56305.976253100001</v>
      </c>
      <c r="N93" s="25">
        <f>((L105-H93)/H93)</f>
        <v>1.4135449078389857</v>
      </c>
      <c r="O93" s="25">
        <f t="shared" si="61"/>
        <v>3.4191607105253236E-2</v>
      </c>
      <c r="P93" s="393">
        <v>780034456.45439994</v>
      </c>
      <c r="Q93" s="393">
        <v>56713.759283159998</v>
      </c>
      <c r="R93" s="25">
        <f>((P105-L93)/L93)</f>
        <v>1.3855949814039521</v>
      </c>
      <c r="S93" s="25">
        <f t="shared" si="62"/>
        <v>7.2422690661996152E-3</v>
      </c>
      <c r="T93" s="393">
        <v>786458698.37250006</v>
      </c>
      <c r="U93" s="393">
        <v>57194.106337199999</v>
      </c>
      <c r="V93" s="25">
        <f>((T105-P93)/P93)</f>
        <v>1.3822155293646958</v>
      </c>
      <c r="W93" s="25">
        <f t="shared" si="63"/>
        <v>8.4696740281618148E-3</v>
      </c>
      <c r="X93" s="393">
        <v>773860945.55639994</v>
      </c>
      <c r="Y93" s="393">
        <f>126.45*455.56</f>
        <v>57605.561999999998</v>
      </c>
      <c r="Z93" s="25">
        <f>((X105-T93)/T93)</f>
        <v>1.2128476577428502</v>
      </c>
      <c r="AA93" s="25">
        <f t="shared" si="64"/>
        <v>7.1940220618917422E-3</v>
      </c>
      <c r="AB93" s="393">
        <f>1737078.23*460.91</f>
        <v>800636726.98930001</v>
      </c>
      <c r="AC93" s="393">
        <f>126.88*460.91</f>
        <v>58480.260800000004</v>
      </c>
      <c r="AD93" s="25">
        <f>((AB105-X93)/X93)</f>
        <v>1.252600435278151</v>
      </c>
      <c r="AE93" s="25">
        <f t="shared" si="65"/>
        <v>1.5184276823824852E-2</v>
      </c>
      <c r="AF93" s="393">
        <f>1703823.57*460.2</f>
        <v>784099606.91400003</v>
      </c>
      <c r="AG93" s="393">
        <f>126.78*460.2</f>
        <v>58344.156000000003</v>
      </c>
      <c r="AH93" s="25">
        <f>((AF105-AB93)/AB93)</f>
        <v>1.2236162359672635</v>
      </c>
      <c r="AI93" s="25">
        <f t="shared" si="66"/>
        <v>-2.3273630818007734E-3</v>
      </c>
      <c r="AJ93" s="26">
        <f t="shared" si="54"/>
        <v>1.3165020725075265</v>
      </c>
      <c r="AK93" s="26">
        <f t="shared" si="55"/>
        <v>1.0212833759171449E-2</v>
      </c>
      <c r="AL93" s="27">
        <f t="shared" si="56"/>
        <v>2.9300128716682087E-2</v>
      </c>
      <c r="AM93" s="27">
        <f t="shared" si="57"/>
        <v>7.1627569116476497E-2</v>
      </c>
      <c r="AN93" s="28">
        <f t="shared" si="58"/>
        <v>8.0001052968580511E-2</v>
      </c>
      <c r="AO93" s="85">
        <f t="shared" si="59"/>
        <v>1.124143300863694E-2</v>
      </c>
      <c r="AP93" s="32"/>
      <c r="AQ93" s="30">
        <v>885354617.76999998</v>
      </c>
      <c r="AR93" s="30">
        <v>1763.14</v>
      </c>
      <c r="AS93" s="31" t="e">
        <f>(#REF!/AQ93)-1</f>
        <v>#REF!</v>
      </c>
      <c r="AT93" s="31" t="e">
        <f>(#REF!/AR93)-1</f>
        <v>#REF!</v>
      </c>
    </row>
    <row r="94" spans="1:46">
      <c r="A94" s="217" t="s">
        <v>155</v>
      </c>
      <c r="B94" s="393">
        <v>760295175.13999999</v>
      </c>
      <c r="C94" s="393">
        <f>106.9263*445.65</f>
        <v>47651.705594999999</v>
      </c>
      <c r="D94" s="393">
        <v>775249899.63999999</v>
      </c>
      <c r="E94" s="393">
        <f>107.0481*446.32</f>
        <v>47777.707992000003</v>
      </c>
      <c r="F94" s="25">
        <f>((D106-B94)/B94)</f>
        <v>-0.868550884567172</v>
      </c>
      <c r="G94" s="25">
        <f t="shared" si="67"/>
        <v>2.6442368730915902E-3</v>
      </c>
      <c r="H94" s="393">
        <v>773912498.41999996</v>
      </c>
      <c r="I94" s="393">
        <f>107.1676*446.13</f>
        <v>47810.681387999997</v>
      </c>
      <c r="J94" s="25">
        <f>((H106-D94)/D94)</f>
        <v>-0.87066644362474588</v>
      </c>
      <c r="K94" s="25">
        <f t="shared" si="60"/>
        <v>6.9014185455516385E-4</v>
      </c>
      <c r="L94" s="393">
        <v>784374854.34000003</v>
      </c>
      <c r="M94" s="393">
        <f>107.2694*449.05</f>
        <v>48169.324070000002</v>
      </c>
      <c r="N94" s="25">
        <f>((L106-H94)/H94)</f>
        <v>-0.86882834393132136</v>
      </c>
      <c r="O94" s="25">
        <f t="shared" si="61"/>
        <v>7.5013087366293191E-3</v>
      </c>
      <c r="P94" s="393">
        <v>787848977.04999995</v>
      </c>
      <c r="Q94" s="393">
        <f>107.3858*451.08</f>
        <v>48439.586664000002</v>
      </c>
      <c r="R94" s="25">
        <f>((P106-L94)/L94)</f>
        <v>-0.86864733355495849</v>
      </c>
      <c r="S94" s="25">
        <f t="shared" si="62"/>
        <v>5.6106785639601729E-3</v>
      </c>
      <c r="T94" s="393">
        <v>791433965.40999997</v>
      </c>
      <c r="U94" s="393">
        <f>107.5032*453.11</f>
        <v>48710.774952000007</v>
      </c>
      <c r="V94" s="25">
        <f>((T106-P94)/P94)</f>
        <v>-0.86239038173794624</v>
      </c>
      <c r="W94" s="25">
        <f t="shared" si="63"/>
        <v>5.5984847657990083E-3</v>
      </c>
      <c r="X94" s="393">
        <v>806609426.70000005</v>
      </c>
      <c r="Y94" s="393">
        <f>107.6226*455.06</f>
        <v>48974.740356000002</v>
      </c>
      <c r="Z94" s="25">
        <f>((X106-T94)/T94)</f>
        <v>-0.862369117373461</v>
      </c>
      <c r="AA94" s="25">
        <f t="shared" si="64"/>
        <v>5.4190351982720186E-3</v>
      </c>
      <c r="AB94" s="393">
        <v>804372051.39999998</v>
      </c>
      <c r="AC94" s="393">
        <f>105.8168*455.06</f>
        <v>48152.993007999998</v>
      </c>
      <c r="AD94" s="25">
        <f>((AB106-X94)/X94)</f>
        <v>-0.86775017010224587</v>
      </c>
      <c r="AE94" s="25">
        <f t="shared" si="65"/>
        <v>-1.6779003666516232E-2</v>
      </c>
      <c r="AF94" s="393">
        <v>790231292.03999996</v>
      </c>
      <c r="AG94" s="393">
        <f>106.2165*460.2</f>
        <v>48880.833299999998</v>
      </c>
      <c r="AH94" s="25">
        <f>((AF106-AB94)/AB94)</f>
        <v>-0.87292983257921286</v>
      </c>
      <c r="AI94" s="25">
        <f t="shared" si="66"/>
        <v>1.5115162039441235E-2</v>
      </c>
      <c r="AJ94" s="26">
        <f t="shared" si="54"/>
        <v>-0.86776656343388303</v>
      </c>
      <c r="AK94" s="26">
        <f t="shared" si="55"/>
        <v>3.2250055456540345E-3</v>
      </c>
      <c r="AL94" s="27">
        <f t="shared" si="56"/>
        <v>1.9324597664516736E-2</v>
      </c>
      <c r="AM94" s="27">
        <f t="shared" si="57"/>
        <v>2.308870296132047E-2</v>
      </c>
      <c r="AN94" s="28">
        <f t="shared" si="58"/>
        <v>3.6960011055141035E-3</v>
      </c>
      <c r="AO94" s="85">
        <f t="shared" si="59"/>
        <v>9.1239434350916995E-3</v>
      </c>
      <c r="AP94" s="32"/>
      <c r="AQ94" s="35">
        <v>113791197</v>
      </c>
      <c r="AR94" s="34">
        <v>81.52</v>
      </c>
      <c r="AS94" s="31" t="e">
        <f>(#REF!/AQ94)-1</f>
        <v>#REF!</v>
      </c>
      <c r="AT94" s="31" t="e">
        <f>(#REF!/AR94)-1</f>
        <v>#REF!</v>
      </c>
    </row>
    <row r="95" spans="1:46">
      <c r="A95" s="217" t="s">
        <v>156</v>
      </c>
      <c r="B95" s="393">
        <f>10596801.4*445.15</f>
        <v>4717166143.21</v>
      </c>
      <c r="C95" s="393">
        <f>1.092*445.15</f>
        <v>486.10380000000004</v>
      </c>
      <c r="D95" s="393">
        <f>10554877.28*445.96</f>
        <v>4707053071.7887993</v>
      </c>
      <c r="E95" s="393">
        <f>1.0931*445.96</f>
        <v>487.47887599999996</v>
      </c>
      <c r="F95" s="25">
        <f>((D108-B95)/B95)</f>
        <v>-0.41041180738297378</v>
      </c>
      <c r="G95" s="25">
        <f t="shared" si="67"/>
        <v>2.8287703161339649E-3</v>
      </c>
      <c r="H95" s="393">
        <f>10656709.8*447.28</f>
        <v>4766533159.3439999</v>
      </c>
      <c r="I95" s="393">
        <f>1.1036*447.28</f>
        <v>493.61820799999992</v>
      </c>
      <c r="J95" s="25">
        <f>((H108-D95)/D95)</f>
        <v>-0.40965155009606996</v>
      </c>
      <c r="K95" s="25">
        <f t="shared" si="60"/>
        <v>1.2594047254675233E-2</v>
      </c>
      <c r="L95" s="393">
        <f>10986397.48*448.55</f>
        <v>4927948589.6540003</v>
      </c>
      <c r="M95" s="393">
        <f>1.1251*448.55</f>
        <v>504.66360500000002</v>
      </c>
      <c r="N95" s="25">
        <f>((L108-H95)/H95)</f>
        <v>-0.42402739340178153</v>
      </c>
      <c r="O95" s="25">
        <f t="shared" si="61"/>
        <v>2.2376397023020866E-2</v>
      </c>
      <c r="P95" s="393">
        <f>11004138.39*450.58</f>
        <v>4958244675.7662001</v>
      </c>
      <c r="Q95" s="393">
        <f>1.1264*450.58</f>
        <v>507.53331200000002</v>
      </c>
      <c r="R95" s="25">
        <f>((P108-L95)/L95)</f>
        <v>-0.41897025996413462</v>
      </c>
      <c r="S95" s="25">
        <f t="shared" si="62"/>
        <v>5.6863759771224346E-3</v>
      </c>
      <c r="T95" s="393">
        <f>11016061.6*453.11</f>
        <v>4991487671.5760002</v>
      </c>
      <c r="U95" s="393">
        <f>1.1277*453.11</f>
        <v>510.97214700000001</v>
      </c>
      <c r="V95" s="25">
        <f>((T108-P95)/P95)</f>
        <v>-0.4255552948914792</v>
      </c>
      <c r="W95" s="25">
        <f t="shared" si="63"/>
        <v>6.7755848112684728E-3</v>
      </c>
      <c r="X95" s="393">
        <f>11138395.61*455.58</f>
        <v>5074430272.0037994</v>
      </c>
      <c r="Y95" s="393">
        <f>1.1289*455.58</f>
        <v>514.30426199999999</v>
      </c>
      <c r="Z95" s="25">
        <f>((X108-T95)/T95)</f>
        <v>-0.43145774328482145</v>
      </c>
      <c r="AA95" s="25">
        <f t="shared" si="64"/>
        <v>6.5211284402943931E-3</v>
      </c>
      <c r="AB95" s="393">
        <f>11149549.15*460.41</f>
        <v>5133363924.1515007</v>
      </c>
      <c r="AC95" s="393">
        <f>1.1301*460.41</f>
        <v>520.30934100000013</v>
      </c>
      <c r="AD95" s="25">
        <f>((AB108-X95)/X95)</f>
        <v>-0.44002329872895607</v>
      </c>
      <c r="AE95" s="25">
        <f t="shared" si="65"/>
        <v>1.1676121400681951E-2</v>
      </c>
      <c r="AF95" s="393">
        <f>11166736.42 *459.7</f>
        <v>5133348732.2740002</v>
      </c>
      <c r="AG95" s="393">
        <f>1.1312 *459.7</f>
        <v>520.01264000000003</v>
      </c>
      <c r="AH95" s="25">
        <f>((AF108-AB95)/AB95)</f>
        <v>-0.51118112900192192</v>
      </c>
      <c r="AI95" s="25">
        <f t="shared" si="66"/>
        <v>-5.7023961828142188E-4</v>
      </c>
      <c r="AJ95" s="26">
        <f t="shared" si="54"/>
        <v>-0.43390980959401737</v>
      </c>
      <c r="AK95" s="26">
        <f t="shared" si="55"/>
        <v>8.4860232006144856E-3</v>
      </c>
      <c r="AL95" s="27">
        <f t="shared" si="56"/>
        <v>9.0565297221770591E-2</v>
      </c>
      <c r="AM95" s="27">
        <f t="shared" si="57"/>
        <v>6.6738818032394245E-2</v>
      </c>
      <c r="AN95" s="28">
        <f t="shared" si="58"/>
        <v>3.283185224369186E-2</v>
      </c>
      <c r="AO95" s="85">
        <f t="shared" si="59"/>
        <v>7.0573155054451542E-3</v>
      </c>
      <c r="AP95" s="32"/>
      <c r="AQ95" s="30">
        <v>1066913090.3099999</v>
      </c>
      <c r="AR95" s="34">
        <v>1.1691</v>
      </c>
      <c r="AS95" s="31" t="e">
        <f>(#REF!/AQ95)-1</f>
        <v>#REF!</v>
      </c>
      <c r="AT95" s="31" t="e">
        <f>(#REF!/AR95)-1</f>
        <v>#REF!</v>
      </c>
    </row>
    <row r="96" spans="1:46" s="330" customFormat="1">
      <c r="A96" s="228" t="s">
        <v>187</v>
      </c>
      <c r="B96" s="393">
        <v>935119899.93900001</v>
      </c>
      <c r="C96" s="393">
        <v>46649.527874999992</v>
      </c>
      <c r="D96" s="393">
        <v>934448994.86399996</v>
      </c>
      <c r="E96" s="393">
        <v>46774.721279999998</v>
      </c>
      <c r="F96" s="25">
        <f>((D96-B96)/B96)</f>
        <v>-7.1745353194153211E-4</v>
      </c>
      <c r="G96" s="25">
        <f t="shared" si="67"/>
        <v>2.6837014371392598E-3</v>
      </c>
      <c r="H96" s="393">
        <v>940953768.01479995</v>
      </c>
      <c r="I96" s="393">
        <v>46885.336391999997</v>
      </c>
      <c r="J96" s="25">
        <f t="shared" ref="J96:K98" si="68">((H96-D96)/D96)</f>
        <v>6.9610788673882592E-3</v>
      </c>
      <c r="K96" s="25">
        <f t="shared" si="68"/>
        <v>2.3648481267871599E-3</v>
      </c>
      <c r="L96" s="393">
        <v>967399492.15500009</v>
      </c>
      <c r="M96" s="393">
        <v>47084.248645</v>
      </c>
      <c r="N96" s="25">
        <f t="shared" ref="N96:O98" si="69">((L96-H96)/H96)</f>
        <v>2.8105232200721877E-2</v>
      </c>
      <c r="O96" s="25">
        <f t="shared" si="69"/>
        <v>4.2425258792414778E-3</v>
      </c>
      <c r="P96" s="393">
        <v>973632535.15750003</v>
      </c>
      <c r="Q96" s="393">
        <v>47337.801684999999</v>
      </c>
      <c r="R96" s="25">
        <f t="shared" ref="R96:S98" si="70">((P96-L96)/L96)</f>
        <v>6.4430910425796028E-3</v>
      </c>
      <c r="S96" s="25">
        <f t="shared" si="70"/>
        <v>5.3850926221995542E-3</v>
      </c>
      <c r="T96" s="393">
        <v>978855851.20679998</v>
      </c>
      <c r="U96" s="393">
        <v>47591.763257999999</v>
      </c>
      <c r="V96" s="25">
        <f t="shared" ref="V96:W98" si="71">((T96-P96)/P96)</f>
        <v>5.3647714724888518E-3</v>
      </c>
      <c r="W96" s="25">
        <f t="shared" si="71"/>
        <v>5.3648788908690218E-3</v>
      </c>
      <c r="X96" s="393">
        <v>983981337.05760002</v>
      </c>
      <c r="Y96" s="393">
        <v>47840.952292000002</v>
      </c>
      <c r="Z96" s="25">
        <f t="shared" ref="Z96:Z98" si="72">((X96-T96)/T96)</f>
        <v>5.2362008609142911E-3</v>
      </c>
      <c r="AA96" s="25">
        <f t="shared" si="64"/>
        <v>5.2359697758858504E-3</v>
      </c>
      <c r="AB96" s="393">
        <v>1003244687.8461001</v>
      </c>
      <c r="AC96" s="393">
        <v>48449.845198000003</v>
      </c>
      <c r="AD96" s="25">
        <f t="shared" ref="AD96:AD98" si="73">((AB96-X96)/X96)</f>
        <v>1.9576947308882178E-2</v>
      </c>
      <c r="AE96" s="25">
        <f t="shared" si="65"/>
        <v>1.2727441173904485E-2</v>
      </c>
      <c r="AF96" s="393">
        <v>1004853414.318</v>
      </c>
      <c r="AG96" s="393">
        <v>48457.449299999993</v>
      </c>
      <c r="AH96" s="25">
        <f t="shared" ref="AH96:AH98" si="74">((AF96-AB96)/AB96)</f>
        <v>1.6035235385633551E-3</v>
      </c>
      <c r="AI96" s="25">
        <f t="shared" si="66"/>
        <v>1.5694791116286434E-4</v>
      </c>
      <c r="AJ96" s="26">
        <f t="shared" si="54"/>
        <v>9.0716739699496108E-3</v>
      </c>
      <c r="AK96" s="26">
        <f t="shared" si="55"/>
        <v>4.7701757271487091E-3</v>
      </c>
      <c r="AL96" s="27">
        <f t="shared" si="56"/>
        <v>7.5343244886519126E-2</v>
      </c>
      <c r="AM96" s="27">
        <f t="shared" si="57"/>
        <v>3.5975158674424815E-2</v>
      </c>
      <c r="AN96" s="28">
        <f t="shared" si="58"/>
        <v>9.7398550513768164E-3</v>
      </c>
      <c r="AO96" s="85">
        <f t="shared" si="59"/>
        <v>3.7026263497076124E-3</v>
      </c>
      <c r="AP96" s="32"/>
      <c r="AQ96" s="30"/>
      <c r="AR96" s="34"/>
      <c r="AS96" s="31"/>
      <c r="AT96" s="31"/>
    </row>
    <row r="97" spans="1:46" s="330" customFormat="1">
      <c r="A97" s="228" t="s">
        <v>258</v>
      </c>
      <c r="B97" s="393">
        <f>77526.08*445.65</f>
        <v>34549497.552000001</v>
      </c>
      <c r="C97" s="393">
        <f>98.1*445.65</f>
        <v>43718.264999999992</v>
      </c>
      <c r="D97" s="393">
        <f>77581.17*446.32</f>
        <v>34626027.794399999</v>
      </c>
      <c r="E97" s="393">
        <f>98.17*446.32</f>
        <v>43815.234400000001</v>
      </c>
      <c r="F97" s="25">
        <f>((D97-B97)/B97)</f>
        <v>2.215089880390108E-3</v>
      </c>
      <c r="G97" s="25">
        <f t="shared" si="67"/>
        <v>2.2180523403664133E-3</v>
      </c>
      <c r="H97" s="393">
        <f>77636.25*447.28</f>
        <v>34725141.899999999</v>
      </c>
      <c r="I97" s="393">
        <f>98.24*447.28</f>
        <v>43940.787199999992</v>
      </c>
      <c r="J97" s="25">
        <f t="shared" si="68"/>
        <v>2.8624162779661653E-3</v>
      </c>
      <c r="K97" s="25">
        <f t="shared" si="68"/>
        <v>2.8655056105323581E-3</v>
      </c>
      <c r="L97" s="393">
        <f>77691.32*449.05</f>
        <v>34887287.246000007</v>
      </c>
      <c r="M97" s="393">
        <f>98.31*449.05</f>
        <v>44146.105500000005</v>
      </c>
      <c r="N97" s="25">
        <f t="shared" si="69"/>
        <v>4.6693933308306597E-3</v>
      </c>
      <c r="O97" s="25">
        <f t="shared" si="69"/>
        <v>4.6726131479049512E-3</v>
      </c>
      <c r="P97" s="393">
        <f>77541.85*451.08</f>
        <v>34977577.697999999</v>
      </c>
      <c r="Q97" s="393">
        <f>98.12*451.08</f>
        <v>44259.969600000004</v>
      </c>
      <c r="R97" s="25">
        <f t="shared" si="70"/>
        <v>2.5880617017691554E-3</v>
      </c>
      <c r="S97" s="25">
        <f t="shared" si="70"/>
        <v>2.5792558303925329E-3</v>
      </c>
      <c r="T97" s="393">
        <f>77595.49*453.61</f>
        <v>35198090.218900003</v>
      </c>
      <c r="U97" s="393">
        <f>98.19*453.61</f>
        <v>44539.965900000003</v>
      </c>
      <c r="V97" s="25">
        <f t="shared" si="71"/>
        <v>6.304396570967017E-3</v>
      </c>
      <c r="W97" s="25">
        <f t="shared" si="71"/>
        <v>6.3261747021172571E-3</v>
      </c>
      <c r="X97" s="393">
        <f>79593.26*455.56</f>
        <v>36259505.525600001</v>
      </c>
      <c r="Y97" s="393">
        <f>100.72*455.56</f>
        <v>45884.003199999999</v>
      </c>
      <c r="Z97" s="25">
        <f t="shared" si="72"/>
        <v>3.0155480030279031E-2</v>
      </c>
      <c r="AA97" s="25">
        <f t="shared" si="64"/>
        <v>3.0175984036844451E-2</v>
      </c>
      <c r="AB97" s="393">
        <f>79646.33*460.91</f>
        <v>36709789.960300006</v>
      </c>
      <c r="AC97" s="393">
        <f>100.79*460.91</f>
        <v>46455.118900000009</v>
      </c>
      <c r="AD97" s="25">
        <f t="shared" si="73"/>
        <v>1.2418383212150925E-2</v>
      </c>
      <c r="AE97" s="25">
        <f t="shared" si="65"/>
        <v>1.2446945780005729E-2</v>
      </c>
      <c r="AF97" s="393">
        <f>79699.39*460.2</f>
        <v>36677659.277999997</v>
      </c>
      <c r="AG97" s="393">
        <f>100.85*460.2</f>
        <v>46411.17</v>
      </c>
      <c r="AH97" s="25">
        <f t="shared" si="74"/>
        <v>-8.7526194878142117E-4</v>
      </c>
      <c r="AI97" s="25">
        <f t="shared" si="66"/>
        <v>-9.4605074834950686E-4</v>
      </c>
      <c r="AJ97" s="26">
        <f t="shared" si="54"/>
        <v>7.5422448819464551E-3</v>
      </c>
      <c r="AK97" s="26">
        <f t="shared" si="55"/>
        <v>7.5423100874767732E-3</v>
      </c>
      <c r="AL97" s="27">
        <f t="shared" si="56"/>
        <v>5.9251136046618795E-2</v>
      </c>
      <c r="AM97" s="27">
        <f t="shared" si="57"/>
        <v>5.9247328824058441E-2</v>
      </c>
      <c r="AN97" s="28">
        <f t="shared" si="58"/>
        <v>9.9326187150228645E-3</v>
      </c>
      <c r="AO97" s="85">
        <f t="shared" si="59"/>
        <v>9.9495670504112822E-3</v>
      </c>
      <c r="AP97" s="32"/>
      <c r="AQ97" s="30"/>
      <c r="AR97" s="34"/>
      <c r="AS97" s="31"/>
      <c r="AT97" s="31"/>
    </row>
    <row r="98" spans="1:46">
      <c r="A98" s="228" t="s">
        <v>277</v>
      </c>
      <c r="B98" s="393">
        <v>0</v>
      </c>
      <c r="C98" s="393">
        <v>0</v>
      </c>
      <c r="D98" s="393">
        <v>0</v>
      </c>
      <c r="E98" s="393">
        <v>0</v>
      </c>
      <c r="F98" s="25" t="e">
        <f>((D98-B98)/B98)</f>
        <v>#DIV/0!</v>
      </c>
      <c r="G98" s="25" t="e">
        <f t="shared" si="67"/>
        <v>#DIV/0!</v>
      </c>
      <c r="H98" s="393">
        <v>0</v>
      </c>
      <c r="I98" s="393">
        <v>0</v>
      </c>
      <c r="J98" s="25" t="e">
        <f t="shared" si="68"/>
        <v>#DIV/0!</v>
      </c>
      <c r="K98" s="25" t="e">
        <f t="shared" si="68"/>
        <v>#DIV/0!</v>
      </c>
      <c r="L98" s="393">
        <v>0</v>
      </c>
      <c r="M98" s="393">
        <v>0</v>
      </c>
      <c r="N98" s="25" t="e">
        <f t="shared" si="69"/>
        <v>#DIV/0!</v>
      </c>
      <c r="O98" s="25" t="e">
        <f t="shared" si="69"/>
        <v>#DIV/0!</v>
      </c>
      <c r="P98" s="393">
        <v>0</v>
      </c>
      <c r="Q98" s="393">
        <v>0</v>
      </c>
      <c r="R98" s="25" t="e">
        <f t="shared" si="70"/>
        <v>#DIV/0!</v>
      </c>
      <c r="S98" s="25" t="e">
        <f t="shared" si="70"/>
        <v>#DIV/0!</v>
      </c>
      <c r="T98" s="393">
        <f>408286.69*453.61</f>
        <v>185202925.45090002</v>
      </c>
      <c r="U98" s="393">
        <f>100.5*453.61</f>
        <v>45587.805</v>
      </c>
      <c r="V98" s="25" t="e">
        <f t="shared" si="71"/>
        <v>#DIV/0!</v>
      </c>
      <c r="W98" s="25" t="e">
        <f t="shared" si="71"/>
        <v>#DIV/0!</v>
      </c>
      <c r="X98" s="393">
        <f>475614.33*455.56</f>
        <v>216670864.17480001</v>
      </c>
      <c r="Y98" s="393">
        <f>100.69*455.56</f>
        <v>45870.3364</v>
      </c>
      <c r="Z98" s="25">
        <f t="shared" si="72"/>
        <v>0.16991059211018023</v>
      </c>
      <c r="AA98" s="25">
        <f t="shared" si="64"/>
        <v>6.1975214643477539E-3</v>
      </c>
      <c r="AB98" s="393">
        <f>496760.4*460.91</f>
        <v>228961835.96400002</v>
      </c>
      <c r="AC98" s="393">
        <f>100.89*460.91</f>
        <v>46501.209900000002</v>
      </c>
      <c r="AD98" s="25">
        <f t="shared" si="73"/>
        <v>5.6726463135736704E-2</v>
      </c>
      <c r="AE98" s="25">
        <f t="shared" si="65"/>
        <v>1.3753409055007531E-2</v>
      </c>
      <c r="AF98" s="393">
        <f>783353.69*460.2</f>
        <v>360499368.13799995</v>
      </c>
      <c r="AG98" s="393">
        <f>101.05*460.2</f>
        <v>46503.21</v>
      </c>
      <c r="AH98" s="25">
        <f t="shared" si="74"/>
        <v>0.57449544645808026</v>
      </c>
      <c r="AI98" s="25">
        <f t="shared" si="66"/>
        <v>4.3011784086879719E-5</v>
      </c>
      <c r="AJ98" s="26" t="e">
        <f t="shared" si="54"/>
        <v>#DIV/0!</v>
      </c>
      <c r="AK98" s="26" t="e">
        <f t="shared" si="55"/>
        <v>#DIV/0!</v>
      </c>
      <c r="AL98" s="27" t="e">
        <f t="shared" si="56"/>
        <v>#DIV/0!</v>
      </c>
      <c r="AM98" s="27" t="e">
        <f t="shared" si="57"/>
        <v>#DIV/0!</v>
      </c>
      <c r="AN98" s="28" t="e">
        <f t="shared" si="58"/>
        <v>#DIV/0!</v>
      </c>
      <c r="AO98" s="85" t="e">
        <f t="shared" si="59"/>
        <v>#DIV/0!</v>
      </c>
      <c r="AP98" s="32"/>
      <c r="AQ98" s="30">
        <v>4173976375.3699999</v>
      </c>
      <c r="AR98" s="34">
        <v>299.53579999999999</v>
      </c>
      <c r="AS98" s="31" t="e">
        <f>(#REF!/AQ98)-1</f>
        <v>#REF!</v>
      </c>
      <c r="AT98" s="31" t="e">
        <f>(#REF!/AR98)-1</f>
        <v>#REF!</v>
      </c>
    </row>
    <row r="99" spans="1:46" ht="6.75" customHeight="1">
      <c r="A99" s="219"/>
      <c r="B99" s="94"/>
      <c r="C99" s="94"/>
      <c r="D99" s="94"/>
      <c r="E99" s="94"/>
      <c r="F99" s="25"/>
      <c r="G99" s="25"/>
      <c r="H99" s="94"/>
      <c r="I99" s="94"/>
      <c r="J99" s="25"/>
      <c r="K99" s="25"/>
      <c r="L99" s="94"/>
      <c r="M99" s="94"/>
      <c r="N99" s="25"/>
      <c r="O99" s="25"/>
      <c r="P99" s="94"/>
      <c r="Q99" s="94"/>
      <c r="R99" s="25"/>
      <c r="S99" s="25"/>
      <c r="T99" s="94"/>
      <c r="U99" s="94"/>
      <c r="V99" s="25"/>
      <c r="W99" s="25"/>
      <c r="X99" s="94"/>
      <c r="Y99" s="94"/>
      <c r="Z99" s="25"/>
      <c r="AA99" s="25"/>
      <c r="AB99" s="94"/>
      <c r="AC99" s="94"/>
      <c r="AD99" s="25"/>
      <c r="AE99" s="25"/>
      <c r="AF99" s="94"/>
      <c r="AG99" s="94"/>
      <c r="AH99" s="25"/>
      <c r="AI99" s="25"/>
      <c r="AJ99" s="26"/>
      <c r="AK99" s="26"/>
      <c r="AL99" s="27"/>
      <c r="AM99" s="27"/>
      <c r="AN99" s="28"/>
      <c r="AO99" s="85"/>
      <c r="AP99" s="32"/>
      <c r="AQ99" s="52">
        <v>4131236617.7600002</v>
      </c>
      <c r="AR99" s="50">
        <v>103.24</v>
      </c>
      <c r="AS99" s="31" t="e">
        <f>(#REF!/AQ99)-1</f>
        <v>#REF!</v>
      </c>
      <c r="AT99" s="31" t="e">
        <f>(#REF!/AR99)-1</f>
        <v>#REF!</v>
      </c>
    </row>
    <row r="100" spans="1:46">
      <c r="A100" s="215" t="s">
        <v>213</v>
      </c>
      <c r="B100" s="94"/>
      <c r="C100" s="94"/>
      <c r="D100" s="94"/>
      <c r="E100" s="94"/>
      <c r="F100" s="25"/>
      <c r="G100" s="25"/>
      <c r="H100" s="94"/>
      <c r="I100" s="94"/>
      <c r="J100" s="25"/>
      <c r="K100" s="25"/>
      <c r="L100" s="94"/>
      <c r="M100" s="94"/>
      <c r="N100" s="25"/>
      <c r="O100" s="25"/>
      <c r="P100" s="94"/>
      <c r="Q100" s="94"/>
      <c r="R100" s="25"/>
      <c r="S100" s="25"/>
      <c r="T100" s="94"/>
      <c r="U100" s="94"/>
      <c r="V100" s="25"/>
      <c r="W100" s="25"/>
      <c r="X100" s="94"/>
      <c r="Y100" s="94"/>
      <c r="Z100" s="25"/>
      <c r="AA100" s="25"/>
      <c r="AB100" s="94"/>
      <c r="AC100" s="94"/>
      <c r="AD100" s="25"/>
      <c r="AE100" s="25"/>
      <c r="AF100" s="94"/>
      <c r="AG100" s="94"/>
      <c r="AH100" s="25"/>
      <c r="AI100" s="25"/>
      <c r="AJ100" s="26"/>
      <c r="AK100" s="26"/>
      <c r="AL100" s="27"/>
      <c r="AM100" s="27"/>
      <c r="AN100" s="28"/>
      <c r="AO100" s="85"/>
      <c r="AP100" s="32"/>
      <c r="AQ100" s="47">
        <v>2931134847.0043802</v>
      </c>
      <c r="AR100" s="51">
        <v>2254.1853324818899</v>
      </c>
      <c r="AS100" s="31" t="e">
        <f>(#REF!/AQ100)-1</f>
        <v>#REF!</v>
      </c>
      <c r="AT100" s="31" t="e">
        <f>(#REF!/AR100)-1</f>
        <v>#REF!</v>
      </c>
    </row>
    <row r="101" spans="1:46">
      <c r="A101" s="217" t="s">
        <v>99</v>
      </c>
      <c r="B101" s="393">
        <v>187126185203.54001</v>
      </c>
      <c r="C101" s="392">
        <v>606.97</v>
      </c>
      <c r="D101" s="393">
        <v>192244531571.39999</v>
      </c>
      <c r="E101" s="392">
        <v>614.54</v>
      </c>
      <c r="F101" s="25">
        <f t="shared" ref="F101:G108" si="75">((D101-B101)/B101)</f>
        <v>2.7352379156838375E-2</v>
      </c>
      <c r="G101" s="25">
        <f t="shared" si="75"/>
        <v>1.2471786084979383E-2</v>
      </c>
      <c r="H101" s="393">
        <v>195512142813.51999</v>
      </c>
      <c r="I101" s="392">
        <v>622.12</v>
      </c>
      <c r="J101" s="25">
        <f>((H101-D101)/D101)</f>
        <v>1.6997160935661768E-2</v>
      </c>
      <c r="K101" s="25">
        <f t="shared" ref="K101:K108" si="76">((I101-E101)/E101)</f>
        <v>1.2334429003807794E-2</v>
      </c>
      <c r="L101" s="393">
        <v>196592261343.14001</v>
      </c>
      <c r="M101" s="392">
        <v>629.76</v>
      </c>
      <c r="N101" s="25">
        <f>((L101-H101)/H101)</f>
        <v>5.5245598256791935E-3</v>
      </c>
      <c r="O101" s="25">
        <f t="shared" ref="O101:O108" si="77">((M101-I101)/I101)</f>
        <v>1.2280588953899546E-2</v>
      </c>
      <c r="P101" s="393">
        <v>199113228081.64001</v>
      </c>
      <c r="Q101" s="392">
        <v>630.78</v>
      </c>
      <c r="R101" s="25">
        <f>((P101-L101)/L101)</f>
        <v>1.282332641822459E-2</v>
      </c>
      <c r="S101" s="25">
        <f t="shared" ref="S101:S108" si="78">((Q101-M101)/M101)</f>
        <v>1.6196646341463125E-3</v>
      </c>
      <c r="T101" s="393">
        <v>197759459079.23999</v>
      </c>
      <c r="U101" s="392">
        <v>631.92999999999995</v>
      </c>
      <c r="V101" s="25">
        <f>((T101-P101)/P101)</f>
        <v>-6.7989907824956494E-3</v>
      </c>
      <c r="W101" s="25">
        <f t="shared" ref="W101:W108" si="79">((U101-Q101)/Q101)</f>
        <v>1.8231396049335383E-3</v>
      </c>
      <c r="X101" s="393">
        <v>197653505412.60999</v>
      </c>
      <c r="Y101" s="392">
        <v>632.16</v>
      </c>
      <c r="Z101" s="25">
        <f>((X101-T101)/T101)</f>
        <v>-5.3577041079764707E-4</v>
      </c>
      <c r="AA101" s="25">
        <f t="shared" ref="AA101:AA108" si="80">((Y101-U101)/U101)</f>
        <v>3.6396436314151603E-4</v>
      </c>
      <c r="AB101" s="393">
        <v>197778223405.81</v>
      </c>
      <c r="AC101" s="392">
        <v>633.34</v>
      </c>
      <c r="AD101" s="25">
        <f>((AB101-X101)/X101)</f>
        <v>6.3099307517798975E-4</v>
      </c>
      <c r="AE101" s="25">
        <f t="shared" ref="AE101:AE108" si="81">((AC101-Y101)/Y101)</f>
        <v>1.8666160465705894E-3</v>
      </c>
      <c r="AF101" s="393">
        <v>195942992273.41</v>
      </c>
      <c r="AG101" s="392">
        <v>633.73</v>
      </c>
      <c r="AH101" s="25">
        <f>((AF101-AB101)/AB101)</f>
        <v>-9.2792376268563525E-3</v>
      </c>
      <c r="AI101" s="25">
        <f t="shared" ref="AI101:AI108" si="82">((AG101-AC101)/AC101)</f>
        <v>6.1578299175795988E-4</v>
      </c>
      <c r="AJ101" s="26">
        <f t="shared" si="54"/>
        <v>5.839302573929033E-3</v>
      </c>
      <c r="AK101" s="26">
        <f t="shared" si="55"/>
        <v>5.42199646040458E-3</v>
      </c>
      <c r="AL101" s="27">
        <f t="shared" si="56"/>
        <v>1.9238314202120202E-2</v>
      </c>
      <c r="AM101" s="27">
        <f t="shared" si="57"/>
        <v>3.1226608520194057E-2</v>
      </c>
      <c r="AN101" s="28">
        <f t="shared" si="58"/>
        <v>1.249142951615261E-2</v>
      </c>
      <c r="AO101" s="85">
        <f t="shared" si="59"/>
        <v>5.7725353786338141E-3</v>
      </c>
      <c r="AP101" s="32"/>
      <c r="AQ101" s="53">
        <v>1131224777.76</v>
      </c>
      <c r="AR101" s="54">
        <v>0.6573</v>
      </c>
      <c r="AS101" s="31" t="e">
        <f>(#REF!/AQ101)-1</f>
        <v>#REF!</v>
      </c>
      <c r="AT101" s="31" t="e">
        <f>(#REF!/AR101)-1</f>
        <v>#REF!</v>
      </c>
    </row>
    <row r="102" spans="1:46">
      <c r="A102" s="217" t="s">
        <v>133</v>
      </c>
      <c r="B102" s="392">
        <v>26509406082.650002</v>
      </c>
      <c r="C102" s="392">
        <v>444.97</v>
      </c>
      <c r="D102" s="392">
        <v>15227771746.73</v>
      </c>
      <c r="E102" s="392">
        <v>445.82</v>
      </c>
      <c r="F102" s="25">
        <f t="shared" si="75"/>
        <v>-0.42557099547030813</v>
      </c>
      <c r="G102" s="25">
        <f t="shared" si="75"/>
        <v>1.9102411398520482E-3</v>
      </c>
      <c r="H102" s="392">
        <v>15110572204.91</v>
      </c>
      <c r="I102" s="392">
        <v>446.8</v>
      </c>
      <c r="J102" s="25">
        <f t="shared" ref="J102:J108" si="83">((H102-D102)/D102)</f>
        <v>-7.6964341053488037E-3</v>
      </c>
      <c r="K102" s="25">
        <f t="shared" si="76"/>
        <v>2.1981965815800505E-3</v>
      </c>
      <c r="L102" s="392">
        <v>15435763864.139999</v>
      </c>
      <c r="M102" s="392">
        <v>448.55</v>
      </c>
      <c r="N102" s="25">
        <f t="shared" ref="N102:N108" si="84">((L102-H102)/H102)</f>
        <v>2.1520803767069285E-2</v>
      </c>
      <c r="O102" s="25">
        <f t="shared" si="77"/>
        <v>3.91674127126231E-3</v>
      </c>
      <c r="P102" s="392">
        <v>4826874137.7799997</v>
      </c>
      <c r="Q102" s="392">
        <v>450.05</v>
      </c>
      <c r="R102" s="25">
        <f t="shared" ref="R102:R108" si="85">((P102-L102)/L102)</f>
        <v>-0.68729282332481911</v>
      </c>
      <c r="S102" s="25">
        <f t="shared" si="78"/>
        <v>3.344108795006131E-3</v>
      </c>
      <c r="T102" s="392">
        <v>4917496137.7799997</v>
      </c>
      <c r="U102" s="392">
        <v>453.11</v>
      </c>
      <c r="V102" s="25">
        <f t="shared" ref="V102:V108" si="86">((T102-P102)/P102)</f>
        <v>1.8774469234799508E-2</v>
      </c>
      <c r="W102" s="25">
        <f t="shared" si="79"/>
        <v>6.79924452838574E-3</v>
      </c>
      <c r="X102" s="392">
        <v>3749266281.7800002</v>
      </c>
      <c r="Y102" s="392">
        <v>455.06</v>
      </c>
      <c r="Z102" s="25">
        <f t="shared" ref="Z102:Z108" si="87">((X102-T102)/T102)</f>
        <v>-0.23756599360084013</v>
      </c>
      <c r="AA102" s="25">
        <f t="shared" si="80"/>
        <v>4.303590739555491E-3</v>
      </c>
      <c r="AB102" s="392">
        <v>4001400661.2600002</v>
      </c>
      <c r="AC102" s="392">
        <v>460.28</v>
      </c>
      <c r="AD102" s="25">
        <f t="shared" ref="AD102:AD108" si="88">((AB102-X102)/X102)</f>
        <v>6.7248992344255895E-2</v>
      </c>
      <c r="AE102" s="25">
        <f t="shared" si="81"/>
        <v>1.1471014811233618E-2</v>
      </c>
      <c r="AF102" s="392">
        <v>4071477187.6900001</v>
      </c>
      <c r="AG102" s="392">
        <v>459.7</v>
      </c>
      <c r="AH102" s="25">
        <f t="shared" ref="AH102:AH108" si="89">((AF102-AB102)/AB102)</f>
        <v>1.751299916263158E-2</v>
      </c>
      <c r="AI102" s="25">
        <f t="shared" si="82"/>
        <v>-1.2601025462761451E-3</v>
      </c>
      <c r="AJ102" s="26">
        <f t="shared" si="54"/>
        <v>-0.15413362274907</v>
      </c>
      <c r="AK102" s="26">
        <f t="shared" si="55"/>
        <v>4.0853794150749051E-3</v>
      </c>
      <c r="AL102" s="27">
        <f t="shared" si="56"/>
        <v>-0.73262817072600883</v>
      </c>
      <c r="AM102" s="27">
        <f t="shared" si="57"/>
        <v>3.1133641379929109E-2</v>
      </c>
      <c r="AN102" s="28">
        <f t="shared" si="58"/>
        <v>0.27400894200728942</v>
      </c>
      <c r="AO102" s="85">
        <f t="shared" si="59"/>
        <v>3.7683849166188273E-3</v>
      </c>
      <c r="AP102" s="32"/>
      <c r="AQ102" s="30">
        <v>318569106.36000001</v>
      </c>
      <c r="AR102" s="37">
        <v>123.8</v>
      </c>
      <c r="AS102" s="31" t="e">
        <f>(#REF!/AQ102)-1</f>
        <v>#REF!</v>
      </c>
      <c r="AT102" s="31" t="e">
        <f>(#REF!/AR102)-1</f>
        <v>#REF!</v>
      </c>
    </row>
    <row r="103" spans="1:46">
      <c r="A103" s="217" t="s">
        <v>152</v>
      </c>
      <c r="B103" s="392">
        <v>6003391652.4099998</v>
      </c>
      <c r="C103" s="392">
        <v>49952.13</v>
      </c>
      <c r="D103" s="392">
        <v>6011983098.9300003</v>
      </c>
      <c r="E103" s="392">
        <v>50000.959999999999</v>
      </c>
      <c r="F103" s="25">
        <f t="shared" si="75"/>
        <v>1.4310987883909773E-3</v>
      </c>
      <c r="G103" s="25">
        <f t="shared" si="75"/>
        <v>9.7753589286386279E-4</v>
      </c>
      <c r="H103" s="392">
        <v>5776809306.71</v>
      </c>
      <c r="I103" s="392">
        <v>50200.74</v>
      </c>
      <c r="J103" s="25">
        <f t="shared" si="83"/>
        <v>-3.9117507210200908E-2</v>
      </c>
      <c r="K103" s="25">
        <f t="shared" si="76"/>
        <v>3.9955232859528863E-3</v>
      </c>
      <c r="L103" s="392">
        <v>5791530672.3000002</v>
      </c>
      <c r="M103" s="392">
        <v>50254.01</v>
      </c>
      <c r="N103" s="25">
        <f t="shared" si="84"/>
        <v>2.5483558151903484E-3</v>
      </c>
      <c r="O103" s="25">
        <f t="shared" si="77"/>
        <v>1.061139736187237E-3</v>
      </c>
      <c r="P103" s="392">
        <v>5791341376.29</v>
      </c>
      <c r="Q103" s="392">
        <v>50271.77</v>
      </c>
      <c r="R103" s="25">
        <f t="shared" si="85"/>
        <v>-3.2684970642666639E-5</v>
      </c>
      <c r="S103" s="25">
        <f t="shared" si="78"/>
        <v>3.5340463377936924E-4</v>
      </c>
      <c r="T103" s="392">
        <v>5786718154.0500002</v>
      </c>
      <c r="U103" s="392">
        <v>50276.21</v>
      </c>
      <c r="V103" s="25">
        <f t="shared" si="86"/>
        <v>-7.9829903637306573E-4</v>
      </c>
      <c r="W103" s="25">
        <f t="shared" si="79"/>
        <v>8.8319945766825565E-5</v>
      </c>
      <c r="X103" s="392">
        <v>5858629222.5</v>
      </c>
      <c r="Y103" s="392">
        <v>50796.4</v>
      </c>
      <c r="Z103" s="25">
        <f t="shared" si="87"/>
        <v>1.2426917388342267E-2</v>
      </c>
      <c r="AA103" s="25">
        <f t="shared" si="80"/>
        <v>1.0346643074328839E-2</v>
      </c>
      <c r="AB103" s="392">
        <v>5928484256.0600004</v>
      </c>
      <c r="AC103" s="392">
        <v>51441.43</v>
      </c>
      <c r="AD103" s="25">
        <f t="shared" si="88"/>
        <v>1.1923443335810182E-2</v>
      </c>
      <c r="AE103" s="25">
        <f t="shared" si="81"/>
        <v>1.2698340827302699E-2</v>
      </c>
      <c r="AF103" s="392">
        <v>6106876197.4099998</v>
      </c>
      <c r="AG103" s="392">
        <v>52996.639999999999</v>
      </c>
      <c r="AH103" s="25">
        <f t="shared" si="89"/>
        <v>3.0090649421502653E-2</v>
      </c>
      <c r="AI103" s="25">
        <f t="shared" si="82"/>
        <v>3.023263544578755E-2</v>
      </c>
      <c r="AJ103" s="26">
        <f t="shared" si="54"/>
        <v>2.3089966915024731E-3</v>
      </c>
      <c r="AK103" s="26">
        <f t="shared" si="55"/>
        <v>7.4691928552461581E-3</v>
      </c>
      <c r="AL103" s="27">
        <f t="shared" si="56"/>
        <v>1.5783992888617468E-2</v>
      </c>
      <c r="AM103" s="27">
        <f t="shared" si="57"/>
        <v>5.991244968096613E-2</v>
      </c>
      <c r="AN103" s="28">
        <f t="shared" si="58"/>
        <v>1.963507108175002E-2</v>
      </c>
      <c r="AO103" s="85">
        <f t="shared" si="59"/>
        <v>1.0379794169023423E-2</v>
      </c>
      <c r="AP103" s="32"/>
      <c r="AQ103" s="30">
        <v>1812522091.8199999</v>
      </c>
      <c r="AR103" s="34">
        <v>1.6227</v>
      </c>
      <c r="AS103" s="31" t="e">
        <f>(#REF!/AQ103)-1</f>
        <v>#REF!</v>
      </c>
      <c r="AT103" s="31" t="e">
        <f>(#REF!/AR103)-1</f>
        <v>#REF!</v>
      </c>
    </row>
    <row r="104" spans="1:46">
      <c r="A104" s="217" t="s">
        <v>158</v>
      </c>
      <c r="B104" s="392">
        <v>347567577.00999999</v>
      </c>
      <c r="C104" s="393">
        <v>40893.550000000003</v>
      </c>
      <c r="D104" s="392">
        <v>347363243.26999998</v>
      </c>
      <c r="E104" s="393">
        <v>40871.94</v>
      </c>
      <c r="F104" s="25">
        <f t="shared" si="75"/>
        <v>-5.878964365946326E-4</v>
      </c>
      <c r="G104" s="25">
        <f t="shared" si="75"/>
        <v>-5.2844519490238882E-4</v>
      </c>
      <c r="H104" s="392">
        <v>348798581.95999998</v>
      </c>
      <c r="I104" s="393">
        <v>41040.559999999998</v>
      </c>
      <c r="J104" s="25">
        <f t="shared" si="83"/>
        <v>4.1320972146852378E-3</v>
      </c>
      <c r="K104" s="25">
        <f t="shared" si="76"/>
        <v>4.1255687887581391E-3</v>
      </c>
      <c r="L104" s="392">
        <v>357977987.30000001</v>
      </c>
      <c r="M104" s="393">
        <v>41105.42</v>
      </c>
      <c r="N104" s="25">
        <f t="shared" si="84"/>
        <v>2.6317209457728592E-2</v>
      </c>
      <c r="O104" s="25">
        <f t="shared" si="77"/>
        <v>1.5803877919794609E-3</v>
      </c>
      <c r="P104" s="392">
        <v>378590095.69999999</v>
      </c>
      <c r="Q104" s="393">
        <v>43472.72</v>
      </c>
      <c r="R104" s="25">
        <f t="shared" si="85"/>
        <v>5.7579262220741514E-2</v>
      </c>
      <c r="S104" s="25">
        <f t="shared" si="78"/>
        <v>5.7590945427634675E-2</v>
      </c>
      <c r="T104" s="392">
        <v>392366597.58999997</v>
      </c>
      <c r="U104" s="393">
        <v>45054.44</v>
      </c>
      <c r="V104" s="25">
        <f t="shared" si="86"/>
        <v>3.6388965391521165E-2</v>
      </c>
      <c r="W104" s="25">
        <f t="shared" si="79"/>
        <v>3.6384196802040476E-2</v>
      </c>
      <c r="X104" s="392">
        <v>391460118.31</v>
      </c>
      <c r="Y104" s="393">
        <v>44946.9</v>
      </c>
      <c r="Z104" s="25">
        <f t="shared" si="87"/>
        <v>-2.3102865676328261E-3</v>
      </c>
      <c r="AA104" s="25">
        <f t="shared" si="80"/>
        <v>-2.3868901710908151E-3</v>
      </c>
      <c r="AB104" s="392">
        <v>389448978.44</v>
      </c>
      <c r="AC104" s="393">
        <v>44718.38</v>
      </c>
      <c r="AD104" s="25">
        <f t="shared" si="88"/>
        <v>-5.1375345173920606E-3</v>
      </c>
      <c r="AE104" s="25">
        <f t="shared" si="81"/>
        <v>-5.0842216037146962E-3</v>
      </c>
      <c r="AF104" s="392">
        <v>375190911.54000002</v>
      </c>
      <c r="AG104" s="393">
        <v>44789.85</v>
      </c>
      <c r="AH104" s="25">
        <f t="shared" si="89"/>
        <v>-3.6610872513038649E-2</v>
      </c>
      <c r="AI104" s="25">
        <f t="shared" si="82"/>
        <v>1.5982242648325178E-3</v>
      </c>
      <c r="AJ104" s="26">
        <f t="shared" si="54"/>
        <v>9.9713680312522937E-3</v>
      </c>
      <c r="AK104" s="26">
        <f t="shared" si="55"/>
        <v>1.1659970763192173E-2</v>
      </c>
      <c r="AL104" s="27">
        <f t="shared" si="56"/>
        <v>8.0111148226382808E-2</v>
      </c>
      <c r="AM104" s="27">
        <f t="shared" si="57"/>
        <v>9.5858185346719429E-2</v>
      </c>
      <c r="AN104" s="28">
        <f t="shared" si="58"/>
        <v>2.9096405843811395E-2</v>
      </c>
      <c r="AO104" s="85">
        <f t="shared" si="59"/>
        <v>2.2699230632410351E-2</v>
      </c>
      <c r="AP104" s="32"/>
      <c r="AQ104" s="30"/>
      <c r="AR104" s="34"/>
      <c r="AS104" s="31"/>
      <c r="AT104" s="31"/>
    </row>
    <row r="105" spans="1:46" ht="16.5" customHeight="1">
      <c r="A105" s="217" t="s">
        <v>163</v>
      </c>
      <c r="B105" s="392">
        <v>1738223134.779448</v>
      </c>
      <c r="C105" s="392">
        <v>501.75425325481058</v>
      </c>
      <c r="D105" s="392">
        <v>1760305875.208472</v>
      </c>
      <c r="E105" s="392">
        <v>502.26423131433694</v>
      </c>
      <c r="F105" s="25">
        <f t="shared" si="75"/>
        <v>1.2704203497916232E-2</v>
      </c>
      <c r="G105" s="25">
        <f t="shared" si="75"/>
        <v>1.0163901077433898E-3</v>
      </c>
      <c r="H105" s="392">
        <v>1802094119.86675</v>
      </c>
      <c r="I105" s="392">
        <v>513.6585995284621</v>
      </c>
      <c r="J105" s="25">
        <f t="shared" si="83"/>
        <v>2.373919512898804E-2</v>
      </c>
      <c r="K105" s="25">
        <f t="shared" si="76"/>
        <v>2.2686003708263503E-2</v>
      </c>
      <c r="L105" s="392">
        <v>1838588727.1434901</v>
      </c>
      <c r="M105" s="392">
        <v>521.46463866702175</v>
      </c>
      <c r="N105" s="25">
        <f t="shared" si="84"/>
        <v>2.0251221550758154E-2</v>
      </c>
      <c r="O105" s="25">
        <f t="shared" si="77"/>
        <v>1.5196940430327797E-2</v>
      </c>
      <c r="P105" s="392">
        <v>1847895148.4959841</v>
      </c>
      <c r="Q105" s="392">
        <v>524.10414666367967</v>
      </c>
      <c r="R105" s="25">
        <f t="shared" si="85"/>
        <v>5.0617200111701191E-3</v>
      </c>
      <c r="S105" s="25">
        <f t="shared" si="78"/>
        <v>5.0617200111690965E-3</v>
      </c>
      <c r="T105" s="392">
        <v>1858210195.6052213</v>
      </c>
      <c r="U105" s="392">
        <v>522.74817991408202</v>
      </c>
      <c r="V105" s="25">
        <f t="shared" si="86"/>
        <v>5.5820521622304648E-3</v>
      </c>
      <c r="W105" s="25">
        <f t="shared" si="79"/>
        <v>-2.5872085886543966E-3</v>
      </c>
      <c r="X105" s="392">
        <v>1740313288.6050775</v>
      </c>
      <c r="Y105" s="392">
        <v>523.34240921729349</v>
      </c>
      <c r="Z105" s="25">
        <f t="shared" si="87"/>
        <v>-6.344648591369105E-2</v>
      </c>
      <c r="AA105" s="25">
        <f t="shared" si="80"/>
        <v>1.1367410275998362E-3</v>
      </c>
      <c r="AB105" s="392">
        <v>1743199502.8051081</v>
      </c>
      <c r="AC105" s="392">
        <v>524.2104612801852</v>
      </c>
      <c r="AD105" s="25">
        <f t="shared" si="88"/>
        <v>1.6584451885349723E-3</v>
      </c>
      <c r="AE105" s="25">
        <f t="shared" si="81"/>
        <v>1.6586694439496275E-3</v>
      </c>
      <c r="AF105" s="392">
        <v>1780308825.2450969</v>
      </c>
      <c r="AG105" s="392">
        <v>524.71771100104058</v>
      </c>
      <c r="AH105" s="25">
        <f t="shared" si="89"/>
        <v>2.1288052446248158E-2</v>
      </c>
      <c r="AI105" s="25">
        <f t="shared" si="82"/>
        <v>9.6764516987436517E-4</v>
      </c>
      <c r="AJ105" s="26">
        <f t="shared" si="54"/>
        <v>3.3548005090193863E-3</v>
      </c>
      <c r="AK105" s="26">
        <f t="shared" si="55"/>
        <v>5.642112663784153E-3</v>
      </c>
      <c r="AL105" s="27">
        <f t="shared" si="56"/>
        <v>1.1363337655312871E-2</v>
      </c>
      <c r="AM105" s="27">
        <f t="shared" si="57"/>
        <v>4.4704516640467998E-2</v>
      </c>
      <c r="AN105" s="28">
        <f t="shared" si="58"/>
        <v>2.8241785563115816E-2</v>
      </c>
      <c r="AO105" s="85">
        <f t="shared" si="59"/>
        <v>8.6953328078450583E-3</v>
      </c>
      <c r="AP105" s="32"/>
      <c r="AQ105" s="30"/>
      <c r="AR105" s="34"/>
      <c r="AS105" s="31"/>
      <c r="AT105" s="31"/>
    </row>
    <row r="106" spans="1:46">
      <c r="A106" s="217" t="s">
        <v>173</v>
      </c>
      <c r="B106" s="392">
        <v>99002370.090000004</v>
      </c>
      <c r="C106" s="392">
        <v>387.5</v>
      </c>
      <c r="D106" s="392">
        <v>99940128.239999995</v>
      </c>
      <c r="E106" s="392">
        <v>391.2</v>
      </c>
      <c r="F106" s="25">
        <f t="shared" si="75"/>
        <v>9.4720777810420494E-3</v>
      </c>
      <c r="G106" s="25">
        <f t="shared" si="75"/>
        <v>9.5483870967741635E-3</v>
      </c>
      <c r="H106" s="392">
        <v>100265826.59999999</v>
      </c>
      <c r="I106" s="392">
        <v>392.45</v>
      </c>
      <c r="J106" s="25">
        <f t="shared" si="83"/>
        <v>3.2589347816109971E-3</v>
      </c>
      <c r="K106" s="25">
        <f t="shared" si="76"/>
        <v>3.1952965235173825E-3</v>
      </c>
      <c r="L106" s="392">
        <v>101515384.06999999</v>
      </c>
      <c r="M106" s="392">
        <v>397.33</v>
      </c>
      <c r="N106" s="25">
        <f t="shared" si="84"/>
        <v>1.2462446202981774E-2</v>
      </c>
      <c r="O106" s="25">
        <f t="shared" si="77"/>
        <v>1.2434705057969156E-2</v>
      </c>
      <c r="P106" s="392">
        <v>103029728.61</v>
      </c>
      <c r="Q106" s="392">
        <v>403.27</v>
      </c>
      <c r="R106" s="25">
        <f t="shared" si="85"/>
        <v>1.4917389653530636E-2</v>
      </c>
      <c r="S106" s="25">
        <f t="shared" si="78"/>
        <v>1.4949789847230256E-2</v>
      </c>
      <c r="T106" s="392">
        <v>108415596.98</v>
      </c>
      <c r="U106" s="392">
        <v>424.36</v>
      </c>
      <c r="V106" s="25">
        <f t="shared" si="86"/>
        <v>5.2274896213569719E-2</v>
      </c>
      <c r="W106" s="25">
        <f t="shared" si="79"/>
        <v>5.2297468197485639E-2</v>
      </c>
      <c r="X106" s="392">
        <v>108925755.2</v>
      </c>
      <c r="Y106" s="392">
        <v>426.34</v>
      </c>
      <c r="Z106" s="25">
        <f t="shared" si="87"/>
        <v>4.7055795864326642E-3</v>
      </c>
      <c r="AA106" s="25">
        <f t="shared" si="80"/>
        <v>4.6658497502119929E-3</v>
      </c>
      <c r="AB106" s="392">
        <v>106673959.47499999</v>
      </c>
      <c r="AC106" s="392">
        <v>419.89</v>
      </c>
      <c r="AD106" s="25">
        <f t="shared" si="88"/>
        <v>-2.067275752061996E-2</v>
      </c>
      <c r="AE106" s="25">
        <f t="shared" si="81"/>
        <v>-1.5128770464887153E-2</v>
      </c>
      <c r="AF106" s="392">
        <v>102211691.23999999</v>
      </c>
      <c r="AG106" s="392">
        <v>401.44</v>
      </c>
      <c r="AH106" s="25">
        <f t="shared" si="89"/>
        <v>-4.1830904720901188E-2</v>
      </c>
      <c r="AI106" s="25">
        <f t="shared" si="82"/>
        <v>-4.3940079544642616E-2</v>
      </c>
      <c r="AJ106" s="26">
        <f t="shared" si="54"/>
        <v>4.3234577472058364E-3</v>
      </c>
      <c r="AK106" s="26">
        <f t="shared" si="55"/>
        <v>4.7528308079573516E-3</v>
      </c>
      <c r="AL106" s="27">
        <f t="shared" si="56"/>
        <v>2.2729238395061722E-2</v>
      </c>
      <c r="AM106" s="27">
        <f t="shared" si="57"/>
        <v>2.6175869120654421E-2</v>
      </c>
      <c r="AN106" s="28">
        <f t="shared" si="58"/>
        <v>2.7413861051776053E-2</v>
      </c>
      <c r="AO106" s="85">
        <f t="shared" si="59"/>
        <v>2.7295185700027414E-2</v>
      </c>
      <c r="AP106" s="32"/>
      <c r="AQ106" s="30"/>
      <c r="AR106" s="34"/>
      <c r="AS106" s="31"/>
      <c r="AT106" s="31"/>
    </row>
    <row r="107" spans="1:46" s="314" customFormat="1">
      <c r="A107" s="217" t="s">
        <v>208</v>
      </c>
      <c r="B107" s="393">
        <v>3667698075.3099999</v>
      </c>
      <c r="C107" s="392">
        <f>1.0472*445.65</f>
        <v>466.68467999999996</v>
      </c>
      <c r="D107" s="393">
        <v>3673811200.7800002</v>
      </c>
      <c r="E107" s="392">
        <f>1.0483*446.32</f>
        <v>467.87725599999999</v>
      </c>
      <c r="F107" s="25">
        <f t="shared" si="75"/>
        <v>1.6667471925108164E-3</v>
      </c>
      <c r="G107" s="25">
        <f t="shared" si="75"/>
        <v>2.5554213607355421E-3</v>
      </c>
      <c r="H107" s="393">
        <v>3642476081.23</v>
      </c>
      <c r="I107" s="392">
        <f>1.0483*446.13</f>
        <v>467.67807900000003</v>
      </c>
      <c r="J107" s="25">
        <f t="shared" si="83"/>
        <v>-8.5293222317323544E-3</v>
      </c>
      <c r="K107" s="25">
        <f t="shared" si="76"/>
        <v>-4.2570353109868477E-4</v>
      </c>
      <c r="L107" s="393">
        <v>3775124103.5300002</v>
      </c>
      <c r="M107" s="392">
        <f>1.0483*449.05</f>
        <v>470.73911500000003</v>
      </c>
      <c r="N107" s="25">
        <f t="shared" si="84"/>
        <v>3.6416991997160156E-2</v>
      </c>
      <c r="O107" s="25">
        <f t="shared" si="77"/>
        <v>6.5451774146549242E-3</v>
      </c>
      <c r="P107" s="393">
        <v>3860457411.0700002</v>
      </c>
      <c r="Q107" s="392">
        <f>1.0527*451.08</f>
        <v>474.85191599999996</v>
      </c>
      <c r="R107" s="25">
        <f t="shared" si="85"/>
        <v>2.2604106567041718E-2</v>
      </c>
      <c r="S107" s="25">
        <f t="shared" si="78"/>
        <v>8.7369009052921665E-3</v>
      </c>
      <c r="T107" s="393">
        <v>3914239982.46</v>
      </c>
      <c r="U107" s="392">
        <f>1.0527*453.61</f>
        <v>477.51524699999999</v>
      </c>
      <c r="V107" s="25">
        <f t="shared" si="86"/>
        <v>1.3931657744954371E-2</v>
      </c>
      <c r="W107" s="25">
        <f t="shared" si="79"/>
        <v>5.6087611953534334E-3</v>
      </c>
      <c r="X107" s="393">
        <v>4048499999.9499998</v>
      </c>
      <c r="Y107" s="392">
        <f>1.0556*455.56</f>
        <v>480.88913600000006</v>
      </c>
      <c r="Z107" s="25">
        <f t="shared" si="87"/>
        <v>3.4300405210622976E-2</v>
      </c>
      <c r="AA107" s="25">
        <f t="shared" si="80"/>
        <v>7.0655105176151093E-3</v>
      </c>
      <c r="AB107" s="393">
        <v>4121040307.46</v>
      </c>
      <c r="AC107" s="392">
        <f>1.0571*460.91</f>
        <v>487.22796099999999</v>
      </c>
      <c r="AD107" s="25">
        <f t="shared" si="88"/>
        <v>1.791782327056839E-2</v>
      </c>
      <c r="AE107" s="25">
        <f t="shared" si="81"/>
        <v>1.3181468503792376E-2</v>
      </c>
      <c r="AF107" s="393">
        <v>4187987405.4299998</v>
      </c>
      <c r="AG107" s="392">
        <f>1.0582*460.2</f>
        <v>486.98363999999998</v>
      </c>
      <c r="AH107" s="25">
        <f t="shared" si="89"/>
        <v>1.6245193682966567E-2</v>
      </c>
      <c r="AI107" s="25">
        <f t="shared" si="82"/>
        <v>-5.0145110616919939E-4</v>
      </c>
      <c r="AJ107" s="26">
        <f t="shared" si="54"/>
        <v>1.6819200429261581E-2</v>
      </c>
      <c r="AK107" s="26">
        <f t="shared" si="55"/>
        <v>5.3457606575219585E-3</v>
      </c>
      <c r="AL107" s="27">
        <f t="shared" si="56"/>
        <v>0.13995716615509066</v>
      </c>
      <c r="AM107" s="27">
        <f t="shared" si="57"/>
        <v>4.0836317121599928E-2</v>
      </c>
      <c r="AN107" s="28">
        <f t="shared" si="58"/>
        <v>1.5142890329894024E-2</v>
      </c>
      <c r="AO107" s="85">
        <f t="shared" si="59"/>
        <v>4.669798660921376E-3</v>
      </c>
      <c r="AP107" s="32"/>
      <c r="AQ107" s="30"/>
      <c r="AR107" s="34"/>
      <c r="AS107" s="31"/>
      <c r="AT107" s="31"/>
    </row>
    <row r="108" spans="1:46" s="95" customFormat="1">
      <c r="A108" s="217" t="s">
        <v>248</v>
      </c>
      <c r="B108" s="393">
        <v>2754326589.2999377</v>
      </c>
      <c r="C108" s="392">
        <v>55467.428393249997</v>
      </c>
      <c r="D108" s="393">
        <v>2781185460.6494122</v>
      </c>
      <c r="E108" s="392">
        <v>55586.649913200003</v>
      </c>
      <c r="F108" s="25">
        <f t="shared" si="75"/>
        <v>9.7515201914748616E-3</v>
      </c>
      <c r="G108" s="25">
        <f t="shared" si="75"/>
        <v>2.1493969236279662E-3</v>
      </c>
      <c r="H108" s="393">
        <v>2778801484.5460501</v>
      </c>
      <c r="I108" s="392">
        <v>55736.887310099992</v>
      </c>
      <c r="J108" s="25">
        <f t="shared" si="83"/>
        <v>-8.5717983827134656E-4</v>
      </c>
      <c r="K108" s="25">
        <f t="shared" si="76"/>
        <v>2.7027604134192058E-3</v>
      </c>
      <c r="L108" s="393">
        <v>2745392528.224205</v>
      </c>
      <c r="M108" s="392">
        <v>56021.286636000012</v>
      </c>
      <c r="N108" s="25">
        <f t="shared" si="84"/>
        <v>-1.2022793462449442E-2</v>
      </c>
      <c r="O108" s="25">
        <f t="shared" si="77"/>
        <v>5.1025333423756576E-3</v>
      </c>
      <c r="P108" s="393">
        <v>2863284687.9567733</v>
      </c>
      <c r="Q108" s="392">
        <v>56306.2256442</v>
      </c>
      <c r="R108" s="25">
        <f t="shared" si="85"/>
        <v>4.294182289802622E-2</v>
      </c>
      <c r="S108" s="25">
        <f t="shared" si="78"/>
        <v>5.0862631922645391E-3</v>
      </c>
      <c r="T108" s="393">
        <v>2848237400.6264081</v>
      </c>
      <c r="U108" s="392">
        <v>56672.105557500006</v>
      </c>
      <c r="V108" s="25">
        <f t="shared" si="86"/>
        <v>-5.2552536580296721E-3</v>
      </c>
      <c r="W108" s="25">
        <f t="shared" si="79"/>
        <v>6.4980365690289381E-3</v>
      </c>
      <c r="X108" s="393">
        <v>2837871665.1638112</v>
      </c>
      <c r="Y108" s="392">
        <v>56956.874171400006</v>
      </c>
      <c r="Z108" s="25">
        <f t="shared" si="87"/>
        <v>-3.6393509404508114E-3</v>
      </c>
      <c r="AA108" s="25">
        <f t="shared" si="80"/>
        <v>5.0248461937076093E-3</v>
      </c>
      <c r="AB108" s="393">
        <v>2841562724.5466137</v>
      </c>
      <c r="AC108" s="392">
        <v>57676.641169500006</v>
      </c>
      <c r="AD108" s="25">
        <f t="shared" si="88"/>
        <v>1.3006435167988565E-3</v>
      </c>
      <c r="AE108" s="25">
        <f t="shared" si="81"/>
        <v>1.2637052306171317E-2</v>
      </c>
      <c r="AF108" s="393">
        <f>6177462.23 *406.2</f>
        <v>2509285157.8260002</v>
      </c>
      <c r="AG108" s="392">
        <f>125.23*460.2</f>
        <v>57630.845999999998</v>
      </c>
      <c r="AH108" s="25">
        <f t="shared" si="89"/>
        <v>-0.11693479923925668</v>
      </c>
      <c r="AI108" s="25">
        <f t="shared" si="82"/>
        <v>-7.9399855073782088E-4</v>
      </c>
      <c r="AJ108" s="26">
        <f t="shared" si="54"/>
        <v>-1.0589423816519752E-2</v>
      </c>
      <c r="AK108" s="26">
        <f t="shared" si="55"/>
        <v>4.8008612987321762E-3</v>
      </c>
      <c r="AL108" s="27">
        <f t="shared" si="56"/>
        <v>-9.7764175266442932E-2</v>
      </c>
      <c r="AM108" s="27">
        <f t="shared" si="57"/>
        <v>3.6774946682199057E-2</v>
      </c>
      <c r="AN108" s="28">
        <f t="shared" si="58"/>
        <v>4.6141999706805839E-2</v>
      </c>
      <c r="AO108" s="85">
        <f t="shared" si="59"/>
        <v>3.9141441372779464E-3</v>
      </c>
      <c r="AP108" s="32"/>
      <c r="AQ108" s="30"/>
      <c r="AR108" s="34"/>
      <c r="AS108" s="31"/>
      <c r="AT108" s="31"/>
    </row>
    <row r="109" spans="1:46" s="113" customFormat="1">
      <c r="A109" s="219" t="s">
        <v>46</v>
      </c>
      <c r="B109" s="82">
        <f>SUM(B90:B108)</f>
        <v>328523247840.62286</v>
      </c>
      <c r="C109" s="94"/>
      <c r="D109" s="82">
        <f>SUM(D90:D108)</f>
        <v>324899490879.42987</v>
      </c>
      <c r="E109" s="94"/>
      <c r="F109" s="25"/>
      <c r="G109" s="25"/>
      <c r="H109" s="82">
        <f>SUM(H90:H108)</f>
        <v>328659495248.42633</v>
      </c>
      <c r="I109" s="94"/>
      <c r="J109" s="25"/>
      <c r="K109" s="25"/>
      <c r="L109" s="82">
        <f>SUM(L90:L108)</f>
        <v>331525669640.7597</v>
      </c>
      <c r="M109" s="94"/>
      <c r="N109" s="25"/>
      <c r="O109" s="25"/>
      <c r="P109" s="82">
        <f>SUM(P90:P108)</f>
        <v>320193218057.02887</v>
      </c>
      <c r="Q109" s="94"/>
      <c r="R109" s="25"/>
      <c r="S109" s="25"/>
      <c r="T109" s="82">
        <f>SUM(T90:T108)</f>
        <v>318934755543.12677</v>
      </c>
      <c r="U109" s="94"/>
      <c r="V109" s="25"/>
      <c r="W109" s="25"/>
      <c r="X109" s="82">
        <f>SUM(X90:X108)</f>
        <v>317633858239.45715</v>
      </c>
      <c r="Y109" s="94"/>
      <c r="Z109" s="25"/>
      <c r="AA109" s="25"/>
      <c r="AB109" s="82">
        <f>SUM(AB90:AB108)</f>
        <v>318454224920.62793</v>
      </c>
      <c r="AC109" s="94"/>
      <c r="AD109" s="25"/>
      <c r="AE109" s="25"/>
      <c r="AF109" s="82">
        <f>SUM(AF90:AF108)</f>
        <v>315407028595.76306</v>
      </c>
      <c r="AG109" s="94"/>
      <c r="AH109" s="25"/>
      <c r="AI109" s="25"/>
      <c r="AJ109" s="26" t="e">
        <f t="shared" si="54"/>
        <v>#DIV/0!</v>
      </c>
      <c r="AK109" s="26"/>
      <c r="AL109" s="27">
        <f t="shared" si="56"/>
        <v>-2.9216611752677261E-2</v>
      </c>
      <c r="AM109" s="27"/>
      <c r="AN109" s="28" t="e">
        <f t="shared" si="58"/>
        <v>#DIV/0!</v>
      </c>
      <c r="AO109" s="85"/>
      <c r="AP109" s="32"/>
      <c r="AQ109" s="30"/>
      <c r="AR109" s="34"/>
      <c r="AS109" s="31"/>
      <c r="AT109" s="31"/>
    </row>
    <row r="110" spans="1:46" s="113" customFormat="1" ht="8.25" customHeight="1">
      <c r="A110" s="219"/>
      <c r="B110" s="94"/>
      <c r="C110" s="94"/>
      <c r="D110" s="94"/>
      <c r="E110" s="94"/>
      <c r="F110" s="25"/>
      <c r="G110" s="25"/>
      <c r="H110" s="94"/>
      <c r="I110" s="94"/>
      <c r="J110" s="25"/>
      <c r="K110" s="25"/>
      <c r="L110" s="94"/>
      <c r="M110" s="94"/>
      <c r="N110" s="25"/>
      <c r="O110" s="25"/>
      <c r="P110" s="94"/>
      <c r="Q110" s="94"/>
      <c r="R110" s="25"/>
      <c r="S110" s="25"/>
      <c r="T110" s="94"/>
      <c r="U110" s="94"/>
      <c r="V110" s="25"/>
      <c r="W110" s="25"/>
      <c r="X110" s="94"/>
      <c r="Y110" s="94"/>
      <c r="Z110" s="25"/>
      <c r="AA110" s="25"/>
      <c r="AB110" s="94"/>
      <c r="AC110" s="94"/>
      <c r="AD110" s="25"/>
      <c r="AE110" s="25"/>
      <c r="AF110" s="94"/>
      <c r="AG110" s="94"/>
      <c r="AH110" s="25"/>
      <c r="AI110" s="25"/>
      <c r="AJ110" s="26"/>
      <c r="AK110" s="26"/>
      <c r="AL110" s="27"/>
      <c r="AM110" s="27"/>
      <c r="AN110" s="28"/>
      <c r="AO110" s="85"/>
      <c r="AP110" s="32"/>
      <c r="AQ110" s="30"/>
      <c r="AR110" s="34"/>
      <c r="AS110" s="31"/>
      <c r="AT110" s="31"/>
    </row>
    <row r="111" spans="1:46">
      <c r="A111" s="221" t="s">
        <v>232</v>
      </c>
      <c r="B111" s="94"/>
      <c r="C111" s="94"/>
      <c r="D111" s="94"/>
      <c r="E111" s="94"/>
      <c r="F111" s="25"/>
      <c r="G111" s="25"/>
      <c r="H111" s="94"/>
      <c r="I111" s="94"/>
      <c r="J111" s="25"/>
      <c r="K111" s="25"/>
      <c r="L111" s="94"/>
      <c r="M111" s="94"/>
      <c r="N111" s="25"/>
      <c r="O111" s="25"/>
      <c r="P111" s="94"/>
      <c r="Q111" s="94"/>
      <c r="R111" s="25"/>
      <c r="S111" s="25"/>
      <c r="T111" s="94"/>
      <c r="U111" s="94"/>
      <c r="V111" s="25"/>
      <c r="W111" s="25"/>
      <c r="X111" s="94"/>
      <c r="Y111" s="94"/>
      <c r="Z111" s="25"/>
      <c r="AA111" s="25"/>
      <c r="AB111" s="94"/>
      <c r="AC111" s="94"/>
      <c r="AD111" s="25"/>
      <c r="AE111" s="25"/>
      <c r="AF111" s="94"/>
      <c r="AG111" s="94"/>
      <c r="AH111" s="25"/>
      <c r="AI111" s="25"/>
      <c r="AJ111" s="26"/>
      <c r="AK111" s="26"/>
      <c r="AL111" s="27"/>
      <c r="AM111" s="27"/>
      <c r="AN111" s="28"/>
      <c r="AO111" s="85"/>
      <c r="AP111" s="32"/>
      <c r="AQ111" s="56">
        <f>SUM(AQ93:AQ103)</f>
        <v>16564722721.154379</v>
      </c>
      <c r="AR111" s="57"/>
      <c r="AS111" s="31" t="e">
        <f>(#REF!/AQ111)-1</f>
        <v>#REF!</v>
      </c>
      <c r="AT111" s="31" t="e">
        <f>(#REF!/AR111)-1</f>
        <v>#REF!</v>
      </c>
    </row>
    <row r="112" spans="1:46">
      <c r="A112" s="217" t="s">
        <v>150</v>
      </c>
      <c r="B112" s="393">
        <v>2279365774.0100002</v>
      </c>
      <c r="C112" s="394">
        <v>77</v>
      </c>
      <c r="D112" s="393">
        <v>2282747522.1900001</v>
      </c>
      <c r="E112" s="394">
        <v>77</v>
      </c>
      <c r="F112" s="25">
        <f t="shared" ref="F112:G115" si="90">((D112-B112)/B112)</f>
        <v>1.4836355878286482E-3</v>
      </c>
      <c r="G112" s="25">
        <f t="shared" si="90"/>
        <v>0</v>
      </c>
      <c r="H112" s="393">
        <v>2285687216.0500002</v>
      </c>
      <c r="I112" s="394">
        <v>77</v>
      </c>
      <c r="J112" s="25">
        <f t="shared" ref="J112:K115" si="91">((H112-D112)/D112)</f>
        <v>1.2877875592566096E-3</v>
      </c>
      <c r="K112" s="25">
        <f t="shared" si="91"/>
        <v>0</v>
      </c>
      <c r="L112" s="393">
        <v>2290871889.3600001</v>
      </c>
      <c r="M112" s="394">
        <v>77</v>
      </c>
      <c r="N112" s="25">
        <f t="shared" ref="N112:O115" si="92">((L112-H112)/H112)</f>
        <v>2.2683214368061314E-3</v>
      </c>
      <c r="O112" s="25">
        <f t="shared" si="92"/>
        <v>0</v>
      </c>
      <c r="P112" s="393">
        <v>2278426979.8299999</v>
      </c>
      <c r="Q112" s="394">
        <v>77</v>
      </c>
      <c r="R112" s="25">
        <f t="shared" ref="R112:S115" si="93">((P112-L112)/L112)</f>
        <v>-5.4323899943077734E-3</v>
      </c>
      <c r="S112" s="25">
        <f t="shared" si="93"/>
        <v>0</v>
      </c>
      <c r="T112" s="393">
        <v>2280493209.1100001</v>
      </c>
      <c r="U112" s="394">
        <v>77</v>
      </c>
      <c r="V112" s="25">
        <f t="shared" ref="V112:V115" si="94">((T112-P112)/P112)</f>
        <v>9.0686657869297927E-4</v>
      </c>
      <c r="W112" s="25">
        <f t="shared" ref="W112:W115" si="95">((U112-Q112)/Q112)</f>
        <v>0</v>
      </c>
      <c r="X112" s="393">
        <v>2281899794.3299999</v>
      </c>
      <c r="Y112" s="394">
        <v>77</v>
      </c>
      <c r="Z112" s="25">
        <f t="shared" ref="Z112:Z115" si="96">((X112-T112)/T112)</f>
        <v>6.1678991824261255E-4</v>
      </c>
      <c r="AA112" s="25">
        <f t="shared" ref="AA112:AA115" si="97">((Y112-U112)/U112)</f>
        <v>0</v>
      </c>
      <c r="AB112" s="393">
        <v>2283435577.96</v>
      </c>
      <c r="AC112" s="394">
        <v>77</v>
      </c>
      <c r="AD112" s="25">
        <f t="shared" ref="AD112:AD115" si="98">((AB112-X112)/X112)</f>
        <v>6.7302851501901452E-4</v>
      </c>
      <c r="AE112" s="25">
        <f t="shared" ref="AE112:AE115" si="99">((AC112-Y112)/Y112)</f>
        <v>0</v>
      </c>
      <c r="AF112" s="393">
        <v>2298704113.3499999</v>
      </c>
      <c r="AG112" s="394">
        <v>77</v>
      </c>
      <c r="AH112" s="25">
        <f t="shared" ref="AH112:AH115" si="100">((AF112-AB112)/AB112)</f>
        <v>6.6866503865375664E-3</v>
      </c>
      <c r="AI112" s="25">
        <f t="shared" ref="AI112:AI115" si="101">((AG112-AC112)/AC112)</f>
        <v>0</v>
      </c>
      <c r="AJ112" s="26">
        <f t="shared" si="54"/>
        <v>1.0613362485094736E-3</v>
      </c>
      <c r="AK112" s="26">
        <f t="shared" si="55"/>
        <v>0</v>
      </c>
      <c r="AL112" s="27">
        <f t="shared" si="56"/>
        <v>6.9900814719498936E-3</v>
      </c>
      <c r="AM112" s="27">
        <f t="shared" si="57"/>
        <v>0</v>
      </c>
      <c r="AN112" s="28">
        <f t="shared" si="58"/>
        <v>3.2922275363039015E-3</v>
      </c>
      <c r="AO112" s="85">
        <f t="shared" si="59"/>
        <v>0</v>
      </c>
      <c r="AP112" s="32"/>
      <c r="AQ112" s="42"/>
      <c r="AR112" s="15"/>
      <c r="AS112" s="31" t="e">
        <f>(#REF!/AQ112)-1</f>
        <v>#REF!</v>
      </c>
      <c r="AT112" s="31" t="e">
        <f>(#REF!/AR112)-1</f>
        <v>#REF!</v>
      </c>
    </row>
    <row r="113" spans="1:46">
      <c r="A113" s="217" t="s">
        <v>25</v>
      </c>
      <c r="B113" s="393">
        <v>9898473915.8199997</v>
      </c>
      <c r="C113" s="394">
        <v>36.6</v>
      </c>
      <c r="D113" s="393">
        <v>9930183903.9500008</v>
      </c>
      <c r="E113" s="394">
        <v>36.6</v>
      </c>
      <c r="F113" s="25">
        <f t="shared" si="90"/>
        <v>3.2035229268343414E-3</v>
      </c>
      <c r="G113" s="25">
        <f t="shared" si="90"/>
        <v>0</v>
      </c>
      <c r="H113" s="393">
        <v>9934574413.0900002</v>
      </c>
      <c r="I113" s="394">
        <v>36.6</v>
      </c>
      <c r="J113" s="25">
        <f t="shared" si="91"/>
        <v>4.4213774714211944E-4</v>
      </c>
      <c r="K113" s="25">
        <f t="shared" si="91"/>
        <v>0</v>
      </c>
      <c r="L113" s="393">
        <v>9955126113.5100002</v>
      </c>
      <c r="M113" s="394">
        <v>36.6</v>
      </c>
      <c r="N113" s="25">
        <f t="shared" si="92"/>
        <v>2.0687046636764564E-3</v>
      </c>
      <c r="O113" s="25">
        <f t="shared" si="92"/>
        <v>0</v>
      </c>
      <c r="P113" s="393">
        <v>9967214007.4300003</v>
      </c>
      <c r="Q113" s="394">
        <v>36.6</v>
      </c>
      <c r="R113" s="25">
        <f t="shared" si="93"/>
        <v>1.2142381504937159E-3</v>
      </c>
      <c r="S113" s="25">
        <f t="shared" si="93"/>
        <v>0</v>
      </c>
      <c r="T113" s="393">
        <v>9972800184.6900005</v>
      </c>
      <c r="U113" s="394">
        <v>36.6</v>
      </c>
      <c r="V113" s="25">
        <f t="shared" si="94"/>
        <v>5.6045523411417137E-4</v>
      </c>
      <c r="W113" s="25">
        <f t="shared" si="95"/>
        <v>0</v>
      </c>
      <c r="X113" s="393">
        <v>9982125557.1399994</v>
      </c>
      <c r="Y113" s="394">
        <v>36.6</v>
      </c>
      <c r="Z113" s="25">
        <f t="shared" si="96"/>
        <v>9.3508064708996573E-4</v>
      </c>
      <c r="AA113" s="25">
        <f t="shared" si="97"/>
        <v>0</v>
      </c>
      <c r="AB113" s="393">
        <v>9984464335.5900002</v>
      </c>
      <c r="AC113" s="394">
        <v>36.6</v>
      </c>
      <c r="AD113" s="25">
        <f t="shared" si="98"/>
        <v>2.3429663718544245E-4</v>
      </c>
      <c r="AE113" s="25">
        <f t="shared" si="99"/>
        <v>0</v>
      </c>
      <c r="AF113" s="393">
        <v>10032401869.309999</v>
      </c>
      <c r="AG113" s="394">
        <v>36.6</v>
      </c>
      <c r="AH113" s="25">
        <f t="shared" si="100"/>
        <v>4.8012123744209457E-3</v>
      </c>
      <c r="AI113" s="25">
        <f t="shared" si="101"/>
        <v>0</v>
      </c>
      <c r="AJ113" s="26">
        <f t="shared" si="54"/>
        <v>1.6824560476196445E-3</v>
      </c>
      <c r="AK113" s="26">
        <f t="shared" si="55"/>
        <v>0</v>
      </c>
      <c r="AL113" s="27">
        <f t="shared" si="56"/>
        <v>1.0293662871574688E-2</v>
      </c>
      <c r="AM113" s="27">
        <f t="shared" si="57"/>
        <v>0</v>
      </c>
      <c r="AN113" s="28">
        <f t="shared" si="58"/>
        <v>1.5973957577862406E-3</v>
      </c>
      <c r="AO113" s="85">
        <f t="shared" si="59"/>
        <v>0</v>
      </c>
      <c r="AP113" s="32"/>
      <c r="AQ113" s="30">
        <v>640873657.65999997</v>
      </c>
      <c r="AR113" s="34">
        <v>11.5358</v>
      </c>
      <c r="AS113" s="31" t="e">
        <f>(#REF!/AQ113)-1</f>
        <v>#REF!</v>
      </c>
      <c r="AT113" s="31" t="e">
        <f>(#REF!/AR113)-1</f>
        <v>#REF!</v>
      </c>
    </row>
    <row r="114" spans="1:46">
      <c r="A114" s="217" t="s">
        <v>198</v>
      </c>
      <c r="B114" s="393">
        <v>25923148673.009998</v>
      </c>
      <c r="C114" s="394">
        <v>9.7200000000000006</v>
      </c>
      <c r="D114" s="393">
        <v>25916377320.380001</v>
      </c>
      <c r="E114" s="394">
        <v>9.7100000000000009</v>
      </c>
      <c r="F114" s="25">
        <f t="shared" si="90"/>
        <v>-2.6120872566098722E-4</v>
      </c>
      <c r="G114" s="25">
        <f t="shared" si="90"/>
        <v>-1.0288065843621179E-3</v>
      </c>
      <c r="H114" s="393">
        <v>25927345090.549999</v>
      </c>
      <c r="I114" s="394">
        <v>9.7200000000000006</v>
      </c>
      <c r="J114" s="25">
        <f t="shared" si="91"/>
        <v>4.2319842910194799E-4</v>
      </c>
      <c r="K114" s="25">
        <f t="shared" si="91"/>
        <v>1.0298661174047154E-3</v>
      </c>
      <c r="L114" s="393">
        <v>25897690428.98</v>
      </c>
      <c r="M114" s="394">
        <v>9.7100000000000009</v>
      </c>
      <c r="N114" s="25">
        <f t="shared" si="92"/>
        <v>-1.143760052038966E-3</v>
      </c>
      <c r="O114" s="25">
        <f t="shared" si="92"/>
        <v>-1.0288065843621179E-3</v>
      </c>
      <c r="P114" s="393">
        <v>26447232381.099998</v>
      </c>
      <c r="Q114" s="394">
        <v>9.91</v>
      </c>
      <c r="R114" s="25">
        <f t="shared" si="93"/>
        <v>2.1219728208081878E-2</v>
      </c>
      <c r="S114" s="25">
        <f t="shared" si="93"/>
        <v>2.0597322348094672E-2</v>
      </c>
      <c r="T114" s="393">
        <v>26451840612.209999</v>
      </c>
      <c r="U114" s="394">
        <v>9.91</v>
      </c>
      <c r="V114" s="25">
        <f t="shared" si="94"/>
        <v>1.7424247057676225E-4</v>
      </c>
      <c r="W114" s="25">
        <f t="shared" si="95"/>
        <v>0</v>
      </c>
      <c r="X114" s="393">
        <v>26459623859.869999</v>
      </c>
      <c r="Y114" s="394">
        <v>9.92</v>
      </c>
      <c r="Z114" s="25">
        <f t="shared" si="96"/>
        <v>2.9424219562275568E-4</v>
      </c>
      <c r="AA114" s="25">
        <f t="shared" si="97"/>
        <v>1.0090817356205638E-3</v>
      </c>
      <c r="AB114" s="393">
        <v>26432551896.450001</v>
      </c>
      <c r="AC114" s="394">
        <v>9.91</v>
      </c>
      <c r="AD114" s="25">
        <f t="shared" si="98"/>
        <v>-1.0231424136401604E-3</v>
      </c>
      <c r="AE114" s="25">
        <f t="shared" si="99"/>
        <v>-1.0080645161290108E-3</v>
      </c>
      <c r="AF114" s="393">
        <v>26446086162.439999</v>
      </c>
      <c r="AG114" s="394">
        <v>9.91</v>
      </c>
      <c r="AH114" s="25">
        <f t="shared" si="100"/>
        <v>5.1203024373199359E-4</v>
      </c>
      <c r="AI114" s="25">
        <f t="shared" si="101"/>
        <v>0</v>
      </c>
      <c r="AJ114" s="26">
        <f t="shared" si="54"/>
        <v>2.5244162944719028E-3</v>
      </c>
      <c r="AK114" s="26">
        <f t="shared" si="55"/>
        <v>2.446324064533338E-3</v>
      </c>
      <c r="AL114" s="27">
        <f t="shared" si="56"/>
        <v>2.0439154574410659E-2</v>
      </c>
      <c r="AM114" s="27">
        <f t="shared" si="57"/>
        <v>2.0597322348094672E-2</v>
      </c>
      <c r="AN114" s="28">
        <f t="shared" si="58"/>
        <v>7.5807735418079022E-3</v>
      </c>
      <c r="AO114" s="85">
        <f t="shared" si="59"/>
        <v>7.3832399652888972E-3</v>
      </c>
      <c r="AP114" s="32"/>
      <c r="AQ114" s="30">
        <v>2128320668.46</v>
      </c>
      <c r="AR114" s="37">
        <v>1.04</v>
      </c>
      <c r="AS114" s="31" t="e">
        <f>(#REF!/AQ114)-1</f>
        <v>#REF!</v>
      </c>
      <c r="AT114" s="31" t="e">
        <f>(#REF!/AR114)-1</f>
        <v>#REF!</v>
      </c>
    </row>
    <row r="115" spans="1:46">
      <c r="A115" s="217" t="s">
        <v>175</v>
      </c>
      <c r="B115" s="393">
        <v>7511812185.1700001</v>
      </c>
      <c r="C115" s="394">
        <v>101.31</v>
      </c>
      <c r="D115" s="393">
        <v>7511812185.1700001</v>
      </c>
      <c r="E115" s="394">
        <v>101.31</v>
      </c>
      <c r="F115" s="25">
        <f t="shared" si="90"/>
        <v>0</v>
      </c>
      <c r="G115" s="25">
        <f t="shared" si="90"/>
        <v>0</v>
      </c>
      <c r="H115" s="393">
        <v>7511812185.1700001</v>
      </c>
      <c r="I115" s="394">
        <v>101.31</v>
      </c>
      <c r="J115" s="25">
        <f t="shared" si="91"/>
        <v>0</v>
      </c>
      <c r="K115" s="25">
        <f t="shared" si="91"/>
        <v>0</v>
      </c>
      <c r="L115" s="393">
        <v>7511812185.1700001</v>
      </c>
      <c r="M115" s="394">
        <v>101.31</v>
      </c>
      <c r="N115" s="25">
        <f t="shared" si="92"/>
        <v>0</v>
      </c>
      <c r="O115" s="25">
        <f t="shared" si="92"/>
        <v>0</v>
      </c>
      <c r="P115" s="393">
        <v>7511812185.1700001</v>
      </c>
      <c r="Q115" s="394">
        <v>101.31</v>
      </c>
      <c r="R115" s="25">
        <f t="shared" si="93"/>
        <v>0</v>
      </c>
      <c r="S115" s="25">
        <f t="shared" si="93"/>
        <v>0</v>
      </c>
      <c r="T115" s="393">
        <v>7511812185.1700001</v>
      </c>
      <c r="U115" s="394">
        <v>101.31</v>
      </c>
      <c r="V115" s="25">
        <f t="shared" si="94"/>
        <v>0</v>
      </c>
      <c r="W115" s="25">
        <f t="shared" si="95"/>
        <v>0</v>
      </c>
      <c r="X115" s="393">
        <v>7511812185.1700001</v>
      </c>
      <c r="Y115" s="394">
        <v>101.31</v>
      </c>
      <c r="Z115" s="25">
        <f t="shared" si="96"/>
        <v>0</v>
      </c>
      <c r="AA115" s="25">
        <f t="shared" si="97"/>
        <v>0</v>
      </c>
      <c r="AB115" s="393">
        <v>7511812185.1700001</v>
      </c>
      <c r="AC115" s="394">
        <v>101.31</v>
      </c>
      <c r="AD115" s="25">
        <f t="shared" si="98"/>
        <v>0</v>
      </c>
      <c r="AE115" s="25">
        <f t="shared" si="99"/>
        <v>0</v>
      </c>
      <c r="AF115" s="393">
        <v>7511812185.1700001</v>
      </c>
      <c r="AG115" s="394">
        <v>101.31</v>
      </c>
      <c r="AH115" s="25">
        <f t="shared" si="100"/>
        <v>0</v>
      </c>
      <c r="AI115" s="25">
        <f t="shared" si="101"/>
        <v>0</v>
      </c>
      <c r="AJ115" s="26">
        <f t="shared" si="54"/>
        <v>0</v>
      </c>
      <c r="AK115" s="26">
        <f t="shared" si="55"/>
        <v>0</v>
      </c>
      <c r="AL115" s="27">
        <f t="shared" si="56"/>
        <v>0</v>
      </c>
      <c r="AM115" s="27">
        <f t="shared" si="57"/>
        <v>0</v>
      </c>
      <c r="AN115" s="28">
        <f t="shared" si="58"/>
        <v>0</v>
      </c>
      <c r="AO115" s="85">
        <f t="shared" si="59"/>
        <v>0</v>
      </c>
      <c r="AP115" s="32"/>
      <c r="AQ115" s="30">
        <v>1789192828.73</v>
      </c>
      <c r="AR115" s="34">
        <v>0.79</v>
      </c>
      <c r="AS115" s="31" t="e">
        <f>(#REF!/AQ115)-1</f>
        <v>#REF!</v>
      </c>
      <c r="AT115" s="31" t="e">
        <f>(#REF!/AR115)-1</f>
        <v>#REF!</v>
      </c>
    </row>
    <row r="116" spans="1:46">
      <c r="A116" s="219" t="s">
        <v>46</v>
      </c>
      <c r="B116" s="73">
        <f>SUM(B112:B115)</f>
        <v>45612800548.009995</v>
      </c>
      <c r="C116" s="94"/>
      <c r="D116" s="73">
        <f>SUM(D112:D115)</f>
        <v>45641120931.690002</v>
      </c>
      <c r="E116" s="94"/>
      <c r="F116" s="25">
        <f>((D116-B116)/B116)</f>
        <v>6.2088675415137391E-4</v>
      </c>
      <c r="G116" s="25"/>
      <c r="H116" s="73">
        <f>SUM(H112:H115)</f>
        <v>45659418904.860001</v>
      </c>
      <c r="I116" s="94"/>
      <c r="J116" s="25">
        <f>((H116-D116)/D116)</f>
        <v>4.0090981107550615E-4</v>
      </c>
      <c r="K116" s="25"/>
      <c r="L116" s="73">
        <f>SUM(L112:L115)</f>
        <v>45655500617.019997</v>
      </c>
      <c r="M116" s="94"/>
      <c r="N116" s="25">
        <f>((L116-H116)/H116)</f>
        <v>-8.5815543298272328E-5</v>
      </c>
      <c r="O116" s="25"/>
      <c r="P116" s="73">
        <f>SUM(P112:P115)</f>
        <v>46204685553.529999</v>
      </c>
      <c r="Q116" s="94"/>
      <c r="R116" s="25">
        <f>((P116-L116)/L116)</f>
        <v>1.2028888722890719E-2</v>
      </c>
      <c r="S116" s="25"/>
      <c r="T116" s="73">
        <f>SUM(T112:T115)</f>
        <v>46216946191.18</v>
      </c>
      <c r="U116" s="94"/>
      <c r="V116" s="25">
        <f>((T116-P116)/P116)</f>
        <v>2.6535485531650423E-4</v>
      </c>
      <c r="W116" s="25"/>
      <c r="X116" s="73">
        <f>SUM(X112:X115)</f>
        <v>46235461396.509995</v>
      </c>
      <c r="Y116" s="94"/>
      <c r="Z116" s="25">
        <f>((X116-T116)/T116)</f>
        <v>4.0061507425013783E-4</v>
      </c>
      <c r="AA116" s="25"/>
      <c r="AB116" s="73">
        <f>SUM(AB112:AB115)</f>
        <v>46212263995.169998</v>
      </c>
      <c r="AC116" s="94"/>
      <c r="AD116" s="25">
        <f>((AB116-X116)/X116)</f>
        <v>-5.0172315013919928E-4</v>
      </c>
      <c r="AE116" s="25"/>
      <c r="AF116" s="73">
        <f>SUM(AF112:AF115)</f>
        <v>46289004330.269997</v>
      </c>
      <c r="AG116" s="94"/>
      <c r="AH116" s="25">
        <f>((AF116-AB116)/AB116)</f>
        <v>1.6606053992078639E-3</v>
      </c>
      <c r="AI116" s="25"/>
      <c r="AJ116" s="26">
        <f t="shared" si="54"/>
        <v>1.8487152404318291E-3</v>
      </c>
      <c r="AK116" s="26"/>
      <c r="AL116" s="27">
        <f t="shared" si="56"/>
        <v>1.419516842168855E-2</v>
      </c>
      <c r="AM116" s="27"/>
      <c r="AN116" s="28">
        <f t="shared" si="58"/>
        <v>4.1601170138048033E-3</v>
      </c>
      <c r="AO116" s="85"/>
      <c r="AP116" s="32"/>
      <c r="AQ116" s="30">
        <v>204378030.47999999</v>
      </c>
      <c r="AR116" s="34">
        <v>22.9087</v>
      </c>
      <c r="AS116" s="31" t="e">
        <f>(#REF!/AQ116)-1</f>
        <v>#REF!</v>
      </c>
      <c r="AT116" s="31" t="e">
        <f>(#REF!/AR116)-1</f>
        <v>#REF!</v>
      </c>
    </row>
    <row r="117" spans="1:46">
      <c r="A117" s="221" t="s">
        <v>242</v>
      </c>
      <c r="B117" s="94"/>
      <c r="C117" s="94"/>
      <c r="D117" s="94"/>
      <c r="E117" s="94"/>
      <c r="F117" s="25"/>
      <c r="G117" s="25"/>
      <c r="H117" s="94"/>
      <c r="I117" s="94"/>
      <c r="J117" s="25"/>
      <c r="K117" s="25"/>
      <c r="L117" s="94"/>
      <c r="M117" s="94"/>
      <c r="N117" s="25"/>
      <c r="O117" s="25"/>
      <c r="P117" s="94"/>
      <c r="Q117" s="94"/>
      <c r="R117" s="25"/>
      <c r="S117" s="25"/>
      <c r="T117" s="94"/>
      <c r="U117" s="94"/>
      <c r="V117" s="25"/>
      <c r="W117" s="25"/>
      <c r="X117" s="94"/>
      <c r="Y117" s="94"/>
      <c r="Z117" s="25"/>
      <c r="AA117" s="25"/>
      <c r="AB117" s="94"/>
      <c r="AC117" s="94"/>
      <c r="AD117" s="25"/>
      <c r="AE117" s="25"/>
      <c r="AF117" s="94"/>
      <c r="AG117" s="94"/>
      <c r="AH117" s="25"/>
      <c r="AI117" s="25"/>
      <c r="AJ117" s="26"/>
      <c r="AK117" s="26"/>
      <c r="AL117" s="27"/>
      <c r="AM117" s="27"/>
      <c r="AN117" s="28"/>
      <c r="AO117" s="85"/>
      <c r="AP117" s="32"/>
      <c r="AQ117" s="30">
        <v>160273731.87</v>
      </c>
      <c r="AR117" s="34">
        <v>133.94</v>
      </c>
      <c r="AS117" s="31" t="e">
        <f>(#REF!/AQ117)-1</f>
        <v>#REF!</v>
      </c>
      <c r="AT117" s="31" t="e">
        <f>(#REF!/AR117)-1</f>
        <v>#REF!</v>
      </c>
    </row>
    <row r="118" spans="1:46" s="95" customFormat="1">
      <c r="A118" s="217" t="s">
        <v>26</v>
      </c>
      <c r="B118" s="393">
        <v>1497231356.8599999</v>
      </c>
      <c r="C118" s="392">
        <v>3583.1</v>
      </c>
      <c r="D118" s="393">
        <v>1509525251.3199999</v>
      </c>
      <c r="E118" s="392">
        <v>3610.44</v>
      </c>
      <c r="F118" s="25">
        <f t="shared" ref="F118:F141" si="102">((D118-B118)/B118)</f>
        <v>8.2110853500843364E-3</v>
      </c>
      <c r="G118" s="25">
        <f t="shared" ref="G118:G141" si="103">((E118-C118)/C118)</f>
        <v>7.6302642962797988E-3</v>
      </c>
      <c r="H118" s="393">
        <v>1524578969.77</v>
      </c>
      <c r="I118" s="392">
        <v>3646.76</v>
      </c>
      <c r="J118" s="25">
        <f t="shared" ref="J118:J141" si="104">((H118-D118)/D118)</f>
        <v>9.9724853471887063E-3</v>
      </c>
      <c r="K118" s="25">
        <f t="shared" ref="K118:K141" si="105">((I118-E118)/E118)</f>
        <v>1.0059715713320306E-2</v>
      </c>
      <c r="L118" s="393">
        <v>1537627934.4400001</v>
      </c>
      <c r="M118" s="392">
        <v>3676.42</v>
      </c>
      <c r="N118" s="25">
        <f t="shared" ref="N118:N141" si="106">((L118-H118)/H118)</f>
        <v>8.5590611760627006E-3</v>
      </c>
      <c r="O118" s="25">
        <f t="shared" ref="O118:O141" si="107">((M118-I118)/I118)</f>
        <v>8.133247046693463E-3</v>
      </c>
      <c r="P118" s="393">
        <v>1555411710.3900001</v>
      </c>
      <c r="Q118" s="392">
        <v>3711.98</v>
      </c>
      <c r="R118" s="25">
        <f t="shared" ref="R118:R141" si="108">((P118-L118)/L118)</f>
        <v>1.1565721168090544E-2</v>
      </c>
      <c r="S118" s="25">
        <f t="shared" ref="S118:S141" si="109">((Q118-M118)/M118)</f>
        <v>9.6724530929545444E-3</v>
      </c>
      <c r="T118" s="393">
        <v>1584184200.1800001</v>
      </c>
      <c r="U118" s="392">
        <v>3769.8</v>
      </c>
      <c r="V118" s="25">
        <f t="shared" ref="V118:V141" si="110">((T118-P118)/P118)</f>
        <v>1.8498311153119465E-2</v>
      </c>
      <c r="W118" s="25">
        <f t="shared" ref="W118:W141" si="111">((U118-Q118)/Q118)</f>
        <v>1.557659254629609E-2</v>
      </c>
      <c r="X118" s="393">
        <v>1538148992.3499999</v>
      </c>
      <c r="Y118" s="392">
        <v>3744.56</v>
      </c>
      <c r="Z118" s="25">
        <f t="shared" ref="Z118:Z141" si="112">((X118-T118)/T118)</f>
        <v>-2.9059251963735967E-2</v>
      </c>
      <c r="AA118" s="25">
        <f t="shared" ref="AA118:AA141" si="113">((Y118-U118)/U118)</f>
        <v>-6.6953154013476143E-3</v>
      </c>
      <c r="AB118" s="393">
        <v>1545707045.6800001</v>
      </c>
      <c r="AC118" s="392">
        <v>3768.25</v>
      </c>
      <c r="AD118" s="25">
        <f t="shared" ref="AD118:AD141" si="114">((AB118-X118)/X118)</f>
        <v>4.9137329137750761E-3</v>
      </c>
      <c r="AE118" s="25">
        <f t="shared" ref="AE118:AE141" si="115">((AC118-Y118)/Y118)</f>
        <v>6.3265109919456641E-3</v>
      </c>
      <c r="AF118" s="393">
        <v>1573599523.54</v>
      </c>
      <c r="AG118" s="392">
        <v>3823.71</v>
      </c>
      <c r="AH118" s="25">
        <f t="shared" ref="AH118:AH141" si="116">((AF118-AB118)/AB118)</f>
        <v>1.8045125651691137E-2</v>
      </c>
      <c r="AI118" s="25">
        <f t="shared" ref="AI118:AI141" si="117">((AG118-AC118)/AC118)</f>
        <v>1.4717707158495333E-2</v>
      </c>
      <c r="AJ118" s="26">
        <f t="shared" si="54"/>
        <v>6.3382838495344984E-3</v>
      </c>
      <c r="AK118" s="26">
        <f t="shared" si="55"/>
        <v>8.1776469305796986E-3</v>
      </c>
      <c r="AL118" s="27">
        <f t="shared" si="56"/>
        <v>4.244663821553861E-2</v>
      </c>
      <c r="AM118" s="27">
        <f t="shared" si="57"/>
        <v>5.9070362615082923E-2</v>
      </c>
      <c r="AN118" s="28">
        <f t="shared" si="58"/>
        <v>1.5066064302002226E-2</v>
      </c>
      <c r="AO118" s="85">
        <f t="shared" si="59"/>
        <v>6.8475931565497262E-3</v>
      </c>
      <c r="AP118" s="32"/>
      <c r="AQ118" s="30"/>
      <c r="AR118" s="34"/>
      <c r="AS118" s="31"/>
      <c r="AT118" s="31"/>
    </row>
    <row r="119" spans="1:46" s="102" customFormat="1">
      <c r="A119" s="217" t="s">
        <v>227</v>
      </c>
      <c r="B119" s="393">
        <v>190156447.19999999</v>
      </c>
      <c r="C119" s="392">
        <v>147.44</v>
      </c>
      <c r="D119" s="393">
        <v>189754188.46000001</v>
      </c>
      <c r="E119" s="392">
        <v>147.44</v>
      </c>
      <c r="F119" s="25">
        <f t="shared" si="102"/>
        <v>-2.1154094216794968E-3</v>
      </c>
      <c r="G119" s="25">
        <f t="shared" si="103"/>
        <v>0</v>
      </c>
      <c r="H119" s="393">
        <v>191758710.68000001</v>
      </c>
      <c r="I119" s="392">
        <v>147.44</v>
      </c>
      <c r="J119" s="25">
        <f t="shared" si="104"/>
        <v>1.0563783789270876E-2</v>
      </c>
      <c r="K119" s="25">
        <f t="shared" si="105"/>
        <v>0</v>
      </c>
      <c r="L119" s="393">
        <v>194291677.41999999</v>
      </c>
      <c r="M119" s="392">
        <v>147.44</v>
      </c>
      <c r="N119" s="25">
        <f t="shared" si="106"/>
        <v>1.3209135225293118E-2</v>
      </c>
      <c r="O119" s="25">
        <f t="shared" si="107"/>
        <v>0</v>
      </c>
      <c r="P119" s="393">
        <v>195616825.25999999</v>
      </c>
      <c r="Q119" s="392">
        <v>150.49</v>
      </c>
      <c r="R119" s="25">
        <f t="shared" si="108"/>
        <v>6.8204045463843193E-3</v>
      </c>
      <c r="S119" s="25">
        <f t="shared" si="109"/>
        <v>2.0686380900705448E-2</v>
      </c>
      <c r="T119" s="393">
        <v>199706594.05000001</v>
      </c>
      <c r="U119" s="392">
        <v>150.49</v>
      </c>
      <c r="V119" s="25">
        <f t="shared" si="110"/>
        <v>2.0907039998037957E-2</v>
      </c>
      <c r="W119" s="25">
        <f t="shared" si="111"/>
        <v>0</v>
      </c>
      <c r="X119" s="393">
        <v>196711434.91999999</v>
      </c>
      <c r="Y119" s="392">
        <v>150.49</v>
      </c>
      <c r="Z119" s="25">
        <f t="shared" si="112"/>
        <v>-1.4997797865653525E-2</v>
      </c>
      <c r="AA119" s="25">
        <f t="shared" si="113"/>
        <v>0</v>
      </c>
      <c r="AB119" s="393">
        <v>196962817.83000001</v>
      </c>
      <c r="AC119" s="392">
        <v>150.49</v>
      </c>
      <c r="AD119" s="25">
        <f t="shared" si="114"/>
        <v>1.2779272852249815E-3</v>
      </c>
      <c r="AE119" s="25">
        <f t="shared" si="115"/>
        <v>0</v>
      </c>
      <c r="AF119" s="393">
        <v>203347299.5</v>
      </c>
      <c r="AG119" s="392">
        <v>150.49</v>
      </c>
      <c r="AH119" s="25">
        <f t="shared" si="116"/>
        <v>3.241465440198199E-2</v>
      </c>
      <c r="AI119" s="25">
        <f t="shared" si="117"/>
        <v>0</v>
      </c>
      <c r="AJ119" s="26">
        <f t="shared" si="54"/>
        <v>8.5099672448575268E-3</v>
      </c>
      <c r="AK119" s="26">
        <f t="shared" si="55"/>
        <v>2.5857976125881811E-3</v>
      </c>
      <c r="AL119" s="27">
        <f t="shared" si="56"/>
        <v>7.1635367579068784E-2</v>
      </c>
      <c r="AM119" s="27">
        <f t="shared" si="57"/>
        <v>2.0686380900705448E-2</v>
      </c>
      <c r="AN119" s="28">
        <f t="shared" si="58"/>
        <v>1.4501687078802939E-2</v>
      </c>
      <c r="AO119" s="85">
        <f t="shared" si="59"/>
        <v>7.3137401065483517E-3</v>
      </c>
      <c r="AP119" s="32"/>
      <c r="AQ119" s="30"/>
      <c r="AR119" s="34"/>
      <c r="AS119" s="31"/>
      <c r="AT119" s="31"/>
    </row>
    <row r="120" spans="1:46" s="113" customFormat="1">
      <c r="A120" s="217" t="s">
        <v>80</v>
      </c>
      <c r="B120" s="392">
        <v>1037333414.83</v>
      </c>
      <c r="C120" s="392">
        <v>1.3504</v>
      </c>
      <c r="D120" s="392">
        <v>1038313429.66</v>
      </c>
      <c r="E120" s="392">
        <v>1.3514999999999999</v>
      </c>
      <c r="F120" s="25">
        <f t="shared" si="102"/>
        <v>9.4474429917070608E-4</v>
      </c>
      <c r="G120" s="25">
        <f t="shared" si="103"/>
        <v>8.145734597155501E-4</v>
      </c>
      <c r="H120" s="392">
        <v>1049974333.03</v>
      </c>
      <c r="I120" s="392">
        <v>1.3669</v>
      </c>
      <c r="J120" s="25">
        <f t="shared" si="104"/>
        <v>1.1230619807949914E-2</v>
      </c>
      <c r="K120" s="25">
        <f t="shared" si="105"/>
        <v>1.1394746577876494E-2</v>
      </c>
      <c r="L120" s="392">
        <v>1072282569.5599999</v>
      </c>
      <c r="M120" s="392">
        <v>1.3963000000000001</v>
      </c>
      <c r="N120" s="25">
        <f t="shared" si="106"/>
        <v>2.1246458916403414E-2</v>
      </c>
      <c r="O120" s="25">
        <f t="shared" si="107"/>
        <v>2.1508522935108708E-2</v>
      </c>
      <c r="P120" s="392">
        <v>1089944950.45</v>
      </c>
      <c r="Q120" s="392">
        <v>1.4189000000000001</v>
      </c>
      <c r="R120" s="25">
        <f t="shared" si="108"/>
        <v>1.6471759768740511E-2</v>
      </c>
      <c r="S120" s="25">
        <f t="shared" si="109"/>
        <v>1.6185633459858163E-2</v>
      </c>
      <c r="T120" s="392">
        <v>1107224290.6199999</v>
      </c>
      <c r="U120" s="392">
        <v>1.4413</v>
      </c>
      <c r="V120" s="25">
        <f t="shared" si="110"/>
        <v>1.5853406323746721E-2</v>
      </c>
      <c r="W120" s="25">
        <f t="shared" si="111"/>
        <v>1.5786877158362092E-2</v>
      </c>
      <c r="X120" s="392">
        <v>1108088382.51</v>
      </c>
      <c r="Y120" s="392">
        <v>1.4403999999999999</v>
      </c>
      <c r="Z120" s="25">
        <f t="shared" si="112"/>
        <v>7.8041269264084612E-4</v>
      </c>
      <c r="AA120" s="25">
        <f t="shared" si="113"/>
        <v>-6.2443627280935467E-4</v>
      </c>
      <c r="AB120" s="392">
        <v>1140276730.72</v>
      </c>
      <c r="AC120" s="392">
        <v>1.4814000000000001</v>
      </c>
      <c r="AD120" s="25">
        <f t="shared" si="114"/>
        <v>2.9048538652745558E-2</v>
      </c>
      <c r="AE120" s="25">
        <f t="shared" si="115"/>
        <v>2.8464315467925681E-2</v>
      </c>
      <c r="AF120" s="392">
        <v>1198519067.8099999</v>
      </c>
      <c r="AG120" s="392">
        <v>1.5573999999999999</v>
      </c>
      <c r="AH120" s="25">
        <f t="shared" si="116"/>
        <v>5.1077370537259151E-2</v>
      </c>
      <c r="AI120" s="25">
        <f t="shared" si="117"/>
        <v>5.1302821655190928E-2</v>
      </c>
      <c r="AJ120" s="26">
        <f t="shared" si="54"/>
        <v>1.8331663874832101E-2</v>
      </c>
      <c r="AK120" s="26">
        <f t="shared" si="55"/>
        <v>1.8104131805153533E-2</v>
      </c>
      <c r="AL120" s="27">
        <f t="shared" si="56"/>
        <v>0.15429410192879811</v>
      </c>
      <c r="AM120" s="27">
        <f t="shared" si="57"/>
        <v>0.1523492415834258</v>
      </c>
      <c r="AN120" s="28">
        <f t="shared" si="58"/>
        <v>1.6327041377357576E-2</v>
      </c>
      <c r="AO120" s="85">
        <f t="shared" si="59"/>
        <v>1.6582394008660597E-2</v>
      </c>
      <c r="AP120" s="32"/>
      <c r="AQ120" s="30"/>
      <c r="AR120" s="34"/>
      <c r="AS120" s="31"/>
      <c r="AT120" s="31"/>
    </row>
    <row r="121" spans="1:46">
      <c r="A121" s="217" t="s">
        <v>8</v>
      </c>
      <c r="B121" s="392">
        <v>4555555435.6400003</v>
      </c>
      <c r="C121" s="392">
        <v>512.8759</v>
      </c>
      <c r="D121" s="392">
        <v>4568848372.5600004</v>
      </c>
      <c r="E121" s="392">
        <v>514.95939999999996</v>
      </c>
      <c r="F121" s="25">
        <f t="shared" si="102"/>
        <v>2.9179618397361419E-3</v>
      </c>
      <c r="G121" s="25">
        <f t="shared" si="103"/>
        <v>4.0623862419738544E-3</v>
      </c>
      <c r="H121" s="392">
        <v>4492268069.9899998</v>
      </c>
      <c r="I121" s="392">
        <v>506.26119999999997</v>
      </c>
      <c r="J121" s="25">
        <f t="shared" si="104"/>
        <v>-1.67614016323968E-2</v>
      </c>
      <c r="K121" s="25">
        <f t="shared" si="105"/>
        <v>-1.6891040342209476E-2</v>
      </c>
      <c r="L121" s="392">
        <v>4577038304.8699999</v>
      </c>
      <c r="M121" s="392">
        <v>516.39940000000001</v>
      </c>
      <c r="N121" s="25">
        <f t="shared" si="106"/>
        <v>1.8870252967826299E-2</v>
      </c>
      <c r="O121" s="25">
        <f t="shared" si="107"/>
        <v>2.0025631037891192E-2</v>
      </c>
      <c r="P121" s="392">
        <v>4580231858.8800001</v>
      </c>
      <c r="Q121" s="392">
        <v>516.75980000000004</v>
      </c>
      <c r="R121" s="25">
        <f t="shared" si="108"/>
        <v>6.977337302600823E-4</v>
      </c>
      <c r="S121" s="25">
        <f t="shared" si="109"/>
        <v>6.9790940888007794E-4</v>
      </c>
      <c r="T121" s="392">
        <v>4878456703.3800001</v>
      </c>
      <c r="U121" s="392">
        <v>550.34079999999994</v>
      </c>
      <c r="V121" s="25">
        <f t="shared" si="110"/>
        <v>6.5111298660964434E-2</v>
      </c>
      <c r="W121" s="25">
        <f t="shared" si="111"/>
        <v>6.4983770022358361E-2</v>
      </c>
      <c r="X121" s="392">
        <v>4881567450.2799997</v>
      </c>
      <c r="Y121" s="392">
        <v>551.45979999999997</v>
      </c>
      <c r="Z121" s="25">
        <f t="shared" si="112"/>
        <v>6.3764979155075052E-4</v>
      </c>
      <c r="AA121" s="25">
        <f t="shared" si="113"/>
        <v>2.0332855568768087E-3</v>
      </c>
      <c r="AB121" s="392">
        <v>4870560924.9799995</v>
      </c>
      <c r="AC121" s="392">
        <v>553.12210000000005</v>
      </c>
      <c r="AD121" s="25">
        <f t="shared" si="114"/>
        <v>-2.254711301667843E-3</v>
      </c>
      <c r="AE121" s="25">
        <f t="shared" si="115"/>
        <v>3.014362968978107E-3</v>
      </c>
      <c r="AF121" s="392">
        <v>4967832864.75</v>
      </c>
      <c r="AG121" s="392">
        <v>563.84389999999996</v>
      </c>
      <c r="AH121" s="25">
        <f t="shared" si="116"/>
        <v>1.9971403965221911E-2</v>
      </c>
      <c r="AI121" s="25">
        <f t="shared" si="117"/>
        <v>1.9384146827617112E-2</v>
      </c>
      <c r="AJ121" s="26">
        <f t="shared" si="54"/>
        <v>1.114877350268687E-2</v>
      </c>
      <c r="AK121" s="26">
        <f t="shared" si="55"/>
        <v>1.2163806465295756E-2</v>
      </c>
      <c r="AL121" s="27">
        <f t="shared" si="56"/>
        <v>8.7327146723943927E-2</v>
      </c>
      <c r="AM121" s="27">
        <f t="shared" si="57"/>
        <v>9.4928842934025495E-2</v>
      </c>
      <c r="AN121" s="28">
        <f t="shared" si="58"/>
        <v>2.4771814831909818E-2</v>
      </c>
      <c r="AO121" s="85">
        <f t="shared" si="59"/>
        <v>2.4294366921591527E-2</v>
      </c>
      <c r="AP121" s="32"/>
      <c r="AQ121" s="58">
        <f>SUM(AQ113:AQ117)</f>
        <v>4923038917.1999998</v>
      </c>
      <c r="AR121" s="15"/>
      <c r="AS121" s="31" t="e">
        <f>(#REF!/AQ121)-1</f>
        <v>#REF!</v>
      </c>
      <c r="AT121" s="31" t="e">
        <f>(#REF!/AR121)-1</f>
        <v>#REF!</v>
      </c>
    </row>
    <row r="122" spans="1:46">
      <c r="A122" s="217" t="s">
        <v>16</v>
      </c>
      <c r="B122" s="392">
        <v>2499880961.2199998</v>
      </c>
      <c r="C122" s="392">
        <v>13.782999999999999</v>
      </c>
      <c r="D122" s="392">
        <v>2507940931.1100001</v>
      </c>
      <c r="E122" s="392">
        <v>13.674099999999999</v>
      </c>
      <c r="F122" s="25">
        <f t="shared" si="102"/>
        <v>3.2241414751472373E-3</v>
      </c>
      <c r="G122" s="25">
        <f t="shared" si="103"/>
        <v>-7.9010375099760732E-3</v>
      </c>
      <c r="H122" s="392">
        <v>2510042259.3699999</v>
      </c>
      <c r="I122" s="392">
        <v>13.8705</v>
      </c>
      <c r="J122" s="25">
        <f t="shared" si="104"/>
        <v>8.3786991708361975E-4</v>
      </c>
      <c r="K122" s="25">
        <f t="shared" si="105"/>
        <v>1.4362919680271504E-2</v>
      </c>
      <c r="L122" s="392">
        <v>2545829160.3699999</v>
      </c>
      <c r="M122" s="392">
        <v>13.983599999999999</v>
      </c>
      <c r="N122" s="25">
        <f t="shared" si="106"/>
        <v>1.4257489437242471E-2</v>
      </c>
      <c r="O122" s="25">
        <f t="shared" si="107"/>
        <v>8.1539958905590508E-3</v>
      </c>
      <c r="P122" s="392">
        <v>2556225810.4099998</v>
      </c>
      <c r="Q122" s="392">
        <v>14.084099999999999</v>
      </c>
      <c r="R122" s="25">
        <f t="shared" si="108"/>
        <v>4.0837972169699543E-3</v>
      </c>
      <c r="S122" s="25">
        <f t="shared" si="109"/>
        <v>7.1869904745559274E-3</v>
      </c>
      <c r="T122" s="392">
        <v>2593236789.4400001</v>
      </c>
      <c r="U122" s="392">
        <v>14.137</v>
      </c>
      <c r="V122" s="25">
        <f t="shared" si="110"/>
        <v>1.4478759614771247E-2</v>
      </c>
      <c r="W122" s="25">
        <f t="shared" si="111"/>
        <v>3.7560085486471311E-3</v>
      </c>
      <c r="X122" s="392">
        <v>2589482582.54</v>
      </c>
      <c r="Y122" s="392">
        <v>14.3401</v>
      </c>
      <c r="Z122" s="25">
        <f t="shared" si="112"/>
        <v>-1.4476915163658473E-3</v>
      </c>
      <c r="AA122" s="25">
        <f t="shared" si="113"/>
        <v>1.4366555846360554E-2</v>
      </c>
      <c r="AB122" s="392">
        <v>2600183971.02</v>
      </c>
      <c r="AC122" s="392">
        <v>14.371</v>
      </c>
      <c r="AD122" s="25">
        <f t="shared" si="114"/>
        <v>4.1326358215945692E-3</v>
      </c>
      <c r="AE122" s="25">
        <f t="shared" si="115"/>
        <v>2.154796689005015E-3</v>
      </c>
      <c r="AF122" s="392">
        <v>2621902464.75</v>
      </c>
      <c r="AG122" s="392">
        <v>14.436</v>
      </c>
      <c r="AH122" s="25">
        <f t="shared" si="116"/>
        <v>8.3526757998897624E-3</v>
      </c>
      <c r="AI122" s="25">
        <f t="shared" si="117"/>
        <v>4.5229977037088229E-3</v>
      </c>
      <c r="AJ122" s="26">
        <f t="shared" si="54"/>
        <v>5.9899597207916265E-3</v>
      </c>
      <c r="AK122" s="26">
        <f t="shared" si="55"/>
        <v>5.825403415391491E-3</v>
      </c>
      <c r="AL122" s="27">
        <f t="shared" si="56"/>
        <v>4.5440278208450924E-2</v>
      </c>
      <c r="AM122" s="27">
        <f t="shared" si="57"/>
        <v>5.5718475073313838E-2</v>
      </c>
      <c r="AN122" s="28">
        <f t="shared" si="58"/>
        <v>5.8869072879612731E-3</v>
      </c>
      <c r="AO122" s="85">
        <f t="shared" si="59"/>
        <v>7.18116505695839E-3</v>
      </c>
      <c r="AP122" s="32"/>
      <c r="AQ122" s="14" t="e">
        <f>SUM(AQ21,AQ53,#REF!,#REF!,AQ91,AQ111,AQ121)</f>
        <v>#REF!</v>
      </c>
      <c r="AR122" s="15"/>
      <c r="AS122" s="31" t="e">
        <f>(#REF!/AQ122)-1</f>
        <v>#REF!</v>
      </c>
      <c r="AT122" s="31" t="e">
        <f>(#REF!/AR122)-1</f>
        <v>#REF!</v>
      </c>
    </row>
    <row r="123" spans="1:46" ht="15" customHeight="1">
      <c r="A123" s="218" t="s">
        <v>136</v>
      </c>
      <c r="B123" s="392">
        <v>4800142310.7399998</v>
      </c>
      <c r="C123" s="392">
        <v>196.52</v>
      </c>
      <c r="D123" s="392">
        <v>4814244609.0100002</v>
      </c>
      <c r="E123" s="392">
        <v>197.13</v>
      </c>
      <c r="F123" s="25">
        <f t="shared" si="102"/>
        <v>2.9378917034287716E-3</v>
      </c>
      <c r="G123" s="25">
        <f t="shared" si="103"/>
        <v>3.1040097699978893E-3</v>
      </c>
      <c r="H123" s="392">
        <v>4860065363.0200005</v>
      </c>
      <c r="I123" s="392">
        <v>199.02</v>
      </c>
      <c r="J123" s="25">
        <f t="shared" si="104"/>
        <v>9.51774530198265E-3</v>
      </c>
      <c r="K123" s="25">
        <f t="shared" si="105"/>
        <v>9.5875817988130413E-3</v>
      </c>
      <c r="L123" s="392">
        <v>4908186262.0100002</v>
      </c>
      <c r="M123" s="392">
        <v>201.01</v>
      </c>
      <c r="N123" s="25">
        <f t="shared" si="106"/>
        <v>9.9012863810740773E-3</v>
      </c>
      <c r="O123" s="25">
        <f t="shared" si="107"/>
        <v>9.9989950758716736E-3</v>
      </c>
      <c r="P123" s="392">
        <v>4939128010.3599997</v>
      </c>
      <c r="Q123" s="392">
        <v>202.28</v>
      </c>
      <c r="R123" s="25">
        <f t="shared" si="108"/>
        <v>6.3041104591919387E-3</v>
      </c>
      <c r="S123" s="25">
        <f t="shared" si="109"/>
        <v>6.3180936271827783E-3</v>
      </c>
      <c r="T123" s="392">
        <v>5021281026.2399998</v>
      </c>
      <c r="U123" s="392">
        <v>205.75</v>
      </c>
      <c r="V123" s="25">
        <f t="shared" si="110"/>
        <v>1.6633101168400818E-2</v>
      </c>
      <c r="W123" s="25">
        <f t="shared" si="111"/>
        <v>1.715443939094324E-2</v>
      </c>
      <c r="X123" s="392">
        <v>5017646063.1899996</v>
      </c>
      <c r="Y123" s="392">
        <v>205.89</v>
      </c>
      <c r="Z123" s="25">
        <f t="shared" si="112"/>
        <v>-7.2391149409976321E-4</v>
      </c>
      <c r="AA123" s="25">
        <f t="shared" si="113"/>
        <v>6.8043742405825692E-4</v>
      </c>
      <c r="AB123" s="392">
        <v>5048291896.7399998</v>
      </c>
      <c r="AC123" s="392">
        <v>207.22</v>
      </c>
      <c r="AD123" s="25">
        <f t="shared" si="114"/>
        <v>6.1076116497776473E-3</v>
      </c>
      <c r="AE123" s="25">
        <f t="shared" si="115"/>
        <v>6.4597600660547504E-3</v>
      </c>
      <c r="AF123" s="392">
        <v>5172019010.4799995</v>
      </c>
      <c r="AG123" s="392">
        <v>212.34</v>
      </c>
      <c r="AH123" s="25">
        <f t="shared" si="116"/>
        <v>2.4508708345469914E-2</v>
      </c>
      <c r="AI123" s="25">
        <f t="shared" si="117"/>
        <v>2.4708039764501519E-2</v>
      </c>
      <c r="AJ123" s="26">
        <f t="shared" si="54"/>
        <v>9.3983179394032564E-3</v>
      </c>
      <c r="AK123" s="26">
        <f t="shared" si="55"/>
        <v>9.7514196146778944E-3</v>
      </c>
      <c r="AL123" s="27">
        <f t="shared" si="56"/>
        <v>7.4315792097562727E-2</v>
      </c>
      <c r="AM123" s="27">
        <f t="shared" si="57"/>
        <v>7.7157205904732962E-2</v>
      </c>
      <c r="AN123" s="28">
        <f t="shared" si="58"/>
        <v>7.9779403931152983E-3</v>
      </c>
      <c r="AO123" s="85">
        <f t="shared" si="59"/>
        <v>7.8165287328374779E-3</v>
      </c>
      <c r="AP123" s="32"/>
      <c r="AQ123" s="59"/>
      <c r="AR123" s="60"/>
      <c r="AS123" s="31" t="e">
        <f>(#REF!/AQ123)-1</f>
        <v>#REF!</v>
      </c>
      <c r="AT123" s="31" t="e">
        <f>(#REF!/AR123)-1</f>
        <v>#REF!</v>
      </c>
    </row>
    <row r="124" spans="1:46" ht="17.25" customHeight="1">
      <c r="A124" s="217" t="s">
        <v>134</v>
      </c>
      <c r="B124" s="392">
        <v>4740975489.0100002</v>
      </c>
      <c r="C124" s="392">
        <v>192.61680000000001</v>
      </c>
      <c r="D124" s="392">
        <v>4783341375.6199999</v>
      </c>
      <c r="E124" s="392">
        <v>194.339</v>
      </c>
      <c r="F124" s="25">
        <f t="shared" si="102"/>
        <v>8.9361117154491774E-3</v>
      </c>
      <c r="G124" s="25">
        <f t="shared" si="103"/>
        <v>8.9410684841612284E-3</v>
      </c>
      <c r="H124" s="392">
        <v>4869885766.9099998</v>
      </c>
      <c r="I124" s="392">
        <v>197.87049999999999</v>
      </c>
      <c r="J124" s="25">
        <f t="shared" si="104"/>
        <v>1.8092873682632026E-2</v>
      </c>
      <c r="K124" s="25">
        <f t="shared" si="105"/>
        <v>1.8171854337009012E-2</v>
      </c>
      <c r="L124" s="392">
        <v>4630574863.1599998</v>
      </c>
      <c r="M124" s="392">
        <v>188.23509999999999</v>
      </c>
      <c r="N124" s="25">
        <f t="shared" si="106"/>
        <v>-4.9140968639567413E-2</v>
      </c>
      <c r="O124" s="25">
        <f t="shared" si="107"/>
        <v>-4.8695485178437435E-2</v>
      </c>
      <c r="P124" s="392">
        <v>4671856027.5500002</v>
      </c>
      <c r="Q124" s="392">
        <v>189.93020000000001</v>
      </c>
      <c r="R124" s="25">
        <f t="shared" si="108"/>
        <v>8.9149113468450052E-3</v>
      </c>
      <c r="S124" s="25">
        <f t="shared" si="109"/>
        <v>9.0052280366415462E-3</v>
      </c>
      <c r="T124" s="392">
        <v>4786509462.2799997</v>
      </c>
      <c r="U124" s="392">
        <v>193.59049999999999</v>
      </c>
      <c r="V124" s="25">
        <f t="shared" si="110"/>
        <v>2.4541303082519374E-2</v>
      </c>
      <c r="W124" s="25">
        <f t="shared" si="111"/>
        <v>1.9271816698976665E-2</v>
      </c>
      <c r="X124" s="392">
        <v>4570654125.75</v>
      </c>
      <c r="Y124" s="392">
        <v>185.78149999999999</v>
      </c>
      <c r="Z124" s="25">
        <f t="shared" si="112"/>
        <v>-4.509660708519303E-2</v>
      </c>
      <c r="AA124" s="25">
        <f t="shared" si="113"/>
        <v>-4.0337723183730592E-2</v>
      </c>
      <c r="AB124" s="392">
        <v>4358487953.5100002</v>
      </c>
      <c r="AC124" s="392">
        <v>197.07220000000001</v>
      </c>
      <c r="AD124" s="25">
        <f t="shared" si="114"/>
        <v>-4.6419214056190559E-2</v>
      </c>
      <c r="AE124" s="25">
        <f t="shared" si="115"/>
        <v>6.0774081380546588E-2</v>
      </c>
      <c r="AF124" s="392">
        <v>4466328069.54</v>
      </c>
      <c r="AG124" s="392">
        <v>201.97900000000001</v>
      </c>
      <c r="AH124" s="25">
        <f t="shared" si="116"/>
        <v>2.47425522750736E-2</v>
      </c>
      <c r="AI124" s="25">
        <f t="shared" si="117"/>
        <v>2.4898488980180888E-2</v>
      </c>
      <c r="AJ124" s="26">
        <f t="shared" si="54"/>
        <v>-6.9286297098039781E-3</v>
      </c>
      <c r="AK124" s="26">
        <f t="shared" si="55"/>
        <v>6.5036661944184882E-3</v>
      </c>
      <c r="AL124" s="27">
        <f t="shared" si="56"/>
        <v>-6.6274447334194242E-2</v>
      </c>
      <c r="AM124" s="27">
        <f t="shared" si="57"/>
        <v>3.9312747312685643E-2</v>
      </c>
      <c r="AN124" s="28">
        <f t="shared" si="58"/>
        <v>3.3637534712755116E-2</v>
      </c>
      <c r="AO124" s="85">
        <f t="shared" si="59"/>
        <v>3.5528822433068569E-2</v>
      </c>
      <c r="AP124" s="32"/>
      <c r="AQ124" s="482" t="s">
        <v>90</v>
      </c>
      <c r="AR124" s="482"/>
      <c r="AS124" s="31" t="e">
        <f>(#REF!/AQ124)-1</f>
        <v>#REF!</v>
      </c>
      <c r="AT124" s="31" t="e">
        <f>(#REF!/AR124)-1</f>
        <v>#REF!</v>
      </c>
    </row>
    <row r="125" spans="1:46" ht="16.5" customHeight="1">
      <c r="A125" s="217" t="s">
        <v>10</v>
      </c>
      <c r="B125" s="393">
        <v>2177554317.3712001</v>
      </c>
      <c r="C125" s="392">
        <v>4107.2719063138002</v>
      </c>
      <c r="D125" s="393">
        <v>2189093996.7656002</v>
      </c>
      <c r="E125" s="392">
        <v>4129.9164908289604</v>
      </c>
      <c r="F125" s="25">
        <f t="shared" si="102"/>
        <v>5.2993761406287766E-3</v>
      </c>
      <c r="G125" s="25">
        <f t="shared" si="103"/>
        <v>5.513290824586117E-3</v>
      </c>
      <c r="H125" s="393">
        <v>2214925494.7624998</v>
      </c>
      <c r="I125" s="392">
        <v>4179.5624774555499</v>
      </c>
      <c r="J125" s="25">
        <f t="shared" si="104"/>
        <v>1.1800086261743808E-2</v>
      </c>
      <c r="K125" s="25">
        <f t="shared" si="105"/>
        <v>1.202106307399561E-2</v>
      </c>
      <c r="L125" s="393">
        <v>2249286223.1368999</v>
      </c>
      <c r="M125" s="392">
        <v>4244.4106583044004</v>
      </c>
      <c r="N125" s="25">
        <f t="shared" si="106"/>
        <v>1.5513266001791424E-2</v>
      </c>
      <c r="O125" s="25">
        <f t="shared" si="107"/>
        <v>1.5515542882452372E-2</v>
      </c>
      <c r="P125" s="393">
        <v>2272561503.1782999</v>
      </c>
      <c r="Q125" s="392">
        <v>4288.2251632296202</v>
      </c>
      <c r="R125" s="25">
        <f t="shared" si="108"/>
        <v>1.034785159931304E-2</v>
      </c>
      <c r="S125" s="25">
        <f t="shared" si="109"/>
        <v>1.0322871289443813E-2</v>
      </c>
      <c r="T125" s="393">
        <v>2312711997.5020199</v>
      </c>
      <c r="U125" s="392">
        <v>4363.69589428992</v>
      </c>
      <c r="V125" s="25">
        <f t="shared" si="110"/>
        <v>1.7667506145627895E-2</v>
      </c>
      <c r="W125" s="25">
        <f t="shared" si="111"/>
        <v>1.7599526187999898E-2</v>
      </c>
      <c r="X125" s="393">
        <v>2287511718.1623902</v>
      </c>
      <c r="Y125" s="392">
        <v>4316.4085451069895</v>
      </c>
      <c r="Z125" s="25">
        <f t="shared" si="112"/>
        <v>-1.0896419167993545E-2</v>
      </c>
      <c r="AA125" s="25">
        <f t="shared" si="113"/>
        <v>-1.0836536350942323E-2</v>
      </c>
      <c r="AB125" s="393">
        <v>2295295653.5358701</v>
      </c>
      <c r="AC125" s="392">
        <v>4331.0935922234903</v>
      </c>
      <c r="AD125" s="25">
        <f t="shared" si="114"/>
        <v>3.4027958465423095E-3</v>
      </c>
      <c r="AE125" s="25">
        <f t="shared" si="115"/>
        <v>3.4021448533057617E-3</v>
      </c>
      <c r="AF125" s="393">
        <v>2316028075.9534702</v>
      </c>
      <c r="AG125" s="392">
        <v>4371.0717596189597</v>
      </c>
      <c r="AH125" s="25">
        <f t="shared" si="116"/>
        <v>9.0325716365393521E-3</v>
      </c>
      <c r="AI125" s="25">
        <f t="shared" si="117"/>
        <v>9.2305018453654551E-3</v>
      </c>
      <c r="AJ125" s="26">
        <f t="shared" si="54"/>
        <v>7.7708793080241327E-3</v>
      </c>
      <c r="AK125" s="26">
        <f t="shared" si="55"/>
        <v>7.846050575775837E-3</v>
      </c>
      <c r="AL125" s="27">
        <f t="shared" si="56"/>
        <v>5.7984755051823225E-2</v>
      </c>
      <c r="AM125" s="27">
        <f t="shared" si="57"/>
        <v>5.8392286944667603E-2</v>
      </c>
      <c r="AN125" s="28">
        <f t="shared" si="58"/>
        <v>8.9123626040466166E-3</v>
      </c>
      <c r="AO125" s="85">
        <f t="shared" si="59"/>
        <v>8.8935176608550756E-3</v>
      </c>
      <c r="AP125" s="32"/>
      <c r="AQ125" s="61" t="s">
        <v>78</v>
      </c>
      <c r="AR125" s="62" t="s">
        <v>79</v>
      </c>
      <c r="AS125" s="31" t="e">
        <f>(#REF!/AQ125)-1</f>
        <v>#REF!</v>
      </c>
      <c r="AT125" s="31" t="e">
        <f>(#REF!/AR125)-1</f>
        <v>#REF!</v>
      </c>
    </row>
    <row r="126" spans="1:46" ht="14.25" customHeight="1">
      <c r="A126" s="217" t="s">
        <v>170</v>
      </c>
      <c r="B126" s="392">
        <v>2043776397.8199999</v>
      </c>
      <c r="C126" s="392">
        <v>1.2864</v>
      </c>
      <c r="D126" s="392">
        <v>1873366835.0999999</v>
      </c>
      <c r="E126" s="392">
        <v>1.3032999999999999</v>
      </c>
      <c r="F126" s="25">
        <f t="shared" si="102"/>
        <v>-8.3379748832488665E-2</v>
      </c>
      <c r="G126" s="25">
        <f t="shared" si="103"/>
        <v>1.3137437810945207E-2</v>
      </c>
      <c r="H126" s="392">
        <v>1876623077.8399999</v>
      </c>
      <c r="I126" s="392">
        <v>1.306</v>
      </c>
      <c r="J126" s="25">
        <f t="shared" si="104"/>
        <v>1.7381767836336186E-3</v>
      </c>
      <c r="K126" s="25">
        <f t="shared" si="105"/>
        <v>2.0716642369371188E-3</v>
      </c>
      <c r="L126" s="392">
        <v>1870346405.3099999</v>
      </c>
      <c r="M126" s="392">
        <v>1.3095000000000001</v>
      </c>
      <c r="N126" s="25">
        <f t="shared" si="106"/>
        <v>-3.3446634031722793E-3</v>
      </c>
      <c r="O126" s="25">
        <f t="shared" si="107"/>
        <v>2.6799387442573187E-3</v>
      </c>
      <c r="P126" s="392">
        <v>1882323926.4400001</v>
      </c>
      <c r="Q126" s="392">
        <v>1.3180000000000001</v>
      </c>
      <c r="R126" s="25">
        <f t="shared" si="108"/>
        <v>6.403905231670122E-3</v>
      </c>
      <c r="S126" s="25">
        <f t="shared" si="109"/>
        <v>6.4910271095837734E-3</v>
      </c>
      <c r="T126" s="392">
        <v>1898525899.24</v>
      </c>
      <c r="U126" s="392">
        <v>1.3263</v>
      </c>
      <c r="V126" s="25">
        <f t="shared" si="110"/>
        <v>8.6074307256150135E-3</v>
      </c>
      <c r="W126" s="25">
        <f t="shared" si="111"/>
        <v>6.2974203338391306E-3</v>
      </c>
      <c r="X126" s="392">
        <v>1909873407.26</v>
      </c>
      <c r="Y126" s="392">
        <v>1.3343</v>
      </c>
      <c r="Z126" s="25">
        <f t="shared" si="112"/>
        <v>5.9770098604093359E-3</v>
      </c>
      <c r="AA126" s="25">
        <f t="shared" si="113"/>
        <v>6.0318178391012642E-3</v>
      </c>
      <c r="AB126" s="392">
        <v>1912302860.9400001</v>
      </c>
      <c r="AC126" s="392">
        <v>1.3361000000000001</v>
      </c>
      <c r="AD126" s="25">
        <f t="shared" si="114"/>
        <v>1.2720495875616607E-3</v>
      </c>
      <c r="AE126" s="25">
        <f t="shared" si="115"/>
        <v>1.349021959079685E-3</v>
      </c>
      <c r="AF126" s="392">
        <v>1906203341.72</v>
      </c>
      <c r="AG126" s="392">
        <v>1.3318000000000001</v>
      </c>
      <c r="AH126" s="25">
        <f t="shared" si="116"/>
        <v>-3.1896198790403868E-3</v>
      </c>
      <c r="AI126" s="25">
        <f t="shared" si="117"/>
        <v>-3.218321981887561E-3</v>
      </c>
      <c r="AJ126" s="26">
        <f t="shared" si="54"/>
        <v>-8.2394324907264487E-3</v>
      </c>
      <c r="AK126" s="26">
        <f t="shared" si="55"/>
        <v>4.355000756481992E-3</v>
      </c>
      <c r="AL126" s="27">
        <f t="shared" si="56"/>
        <v>1.7528070853377372E-2</v>
      </c>
      <c r="AM126" s="27">
        <f t="shared" si="57"/>
        <v>2.1867566945446323E-2</v>
      </c>
      <c r="AN126" s="28">
        <f t="shared" si="58"/>
        <v>3.0673159190165313E-2</v>
      </c>
      <c r="AO126" s="85">
        <f t="shared" si="59"/>
        <v>4.8209231892426237E-3</v>
      </c>
      <c r="AP126" s="32"/>
      <c r="AQ126" s="55">
        <v>1901056000</v>
      </c>
      <c r="AR126" s="49">
        <v>12.64</v>
      </c>
      <c r="AS126" s="31" t="e">
        <f>(#REF!/AQ126)-1</f>
        <v>#REF!</v>
      </c>
      <c r="AT126" s="31" t="e">
        <f>(#REF!/AR126)-1</f>
        <v>#REF!</v>
      </c>
    </row>
    <row r="127" spans="1:46">
      <c r="A127" s="217" t="s">
        <v>31</v>
      </c>
      <c r="B127" s="393">
        <v>1120125502.5599999</v>
      </c>
      <c r="C127" s="392">
        <v>552.20000000000005</v>
      </c>
      <c r="D127" s="393">
        <v>1129719082.3</v>
      </c>
      <c r="E127" s="392">
        <v>552.20000000000005</v>
      </c>
      <c r="F127" s="25">
        <f t="shared" si="102"/>
        <v>8.5647364675425081E-3</v>
      </c>
      <c r="G127" s="25">
        <f t="shared" si="103"/>
        <v>0</v>
      </c>
      <c r="H127" s="393">
        <v>1129719082.3</v>
      </c>
      <c r="I127" s="392">
        <v>552.20000000000005</v>
      </c>
      <c r="J127" s="25">
        <f t="shared" si="104"/>
        <v>0</v>
      </c>
      <c r="K127" s="25">
        <f t="shared" si="105"/>
        <v>0</v>
      </c>
      <c r="L127" s="393">
        <v>1130047553.23</v>
      </c>
      <c r="M127" s="392">
        <v>552.20000000000005</v>
      </c>
      <c r="N127" s="25">
        <f t="shared" si="106"/>
        <v>2.9075452043470076E-4</v>
      </c>
      <c r="O127" s="25">
        <f t="shared" si="107"/>
        <v>0</v>
      </c>
      <c r="P127" s="393">
        <v>1150907532.28</v>
      </c>
      <c r="Q127" s="392">
        <v>552.20000000000005</v>
      </c>
      <c r="R127" s="25">
        <f t="shared" si="108"/>
        <v>1.8459381634318085E-2</v>
      </c>
      <c r="S127" s="25">
        <f t="shared" si="109"/>
        <v>0</v>
      </c>
      <c r="T127" s="393">
        <v>1150729908.24</v>
      </c>
      <c r="U127" s="392">
        <v>552.20000000000005</v>
      </c>
      <c r="V127" s="25">
        <f t="shared" si="110"/>
        <v>-1.5433389305227727E-4</v>
      </c>
      <c r="W127" s="25">
        <f t="shared" si="111"/>
        <v>0</v>
      </c>
      <c r="X127" s="393">
        <v>1150729908.24</v>
      </c>
      <c r="Y127" s="392">
        <v>552.20000000000005</v>
      </c>
      <c r="Z127" s="25">
        <f t="shared" si="112"/>
        <v>0</v>
      </c>
      <c r="AA127" s="25">
        <f t="shared" si="113"/>
        <v>0</v>
      </c>
      <c r="AB127" s="393">
        <v>1157423183.53</v>
      </c>
      <c r="AC127" s="392">
        <v>552.20000000000005</v>
      </c>
      <c r="AD127" s="25">
        <f t="shared" si="114"/>
        <v>5.8165476034572573E-3</v>
      </c>
      <c r="AE127" s="25">
        <f t="shared" si="115"/>
        <v>0</v>
      </c>
      <c r="AF127" s="393">
        <v>1157423183.53</v>
      </c>
      <c r="AG127" s="392">
        <v>552.20000000000005</v>
      </c>
      <c r="AH127" s="25">
        <f t="shared" si="116"/>
        <v>0</v>
      </c>
      <c r="AI127" s="25">
        <f t="shared" si="117"/>
        <v>0</v>
      </c>
      <c r="AJ127" s="26">
        <f t="shared" si="54"/>
        <v>4.1221357915875341E-3</v>
      </c>
      <c r="AK127" s="26">
        <f t="shared" si="55"/>
        <v>0</v>
      </c>
      <c r="AL127" s="27">
        <f t="shared" si="56"/>
        <v>2.4523000154690774E-2</v>
      </c>
      <c r="AM127" s="27">
        <f t="shared" si="57"/>
        <v>0</v>
      </c>
      <c r="AN127" s="28">
        <f t="shared" si="58"/>
        <v>6.6773394655842075E-3</v>
      </c>
      <c r="AO127" s="85">
        <f t="shared" si="59"/>
        <v>0</v>
      </c>
      <c r="AP127" s="32"/>
      <c r="AQ127" s="55">
        <v>106884243.56</v>
      </c>
      <c r="AR127" s="49">
        <v>2.92</v>
      </c>
      <c r="AS127" s="31" t="e">
        <f>(#REF!/AQ127)-1</f>
        <v>#REF!</v>
      </c>
      <c r="AT127" s="31" t="e">
        <f>(#REF!/AR127)-1</f>
        <v>#REF!</v>
      </c>
    </row>
    <row r="128" spans="1:46">
      <c r="A128" s="217" t="s">
        <v>56</v>
      </c>
      <c r="B128" s="393">
        <v>2132474309.5599999</v>
      </c>
      <c r="C128" s="392">
        <v>3.05</v>
      </c>
      <c r="D128" s="393">
        <v>2143978335.8199999</v>
      </c>
      <c r="E128" s="392">
        <v>3.07</v>
      </c>
      <c r="F128" s="25">
        <f t="shared" si="102"/>
        <v>5.3946845729520897E-3</v>
      </c>
      <c r="G128" s="25">
        <f t="shared" si="103"/>
        <v>6.5573770491803339E-3</v>
      </c>
      <c r="H128" s="393">
        <v>2166805695.2600002</v>
      </c>
      <c r="I128" s="392">
        <v>3.09</v>
      </c>
      <c r="J128" s="25">
        <f t="shared" si="104"/>
        <v>1.0647196876301269E-2</v>
      </c>
      <c r="K128" s="25">
        <f t="shared" si="105"/>
        <v>6.5146579804560324E-3</v>
      </c>
      <c r="L128" s="393">
        <v>2187015451.1399999</v>
      </c>
      <c r="M128" s="392">
        <v>3.14</v>
      </c>
      <c r="N128" s="25">
        <f t="shared" si="106"/>
        <v>9.3269811521215426E-3</v>
      </c>
      <c r="O128" s="25">
        <f t="shared" si="107"/>
        <v>1.6181229773462869E-2</v>
      </c>
      <c r="P128" s="393">
        <v>2202103165.6599998</v>
      </c>
      <c r="Q128" s="392">
        <v>3.16</v>
      </c>
      <c r="R128" s="25">
        <f t="shared" si="108"/>
        <v>6.8987690563115985E-3</v>
      </c>
      <c r="S128" s="25">
        <f t="shared" si="109"/>
        <v>6.3694267515923622E-3</v>
      </c>
      <c r="T128" s="393">
        <v>2212470823.1399999</v>
      </c>
      <c r="U128" s="392">
        <v>3.18</v>
      </c>
      <c r="V128" s="25">
        <f t="shared" si="110"/>
        <v>4.708070739679761E-3</v>
      </c>
      <c r="W128" s="25">
        <f t="shared" si="111"/>
        <v>6.329113924050638E-3</v>
      </c>
      <c r="X128" s="393">
        <v>2220160472.3499999</v>
      </c>
      <c r="Y128" s="392">
        <v>3.19</v>
      </c>
      <c r="Z128" s="25">
        <f t="shared" si="112"/>
        <v>3.4755934991660929E-3</v>
      </c>
      <c r="AA128" s="25">
        <f t="shared" si="113"/>
        <v>3.1446540880502474E-3</v>
      </c>
      <c r="AB128" s="393">
        <v>2220554097.4200001</v>
      </c>
      <c r="AC128" s="392">
        <v>3.19</v>
      </c>
      <c r="AD128" s="25">
        <f t="shared" si="114"/>
        <v>1.7729577429307467E-4</v>
      </c>
      <c r="AE128" s="25">
        <f t="shared" si="115"/>
        <v>0</v>
      </c>
      <c r="AF128" s="393">
        <v>2237071708.4200001</v>
      </c>
      <c r="AG128" s="392">
        <v>3.21</v>
      </c>
      <c r="AH128" s="25">
        <f t="shared" si="116"/>
        <v>7.4385087123936102E-3</v>
      </c>
      <c r="AI128" s="25">
        <f t="shared" si="117"/>
        <v>6.269592476489034E-3</v>
      </c>
      <c r="AJ128" s="26">
        <f t="shared" si="54"/>
        <v>6.008387547902381E-3</v>
      </c>
      <c r="AK128" s="26">
        <f t="shared" si="55"/>
        <v>6.4207565054101891E-3</v>
      </c>
      <c r="AL128" s="27">
        <f t="shared" si="56"/>
        <v>4.3420855073330322E-2</v>
      </c>
      <c r="AM128" s="27">
        <f t="shared" si="57"/>
        <v>4.5602605863192223E-2</v>
      </c>
      <c r="AN128" s="28">
        <f t="shared" si="58"/>
        <v>3.3349614129192973E-3</v>
      </c>
      <c r="AO128" s="85">
        <f t="shared" si="59"/>
        <v>4.587049563673032E-3</v>
      </c>
      <c r="AP128" s="32"/>
      <c r="AQ128" s="55">
        <v>84059843.040000007</v>
      </c>
      <c r="AR128" s="49">
        <v>7.19</v>
      </c>
      <c r="AS128" s="31" t="e">
        <f>(#REF!/AQ128)-1</f>
        <v>#REF!</v>
      </c>
      <c r="AT128" s="31" t="e">
        <f>(#REF!/AR128)-1</f>
        <v>#REF!</v>
      </c>
    </row>
    <row r="129" spans="1:46">
      <c r="A129" s="218" t="s">
        <v>52</v>
      </c>
      <c r="B129" s="392">
        <v>151700165.49000001</v>
      </c>
      <c r="C129" s="392">
        <v>1.5785629999999999</v>
      </c>
      <c r="D129" s="392">
        <v>153185347.52000001</v>
      </c>
      <c r="E129" s="392">
        <v>1.58941</v>
      </c>
      <c r="F129" s="25">
        <f t="shared" si="102"/>
        <v>9.7902466039030359E-3</v>
      </c>
      <c r="G129" s="25">
        <f t="shared" si="103"/>
        <v>6.8714394040656291E-3</v>
      </c>
      <c r="H129" s="392">
        <v>153185347.52000001</v>
      </c>
      <c r="I129" s="392">
        <v>1.58941</v>
      </c>
      <c r="J129" s="25">
        <f t="shared" si="104"/>
        <v>0</v>
      </c>
      <c r="K129" s="25">
        <f t="shared" si="105"/>
        <v>0</v>
      </c>
      <c r="L129" s="392">
        <v>156433426.94</v>
      </c>
      <c r="M129" s="392">
        <v>1.6345080000000001</v>
      </c>
      <c r="N129" s="25">
        <f t="shared" si="106"/>
        <v>2.1203590764945157E-2</v>
      </c>
      <c r="O129" s="25">
        <f t="shared" si="107"/>
        <v>2.8374050748390965E-2</v>
      </c>
      <c r="P129" s="392">
        <v>157566505.06</v>
      </c>
      <c r="Q129" s="392">
        <v>1.647273</v>
      </c>
      <c r="R129" s="25">
        <f t="shared" si="108"/>
        <v>7.243196944311631E-3</v>
      </c>
      <c r="S129" s="25">
        <f t="shared" si="109"/>
        <v>7.8096895212503795E-3</v>
      </c>
      <c r="T129" s="392">
        <v>160299429.81</v>
      </c>
      <c r="U129" s="392">
        <v>1.674614</v>
      </c>
      <c r="V129" s="25">
        <f t="shared" si="110"/>
        <v>1.7344579350537254E-2</v>
      </c>
      <c r="W129" s="25">
        <f t="shared" si="111"/>
        <v>1.6597734558874006E-2</v>
      </c>
      <c r="X129" s="392">
        <v>158446608.33000001</v>
      </c>
      <c r="Y129" s="392">
        <v>1.656256</v>
      </c>
      <c r="Z129" s="25">
        <f t="shared" si="112"/>
        <v>-1.1558503247304777E-2</v>
      </c>
      <c r="AA129" s="25">
        <f t="shared" si="113"/>
        <v>-1.0962526289640536E-2</v>
      </c>
      <c r="AB129" s="392">
        <v>158513199.77000001</v>
      </c>
      <c r="AC129" s="392">
        <v>1.6572929999999999</v>
      </c>
      <c r="AD129" s="25">
        <f t="shared" si="114"/>
        <v>4.2027684089839435E-4</v>
      </c>
      <c r="AE129" s="25">
        <f t="shared" si="115"/>
        <v>6.2611093937166393E-4</v>
      </c>
      <c r="AF129" s="392">
        <v>159451728.80000001</v>
      </c>
      <c r="AG129" s="392">
        <v>1.668471</v>
      </c>
      <c r="AH129" s="25">
        <f t="shared" si="116"/>
        <v>5.9208257190050484E-3</v>
      </c>
      <c r="AI129" s="25">
        <f t="shared" si="117"/>
        <v>6.744733731452515E-3</v>
      </c>
      <c r="AJ129" s="26">
        <f t="shared" si="54"/>
        <v>6.2955266220369671E-3</v>
      </c>
      <c r="AK129" s="26">
        <f t="shared" si="55"/>
        <v>7.0076540767205773E-3</v>
      </c>
      <c r="AL129" s="27">
        <f t="shared" si="56"/>
        <v>4.0907184541144559E-2</v>
      </c>
      <c r="AM129" s="27">
        <f t="shared" si="57"/>
        <v>4.9742357226895545E-2</v>
      </c>
      <c r="AN129" s="28">
        <f t="shared" si="58"/>
        <v>1.0354447548615755E-2</v>
      </c>
      <c r="AO129" s="85">
        <f t="shared" si="59"/>
        <v>1.1722884723339865E-2</v>
      </c>
      <c r="AP129" s="32"/>
      <c r="AQ129" s="55">
        <v>82672021.189999998</v>
      </c>
      <c r="AR129" s="49">
        <v>18.53</v>
      </c>
      <c r="AS129" s="31" t="e">
        <f>(#REF!/AQ129)-1</f>
        <v>#REF!</v>
      </c>
      <c r="AT129" s="31" t="e">
        <f>(#REF!/AR129)-1</f>
        <v>#REF!</v>
      </c>
    </row>
    <row r="130" spans="1:46">
      <c r="A130" s="217" t="s">
        <v>228</v>
      </c>
      <c r="B130" s="392">
        <v>635219881.27999997</v>
      </c>
      <c r="C130" s="392">
        <v>1.1600999999999999</v>
      </c>
      <c r="D130" s="392">
        <v>636991918.25999999</v>
      </c>
      <c r="E130" s="392">
        <v>1.1633</v>
      </c>
      <c r="F130" s="25">
        <f t="shared" si="102"/>
        <v>2.7896434482328788E-3</v>
      </c>
      <c r="G130" s="25">
        <f t="shared" si="103"/>
        <v>2.7583828980261116E-3</v>
      </c>
      <c r="H130" s="392">
        <v>638597826.76999998</v>
      </c>
      <c r="I130" s="392">
        <v>1.1661999999999999</v>
      </c>
      <c r="J130" s="25">
        <f t="shared" si="104"/>
        <v>2.5210814516872871E-3</v>
      </c>
      <c r="K130" s="25">
        <f t="shared" si="105"/>
        <v>2.4929081062493789E-3</v>
      </c>
      <c r="L130" s="392">
        <v>643506374.08000004</v>
      </c>
      <c r="M130" s="392">
        <v>1.1751</v>
      </c>
      <c r="N130" s="25">
        <f t="shared" si="106"/>
        <v>7.6864453717722164E-3</v>
      </c>
      <c r="O130" s="25">
        <f t="shared" si="107"/>
        <v>7.6316240782028219E-3</v>
      </c>
      <c r="P130" s="392">
        <v>643839219.21000004</v>
      </c>
      <c r="Q130" s="392">
        <v>1.1758</v>
      </c>
      <c r="R130" s="25">
        <f t="shared" si="108"/>
        <v>5.1723672586126749E-4</v>
      </c>
      <c r="S130" s="25">
        <f t="shared" si="109"/>
        <v>5.956939834907011E-4</v>
      </c>
      <c r="T130" s="392">
        <v>651476061.61000001</v>
      </c>
      <c r="U130" s="392">
        <v>1.1898</v>
      </c>
      <c r="V130" s="25">
        <f t="shared" si="110"/>
        <v>1.1861412247254045E-2</v>
      </c>
      <c r="W130" s="25">
        <f t="shared" si="111"/>
        <v>1.1906786868515064E-2</v>
      </c>
      <c r="X130" s="392">
        <v>653980969.27999997</v>
      </c>
      <c r="Y130" s="392">
        <v>1.1938</v>
      </c>
      <c r="Z130" s="25">
        <f t="shared" si="112"/>
        <v>3.8449726975532316E-3</v>
      </c>
      <c r="AA130" s="25">
        <f t="shared" si="113"/>
        <v>3.3619095646327144E-3</v>
      </c>
      <c r="AB130" s="392">
        <v>661733060.10000002</v>
      </c>
      <c r="AC130" s="392">
        <v>1.2059</v>
      </c>
      <c r="AD130" s="25">
        <f t="shared" si="114"/>
        <v>1.1853694807869889E-2</v>
      </c>
      <c r="AE130" s="25">
        <f t="shared" si="115"/>
        <v>1.0135701122466074E-2</v>
      </c>
      <c r="AF130" s="392">
        <v>667911648.46000004</v>
      </c>
      <c r="AG130" s="392">
        <v>1.2177</v>
      </c>
      <c r="AH130" s="25">
        <f t="shared" si="116"/>
        <v>9.3369800189011497E-3</v>
      </c>
      <c r="AI130" s="25">
        <f t="shared" si="117"/>
        <v>9.7852226552782428E-3</v>
      </c>
      <c r="AJ130" s="26">
        <f t="shared" si="54"/>
        <v>6.3014333461414961E-3</v>
      </c>
      <c r="AK130" s="26">
        <f t="shared" si="55"/>
        <v>6.0835286596076388E-3</v>
      </c>
      <c r="AL130" s="27">
        <f t="shared" si="56"/>
        <v>4.8540223688331927E-2</v>
      </c>
      <c r="AM130" s="27">
        <f t="shared" si="57"/>
        <v>4.6763517579300272E-2</v>
      </c>
      <c r="AN130" s="28">
        <f t="shared" si="58"/>
        <v>4.4559532061363115E-3</v>
      </c>
      <c r="AO130" s="85">
        <f t="shared" si="59"/>
        <v>4.2745470256842274E-3</v>
      </c>
      <c r="AP130" s="32"/>
      <c r="AQ130" s="55">
        <v>541500000</v>
      </c>
      <c r="AR130" s="49">
        <v>3610</v>
      </c>
      <c r="AS130" s="31" t="e">
        <f>(#REF!/AQ130)-1</f>
        <v>#REF!</v>
      </c>
      <c r="AT130" s="31" t="e">
        <f>(#REF!/AR130)-1</f>
        <v>#REF!</v>
      </c>
    </row>
    <row r="131" spans="1:46">
      <c r="A131" s="217" t="s">
        <v>116</v>
      </c>
      <c r="B131" s="392">
        <v>121581773.8</v>
      </c>
      <c r="C131" s="392">
        <v>1.1979</v>
      </c>
      <c r="D131" s="392">
        <v>122646167.03</v>
      </c>
      <c r="E131" s="392">
        <v>1.1956</v>
      </c>
      <c r="F131" s="25">
        <f t="shared" si="102"/>
        <v>8.7545459877145185E-3</v>
      </c>
      <c r="G131" s="25">
        <f t="shared" si="103"/>
        <v>-1.9200267134151172E-3</v>
      </c>
      <c r="H131" s="392">
        <v>122813955.59999999</v>
      </c>
      <c r="I131" s="392">
        <v>1.2089000000000001</v>
      </c>
      <c r="J131" s="25">
        <f t="shared" si="104"/>
        <v>1.3680702305107564E-3</v>
      </c>
      <c r="K131" s="25">
        <f t="shared" si="105"/>
        <v>1.112412177985956E-2</v>
      </c>
      <c r="L131" s="392">
        <v>122540362.18000001</v>
      </c>
      <c r="M131" s="392">
        <v>1.2060999999999999</v>
      </c>
      <c r="N131" s="25">
        <f t="shared" si="106"/>
        <v>-2.2277062786827699E-3</v>
      </c>
      <c r="O131" s="25">
        <f t="shared" si="107"/>
        <v>-2.3161551823973328E-3</v>
      </c>
      <c r="P131" s="392">
        <v>122540362.18000001</v>
      </c>
      <c r="Q131" s="392">
        <v>1.2061999999999999</v>
      </c>
      <c r="R131" s="25">
        <f t="shared" si="108"/>
        <v>0</v>
      </c>
      <c r="S131" s="25">
        <f t="shared" si="109"/>
        <v>8.2911864687827707E-5</v>
      </c>
      <c r="T131" s="392">
        <v>124410317.20999999</v>
      </c>
      <c r="U131" s="392">
        <v>1.2244999999999999</v>
      </c>
      <c r="V131" s="25">
        <f t="shared" si="110"/>
        <v>1.5259911075284746E-2</v>
      </c>
      <c r="W131" s="25">
        <f t="shared" si="111"/>
        <v>1.517161333112252E-2</v>
      </c>
      <c r="X131" s="392">
        <v>124410317.20999999</v>
      </c>
      <c r="Y131" s="392">
        <v>1.2096</v>
      </c>
      <c r="Z131" s="25">
        <f t="shared" si="112"/>
        <v>0</v>
      </c>
      <c r="AA131" s="25">
        <f t="shared" si="113"/>
        <v>-1.2168231931400502E-2</v>
      </c>
      <c r="AB131" s="392">
        <v>124323995.27</v>
      </c>
      <c r="AC131" s="392">
        <v>1.2177</v>
      </c>
      <c r="AD131" s="25">
        <f t="shared" si="114"/>
        <v>-6.9384872521697203E-4</v>
      </c>
      <c r="AE131" s="25">
        <f t="shared" si="115"/>
        <v>6.6964285714285685E-3</v>
      </c>
      <c r="AF131" s="392">
        <v>125482699.62</v>
      </c>
      <c r="AG131" s="392">
        <v>1.2354000000000001</v>
      </c>
      <c r="AH131" s="25">
        <f t="shared" si="116"/>
        <v>9.320037917729387E-3</v>
      </c>
      <c r="AI131" s="25">
        <f t="shared" si="117"/>
        <v>1.4535599901453601E-2</v>
      </c>
      <c r="AJ131" s="26">
        <f t="shared" si="54"/>
        <v>3.9726262759174581E-3</v>
      </c>
      <c r="AK131" s="26">
        <f t="shared" si="55"/>
        <v>3.9007827026673906E-3</v>
      </c>
      <c r="AL131" s="27">
        <f t="shared" si="56"/>
        <v>2.3127772018396386E-2</v>
      </c>
      <c r="AM131" s="27">
        <f t="shared" si="57"/>
        <v>3.3288725326196103E-2</v>
      </c>
      <c r="AN131" s="28">
        <f t="shared" si="58"/>
        <v>6.2954826152547003E-3</v>
      </c>
      <c r="AO131" s="85">
        <f t="shared" si="59"/>
        <v>9.6024158502284115E-3</v>
      </c>
      <c r="AP131" s="32"/>
      <c r="AQ131" s="55">
        <v>551092000</v>
      </c>
      <c r="AR131" s="49">
        <v>8.86</v>
      </c>
      <c r="AS131" s="31" t="e">
        <f>(#REF!/AQ131)-1</f>
        <v>#REF!</v>
      </c>
      <c r="AT131" s="31" t="e">
        <f>(#REF!/AR131)-1</f>
        <v>#REF!</v>
      </c>
    </row>
    <row r="132" spans="1:46">
      <c r="A132" s="217" t="s">
        <v>118</v>
      </c>
      <c r="B132" s="392">
        <v>163556601.88</v>
      </c>
      <c r="C132" s="392">
        <v>110.22</v>
      </c>
      <c r="D132" s="392">
        <v>163939410.14725342</v>
      </c>
      <c r="E132" s="392">
        <v>110.51460673354813</v>
      </c>
      <c r="F132" s="25">
        <f t="shared" si="102"/>
        <v>2.3405247043117934E-3</v>
      </c>
      <c r="G132" s="25">
        <f t="shared" si="103"/>
        <v>2.6728972377802209E-3</v>
      </c>
      <c r="H132" s="392">
        <v>166601005.91</v>
      </c>
      <c r="I132" s="392">
        <v>112.29</v>
      </c>
      <c r="J132" s="25">
        <f t="shared" si="104"/>
        <v>1.6235240570622266E-2</v>
      </c>
      <c r="K132" s="25">
        <f t="shared" si="105"/>
        <v>1.6064783822941731E-2</v>
      </c>
      <c r="L132" s="392">
        <v>165611977.97</v>
      </c>
      <c r="M132" s="392">
        <v>111.69</v>
      </c>
      <c r="N132" s="25">
        <f t="shared" si="106"/>
        <v>-5.936506413018198E-3</v>
      </c>
      <c r="O132" s="25">
        <f t="shared" si="107"/>
        <v>-5.3433075073471238E-3</v>
      </c>
      <c r="P132" s="392">
        <v>167150713.65000001</v>
      </c>
      <c r="Q132" s="392">
        <v>112.74</v>
      </c>
      <c r="R132" s="25">
        <f t="shared" si="108"/>
        <v>9.2912100855334478E-3</v>
      </c>
      <c r="S132" s="25">
        <f t="shared" si="109"/>
        <v>9.4010206822454749E-3</v>
      </c>
      <c r="T132" s="392">
        <v>169143934.00999999</v>
      </c>
      <c r="U132" s="392">
        <v>114.08</v>
      </c>
      <c r="V132" s="25">
        <f t="shared" si="110"/>
        <v>1.1924689500121584E-2</v>
      </c>
      <c r="W132" s="25">
        <f t="shared" si="111"/>
        <v>1.1885754834131661E-2</v>
      </c>
      <c r="X132" s="392">
        <v>169394608.46000001</v>
      </c>
      <c r="Y132" s="392">
        <v>114.28</v>
      </c>
      <c r="Z132" s="25">
        <f t="shared" si="112"/>
        <v>1.4820185628720076E-3</v>
      </c>
      <c r="AA132" s="25">
        <f t="shared" si="113"/>
        <v>1.7531556802244288E-3</v>
      </c>
      <c r="AB132" s="392">
        <v>170022963.21000001</v>
      </c>
      <c r="AC132" s="392">
        <v>114.74</v>
      </c>
      <c r="AD132" s="25">
        <f t="shared" si="114"/>
        <v>3.7094141053986172E-3</v>
      </c>
      <c r="AE132" s="25">
        <f t="shared" si="115"/>
        <v>4.0252012600629486E-3</v>
      </c>
      <c r="AF132" s="392">
        <v>170786218.60334182</v>
      </c>
      <c r="AG132" s="392">
        <v>115.28</v>
      </c>
      <c r="AH132" s="25">
        <f t="shared" si="116"/>
        <v>4.4891312263455373E-3</v>
      </c>
      <c r="AI132" s="25">
        <f t="shared" si="117"/>
        <v>4.7062924873627881E-3</v>
      </c>
      <c r="AJ132" s="26">
        <f t="shared" si="54"/>
        <v>5.4419652927733819E-3</v>
      </c>
      <c r="AK132" s="26">
        <f t="shared" si="55"/>
        <v>5.6457248121752667E-3</v>
      </c>
      <c r="AL132" s="27">
        <f t="shared" si="56"/>
        <v>4.1764261869299539E-2</v>
      </c>
      <c r="AM132" s="27">
        <f t="shared" si="57"/>
        <v>4.3120030983246217E-2</v>
      </c>
      <c r="AN132" s="28">
        <f t="shared" si="58"/>
        <v>6.8870120662891336E-3</v>
      </c>
      <c r="AO132" s="85">
        <f t="shared" si="59"/>
        <v>6.6531869017355484E-3</v>
      </c>
      <c r="AP132" s="32"/>
      <c r="AQ132" s="30">
        <v>913647681</v>
      </c>
      <c r="AR132" s="34">
        <v>81</v>
      </c>
      <c r="AS132" s="31" t="e">
        <f>(#REF!/AQ132)-1</f>
        <v>#REF!</v>
      </c>
      <c r="AT132" s="31" t="e">
        <f>(#REF!/AR132)-1</f>
        <v>#REF!</v>
      </c>
    </row>
    <row r="133" spans="1:46">
      <c r="A133" s="217" t="s">
        <v>124</v>
      </c>
      <c r="B133" s="392">
        <v>161853728.00999999</v>
      </c>
      <c r="C133" s="392">
        <v>3.7077</v>
      </c>
      <c r="D133" s="392">
        <v>162985612.05000001</v>
      </c>
      <c r="E133" s="392">
        <v>3.7338</v>
      </c>
      <c r="F133" s="25">
        <f t="shared" si="102"/>
        <v>6.9932528210291762E-3</v>
      </c>
      <c r="G133" s="25">
        <f t="shared" si="103"/>
        <v>7.0394044825633174E-3</v>
      </c>
      <c r="H133" s="392">
        <v>164546313.91</v>
      </c>
      <c r="I133" s="392">
        <v>3.7696999999999998</v>
      </c>
      <c r="J133" s="25">
        <f t="shared" si="104"/>
        <v>9.5757032806135008E-3</v>
      </c>
      <c r="K133" s="25">
        <f t="shared" si="105"/>
        <v>9.6148695698751469E-3</v>
      </c>
      <c r="L133" s="392">
        <v>166520043.5</v>
      </c>
      <c r="M133" s="392">
        <v>3.8151999999999999</v>
      </c>
      <c r="N133" s="25">
        <f t="shared" si="106"/>
        <v>1.1994979061515481E-2</v>
      </c>
      <c r="O133" s="25">
        <f t="shared" si="107"/>
        <v>1.2069925988805501E-2</v>
      </c>
      <c r="P133" s="392">
        <v>167094661.91999999</v>
      </c>
      <c r="Q133" s="392">
        <v>3.8307000000000002</v>
      </c>
      <c r="R133" s="25">
        <f t="shared" si="108"/>
        <v>3.450746276078092E-3</v>
      </c>
      <c r="S133" s="25">
        <f t="shared" si="109"/>
        <v>4.0626965820927587E-3</v>
      </c>
      <c r="T133" s="392">
        <v>169971730.99000001</v>
      </c>
      <c r="U133" s="392">
        <v>3.8971</v>
      </c>
      <c r="V133" s="25">
        <f t="shared" si="110"/>
        <v>1.7218198576430161E-2</v>
      </c>
      <c r="W133" s="25">
        <f t="shared" si="111"/>
        <v>1.7333646592006629E-2</v>
      </c>
      <c r="X133" s="392">
        <v>169425839.34</v>
      </c>
      <c r="Y133" s="392">
        <v>3.8843999999999999</v>
      </c>
      <c r="Z133" s="25">
        <f t="shared" si="112"/>
        <v>-3.2116614146391353E-3</v>
      </c>
      <c r="AA133" s="25">
        <f t="shared" si="113"/>
        <v>-3.2588334915706952E-3</v>
      </c>
      <c r="AB133" s="392">
        <v>169737621.38999999</v>
      </c>
      <c r="AC133" s="392">
        <v>3.8915000000000002</v>
      </c>
      <c r="AD133" s="25">
        <f t="shared" si="114"/>
        <v>1.8402272712033307E-3</v>
      </c>
      <c r="AE133" s="25">
        <f t="shared" si="115"/>
        <v>1.827824116980828E-3</v>
      </c>
      <c r="AF133" s="392">
        <v>172282013.24000001</v>
      </c>
      <c r="AG133" s="392">
        <v>3.9502000000000002</v>
      </c>
      <c r="AH133" s="25">
        <f t="shared" si="116"/>
        <v>1.4990146728602181E-2</v>
      </c>
      <c r="AI133" s="25">
        <f t="shared" si="117"/>
        <v>1.5084157779776428E-2</v>
      </c>
      <c r="AJ133" s="26">
        <f t="shared" si="54"/>
        <v>7.856449075104098E-3</v>
      </c>
      <c r="AK133" s="26">
        <f t="shared" si="55"/>
        <v>7.9717114525662391E-3</v>
      </c>
      <c r="AL133" s="27">
        <f t="shared" si="56"/>
        <v>5.7038170873316647E-2</v>
      </c>
      <c r="AM133" s="27">
        <f t="shared" si="57"/>
        <v>5.7957041084150236E-2</v>
      </c>
      <c r="AN133" s="28">
        <f t="shared" si="58"/>
        <v>6.9433275363780609E-3</v>
      </c>
      <c r="AO133" s="85">
        <f t="shared" si="59"/>
        <v>6.9462234155855274E-3</v>
      </c>
      <c r="AP133" s="32"/>
      <c r="AQ133" s="63">
        <f>SUM(AQ126:AQ132)</f>
        <v>4180911788.79</v>
      </c>
      <c r="AR133" s="64"/>
      <c r="AS133" s="31" t="e">
        <f>(#REF!/AQ133)-1</f>
        <v>#REF!</v>
      </c>
      <c r="AT133" s="31" t="e">
        <f>(#REF!/AR133)-1</f>
        <v>#REF!</v>
      </c>
    </row>
    <row r="134" spans="1:46">
      <c r="A134" s="217" t="s">
        <v>166</v>
      </c>
      <c r="B134" s="392">
        <v>335983174.85000002</v>
      </c>
      <c r="C134" s="392">
        <v>135.34</v>
      </c>
      <c r="D134" s="392">
        <v>337803586.26999998</v>
      </c>
      <c r="E134" s="392">
        <v>136.16</v>
      </c>
      <c r="F134" s="25">
        <f t="shared" si="102"/>
        <v>5.4181624446303939E-3</v>
      </c>
      <c r="G134" s="25">
        <f t="shared" si="103"/>
        <v>6.0588148367075011E-3</v>
      </c>
      <c r="H134" s="392">
        <v>343008605</v>
      </c>
      <c r="I134" s="392">
        <v>137.94</v>
      </c>
      <c r="J134" s="25">
        <f t="shared" si="104"/>
        <v>1.5408417617685523E-2</v>
      </c>
      <c r="K134" s="25">
        <f t="shared" si="105"/>
        <v>1.3072855464159821E-2</v>
      </c>
      <c r="L134" s="392">
        <v>334612472.54000002</v>
      </c>
      <c r="M134" s="392">
        <v>138.87</v>
      </c>
      <c r="N134" s="25">
        <f t="shared" si="106"/>
        <v>-2.4477906202965312E-2</v>
      </c>
      <c r="O134" s="25">
        <f t="shared" si="107"/>
        <v>6.7420617659852602E-3</v>
      </c>
      <c r="P134" s="392">
        <v>337168492.69</v>
      </c>
      <c r="Q134" s="392">
        <v>140.02000000000001</v>
      </c>
      <c r="R134" s="25">
        <f t="shared" si="108"/>
        <v>7.6387473861854512E-3</v>
      </c>
      <c r="S134" s="25">
        <f t="shared" si="109"/>
        <v>8.2811262331677522E-3</v>
      </c>
      <c r="T134" s="392">
        <v>353383518.54000002</v>
      </c>
      <c r="U134" s="392">
        <v>141.41</v>
      </c>
      <c r="V134" s="25">
        <f t="shared" si="110"/>
        <v>4.8091758872939733E-2</v>
      </c>
      <c r="W134" s="25">
        <f t="shared" si="111"/>
        <v>9.9271532638193563E-3</v>
      </c>
      <c r="X134" s="392">
        <v>355733512.87</v>
      </c>
      <c r="Y134" s="392">
        <v>141.38999999999999</v>
      </c>
      <c r="Z134" s="25">
        <f t="shared" si="112"/>
        <v>6.6499828280304589E-3</v>
      </c>
      <c r="AA134" s="25">
        <f t="shared" si="113"/>
        <v>-1.4143271338667868E-4</v>
      </c>
      <c r="AB134" s="392">
        <v>357629848.88</v>
      </c>
      <c r="AC134" s="392">
        <v>141.9</v>
      </c>
      <c r="AD134" s="25">
        <f t="shared" si="114"/>
        <v>5.3307769478918663E-3</v>
      </c>
      <c r="AE134" s="25">
        <f t="shared" si="115"/>
        <v>3.607044345427678E-3</v>
      </c>
      <c r="AF134" s="392">
        <v>361352560.54000002</v>
      </c>
      <c r="AG134" s="392">
        <v>143.27000000000001</v>
      </c>
      <c r="AH134" s="25">
        <f t="shared" si="116"/>
        <v>1.0409398632856158E-2</v>
      </c>
      <c r="AI134" s="25">
        <f t="shared" si="117"/>
        <v>9.6546863988724776E-3</v>
      </c>
      <c r="AJ134" s="26">
        <f t="shared" ref="AJ134:AJ170" si="118">AVERAGE(F134,J134,N134,R134,V134,Z134,AD134,AH134)</f>
        <v>9.3086673159067847E-3</v>
      </c>
      <c r="AK134" s="26">
        <f t="shared" ref="AK134:AK170" si="119">AVERAGE(G134,K134,O134,S134,W134,AA134,AE134,AI134)</f>
        <v>7.1502886993441463E-3</v>
      </c>
      <c r="AL134" s="27">
        <f t="shared" ref="AL134:AL170" si="120">((AF134-D134)/D134)</f>
        <v>6.9712031568480132E-2</v>
      </c>
      <c r="AM134" s="27">
        <f t="shared" ref="AM134:AM170" si="121">((AG134-E134)/E134)</f>
        <v>5.2217978848413733E-2</v>
      </c>
      <c r="AN134" s="28">
        <f t="shared" ref="AN134:AN170" si="122">STDEV(F134,J134,N134,R134,V134,Z134,AD134,AH134)</f>
        <v>1.972994888037197E-2</v>
      </c>
      <c r="AO134" s="85">
        <f t="shared" ref="AO134:AO170" si="123">STDEV(G134,K134,O134,S134,W134,AA134,AE134,AI134)</f>
        <v>4.0956478886185832E-3</v>
      </c>
      <c r="AP134" s="32"/>
      <c r="AQ134" s="86"/>
      <c r="AR134" s="87"/>
      <c r="AS134" s="31"/>
      <c r="AT134" s="31"/>
    </row>
    <row r="135" spans="1:46" s="95" customFormat="1">
      <c r="A135" s="217" t="s">
        <v>139</v>
      </c>
      <c r="B135" s="393">
        <v>150713592.40000001</v>
      </c>
      <c r="C135" s="392">
        <v>144.135232</v>
      </c>
      <c r="D135" s="393">
        <v>152722136.65000001</v>
      </c>
      <c r="E135" s="392">
        <v>146.068544</v>
      </c>
      <c r="F135" s="25">
        <f t="shared" si="102"/>
        <v>1.3326895192500235E-2</v>
      </c>
      <c r="G135" s="25">
        <f t="shared" si="103"/>
        <v>1.3413181310174051E-2</v>
      </c>
      <c r="H135" s="393">
        <v>154452128.09</v>
      </c>
      <c r="I135" s="392">
        <v>147.69995700000001</v>
      </c>
      <c r="J135" s="25">
        <f t="shared" si="104"/>
        <v>1.1327705845058302E-2</v>
      </c>
      <c r="K135" s="25">
        <f t="shared" si="105"/>
        <v>1.116881811322778E-2</v>
      </c>
      <c r="L135" s="393">
        <v>157421994.74000001</v>
      </c>
      <c r="M135" s="392">
        <v>150.51816700000001</v>
      </c>
      <c r="N135" s="25">
        <f t="shared" si="106"/>
        <v>1.9228395793092927E-2</v>
      </c>
      <c r="O135" s="25">
        <f t="shared" si="107"/>
        <v>1.908064198014623E-2</v>
      </c>
      <c r="P135" s="393">
        <v>156864546.53999999</v>
      </c>
      <c r="Q135" s="392">
        <v>150.06919300000001</v>
      </c>
      <c r="R135" s="25">
        <f t="shared" si="108"/>
        <v>-3.5411074603692184E-3</v>
      </c>
      <c r="S135" s="25">
        <f t="shared" si="109"/>
        <v>-2.9828558834362677E-3</v>
      </c>
      <c r="T135" s="393">
        <v>159782048.28999999</v>
      </c>
      <c r="U135" s="392">
        <v>152.767582</v>
      </c>
      <c r="V135" s="25">
        <f t="shared" si="110"/>
        <v>1.8598860063360752E-2</v>
      </c>
      <c r="W135" s="25">
        <f t="shared" si="111"/>
        <v>1.7980965620305503E-2</v>
      </c>
      <c r="X135" s="393">
        <v>158690175.71000001</v>
      </c>
      <c r="Y135" s="392">
        <v>151.732966</v>
      </c>
      <c r="Z135" s="25">
        <f t="shared" si="112"/>
        <v>-6.8335122229642772E-3</v>
      </c>
      <c r="AA135" s="25">
        <f t="shared" si="113"/>
        <v>-6.772483968490119E-3</v>
      </c>
      <c r="AB135" s="393">
        <v>159508902.55000001</v>
      </c>
      <c r="AC135" s="392">
        <v>152.54738</v>
      </c>
      <c r="AD135" s="25">
        <f t="shared" si="114"/>
        <v>5.1592786783234415E-3</v>
      </c>
      <c r="AE135" s="25">
        <f t="shared" si="115"/>
        <v>5.3674163332442818E-3</v>
      </c>
      <c r="AF135" s="393">
        <v>159508902.55000001</v>
      </c>
      <c r="AG135" s="392">
        <v>152.54738</v>
      </c>
      <c r="AH135" s="25">
        <f t="shared" si="116"/>
        <v>0</v>
      </c>
      <c r="AI135" s="25">
        <f t="shared" si="117"/>
        <v>0</v>
      </c>
      <c r="AJ135" s="26">
        <f t="shared" si="118"/>
        <v>7.1583144861252701E-3</v>
      </c>
      <c r="AK135" s="26">
        <f t="shared" si="119"/>
        <v>7.1569604381464319E-3</v>
      </c>
      <c r="AL135" s="27">
        <f t="shared" si="120"/>
        <v>4.4438652109441958E-2</v>
      </c>
      <c r="AM135" s="27">
        <f t="shared" si="121"/>
        <v>4.4354765390144511E-2</v>
      </c>
      <c r="AN135" s="28">
        <f t="shared" si="122"/>
        <v>9.982088338519747E-3</v>
      </c>
      <c r="AO135" s="85">
        <f t="shared" si="123"/>
        <v>9.7529366905763516E-3</v>
      </c>
      <c r="AP135" s="32"/>
      <c r="AQ135" s="86"/>
      <c r="AR135" s="87"/>
      <c r="AS135" s="31"/>
      <c r="AT135" s="31"/>
    </row>
    <row r="136" spans="1:46" s="115" customFormat="1">
      <c r="A136" s="217" t="s">
        <v>153</v>
      </c>
      <c r="B136" s="393">
        <v>994615836.30999994</v>
      </c>
      <c r="C136" s="392">
        <v>2.3050999999999999</v>
      </c>
      <c r="D136" s="393">
        <v>999690945.16999996</v>
      </c>
      <c r="E136" s="392">
        <v>2.3170000000000002</v>
      </c>
      <c r="F136" s="25">
        <f t="shared" si="102"/>
        <v>5.1025819967119588E-3</v>
      </c>
      <c r="G136" s="25">
        <f t="shared" si="103"/>
        <v>5.1624658366232461E-3</v>
      </c>
      <c r="H136" s="393">
        <v>1013780046.33</v>
      </c>
      <c r="I136" s="392">
        <v>2.3515999999999999</v>
      </c>
      <c r="J136" s="25">
        <f t="shared" si="104"/>
        <v>1.409345681089889E-2</v>
      </c>
      <c r="K136" s="25">
        <f t="shared" si="105"/>
        <v>1.4933103150625697E-2</v>
      </c>
      <c r="L136" s="393">
        <v>1019900355.6</v>
      </c>
      <c r="M136" s="392">
        <v>2.3656999999999999</v>
      </c>
      <c r="N136" s="25">
        <f t="shared" si="106"/>
        <v>6.0371175109987631E-3</v>
      </c>
      <c r="O136" s="25">
        <f t="shared" si="107"/>
        <v>5.9959176730736531E-3</v>
      </c>
      <c r="P136" s="393">
        <v>1026958531.1900001</v>
      </c>
      <c r="Q136" s="392">
        <v>2.3822999999999999</v>
      </c>
      <c r="R136" s="25">
        <f t="shared" si="108"/>
        <v>6.9204560536188457E-3</v>
      </c>
      <c r="S136" s="25">
        <f t="shared" si="109"/>
        <v>7.0169505854503732E-3</v>
      </c>
      <c r="T136" s="393">
        <v>1041422622.37</v>
      </c>
      <c r="U136" s="392">
        <v>2.4161999999999999</v>
      </c>
      <c r="V136" s="25">
        <f t="shared" si="110"/>
        <v>1.4084396536673701E-2</v>
      </c>
      <c r="W136" s="25">
        <f t="shared" si="111"/>
        <v>1.4229945850648551E-2</v>
      </c>
      <c r="X136" s="393">
        <v>1035804495.45</v>
      </c>
      <c r="Y136" s="392">
        <v>2.403</v>
      </c>
      <c r="Z136" s="25">
        <f t="shared" si="112"/>
        <v>-5.3946657191050826E-3</v>
      </c>
      <c r="AA136" s="25">
        <f t="shared" si="113"/>
        <v>-5.4631239135832623E-3</v>
      </c>
      <c r="AB136" s="393">
        <v>1038050562.1</v>
      </c>
      <c r="AC136" s="392">
        <v>2.4081000000000001</v>
      </c>
      <c r="AD136" s="25">
        <f t="shared" si="114"/>
        <v>2.1684272079010277E-3</v>
      </c>
      <c r="AE136" s="25">
        <f t="shared" si="115"/>
        <v>2.1223470661673343E-3</v>
      </c>
      <c r="AF136" s="393">
        <v>1041534961.77</v>
      </c>
      <c r="AG136" s="392">
        <v>2.4165999999999999</v>
      </c>
      <c r="AH136" s="25">
        <f t="shared" si="116"/>
        <v>3.3566762518301005E-3</v>
      </c>
      <c r="AI136" s="25">
        <f t="shared" si="117"/>
        <v>3.5297537477678377E-3</v>
      </c>
      <c r="AJ136" s="26">
        <f t="shared" si="118"/>
        <v>5.7960558311910262E-3</v>
      </c>
      <c r="AK136" s="26">
        <f t="shared" si="119"/>
        <v>5.9409199995966782E-3</v>
      </c>
      <c r="AL136" s="27">
        <f t="shared" si="120"/>
        <v>4.1856952693399001E-2</v>
      </c>
      <c r="AM136" s="27">
        <f t="shared" si="121"/>
        <v>4.2986620630125025E-2</v>
      </c>
      <c r="AN136" s="28">
        <f t="shared" si="122"/>
        <v>6.366084894613354E-3</v>
      </c>
      <c r="AO136" s="85">
        <f t="shared" si="123"/>
        <v>6.5659468291905457E-3</v>
      </c>
      <c r="AP136" s="32"/>
      <c r="AQ136" s="86"/>
      <c r="AR136" s="87"/>
      <c r="AS136" s="31"/>
      <c r="AT136" s="31"/>
    </row>
    <row r="137" spans="1:46" s="115" customFormat="1">
      <c r="A137" s="217" t="s">
        <v>172</v>
      </c>
      <c r="B137" s="393">
        <v>18855213.879999999</v>
      </c>
      <c r="C137" s="392">
        <v>1.19</v>
      </c>
      <c r="D137" s="393">
        <v>18943783.559999999</v>
      </c>
      <c r="E137" s="392">
        <v>1.2</v>
      </c>
      <c r="F137" s="25">
        <f t="shared" si="102"/>
        <v>4.6973574823220045E-3</v>
      </c>
      <c r="G137" s="25">
        <f t="shared" si="103"/>
        <v>8.4033613445378234E-3</v>
      </c>
      <c r="H137" s="393">
        <v>19183986.309999999</v>
      </c>
      <c r="I137" s="392">
        <v>1.2</v>
      </c>
      <c r="J137" s="25">
        <f t="shared" si="104"/>
        <v>1.2679766385591032E-2</v>
      </c>
      <c r="K137" s="25">
        <f t="shared" si="105"/>
        <v>0</v>
      </c>
      <c r="L137" s="393">
        <v>19275637.66</v>
      </c>
      <c r="M137" s="392">
        <v>1.21</v>
      </c>
      <c r="N137" s="25">
        <f t="shared" si="106"/>
        <v>4.777492462670627E-3</v>
      </c>
      <c r="O137" s="25">
        <f t="shared" si="107"/>
        <v>8.3333333333333419E-3</v>
      </c>
      <c r="P137" s="393">
        <v>19245718.289999999</v>
      </c>
      <c r="Q137" s="392">
        <v>1.22</v>
      </c>
      <c r="R137" s="25">
        <f t="shared" si="108"/>
        <v>-1.55218574491512E-3</v>
      </c>
      <c r="S137" s="25">
        <f t="shared" si="109"/>
        <v>8.2644628099173625E-3</v>
      </c>
      <c r="T137" s="393">
        <v>19624666.559999999</v>
      </c>
      <c r="U137" s="392">
        <v>1.24</v>
      </c>
      <c r="V137" s="25">
        <f t="shared" si="110"/>
        <v>1.9690003994129936E-2</v>
      </c>
      <c r="W137" s="25">
        <f t="shared" si="111"/>
        <v>1.6393442622950834E-2</v>
      </c>
      <c r="X137" s="393">
        <v>19547733.41</v>
      </c>
      <c r="Y137" s="392">
        <v>1.24</v>
      </c>
      <c r="Z137" s="25">
        <f t="shared" si="112"/>
        <v>-3.920227116460037E-3</v>
      </c>
      <c r="AA137" s="25">
        <f t="shared" si="113"/>
        <v>0</v>
      </c>
      <c r="AB137" s="393">
        <v>19547733.41</v>
      </c>
      <c r="AC137" s="392">
        <v>1.24</v>
      </c>
      <c r="AD137" s="25">
        <f t="shared" si="114"/>
        <v>0</v>
      </c>
      <c r="AE137" s="25">
        <f t="shared" si="115"/>
        <v>0</v>
      </c>
      <c r="AF137" s="393">
        <v>19966931.129999999</v>
      </c>
      <c r="AG137" s="392">
        <v>1.25</v>
      </c>
      <c r="AH137" s="25">
        <f t="shared" si="116"/>
        <v>2.1444824891337557E-2</v>
      </c>
      <c r="AI137" s="25">
        <f t="shared" si="117"/>
        <v>8.0645161290322648E-3</v>
      </c>
      <c r="AJ137" s="26">
        <f t="shared" si="118"/>
        <v>7.2271290443345002E-3</v>
      </c>
      <c r="AK137" s="26">
        <f t="shared" si="119"/>
        <v>6.1823895299714538E-3</v>
      </c>
      <c r="AL137" s="27">
        <f t="shared" si="120"/>
        <v>5.4009673767619858E-2</v>
      </c>
      <c r="AM137" s="27">
        <f t="shared" si="121"/>
        <v>4.1666666666666706E-2</v>
      </c>
      <c r="AN137" s="28">
        <f t="shared" si="122"/>
        <v>9.6597039032806573E-3</v>
      </c>
      <c r="AO137" s="85">
        <f t="shared" si="123"/>
        <v>5.8109272790004595E-3</v>
      </c>
      <c r="AP137" s="32"/>
      <c r="AQ137" s="86"/>
      <c r="AR137" s="87"/>
      <c r="AS137" s="31"/>
      <c r="AT137" s="31"/>
    </row>
    <row r="138" spans="1:46" ht="15.75" customHeight="1" thickBot="1">
      <c r="A138" s="217" t="s">
        <v>229</v>
      </c>
      <c r="B138" s="393">
        <v>208480799.34</v>
      </c>
      <c r="C138" s="392">
        <v>1.0411999999999999</v>
      </c>
      <c r="D138" s="393">
        <v>207311163.88999999</v>
      </c>
      <c r="E138" s="392">
        <v>1.0353000000000001</v>
      </c>
      <c r="F138" s="25">
        <f t="shared" si="102"/>
        <v>-5.6102789978875849E-3</v>
      </c>
      <c r="G138" s="25">
        <f t="shared" si="103"/>
        <v>-5.666538609296768E-3</v>
      </c>
      <c r="H138" s="393">
        <v>210978508.15000001</v>
      </c>
      <c r="I138" s="392">
        <v>1.0537000000000001</v>
      </c>
      <c r="J138" s="25">
        <f t="shared" si="104"/>
        <v>1.7690047131016667E-2</v>
      </c>
      <c r="K138" s="25">
        <f t="shared" si="105"/>
        <v>1.7772626291896038E-2</v>
      </c>
      <c r="L138" s="393">
        <v>215802936.59</v>
      </c>
      <c r="M138" s="392">
        <v>1.077</v>
      </c>
      <c r="N138" s="25">
        <f t="shared" si="106"/>
        <v>2.2866918921286332E-2</v>
      </c>
      <c r="O138" s="25">
        <f t="shared" si="107"/>
        <v>2.2112555755907634E-2</v>
      </c>
      <c r="P138" s="393">
        <v>218646932.90000001</v>
      </c>
      <c r="Q138" s="392">
        <v>1.0911999999999999</v>
      </c>
      <c r="R138" s="25">
        <f t="shared" si="108"/>
        <v>1.3178672889902598E-2</v>
      </c>
      <c r="S138" s="25">
        <f t="shared" si="109"/>
        <v>1.3184772516248831E-2</v>
      </c>
      <c r="T138" s="393">
        <v>222695695.49000001</v>
      </c>
      <c r="U138" s="392">
        <v>1.1096999999999999</v>
      </c>
      <c r="V138" s="25">
        <f t="shared" si="110"/>
        <v>1.851735369117544E-2</v>
      </c>
      <c r="W138" s="25">
        <f t="shared" si="111"/>
        <v>1.6953812316715507E-2</v>
      </c>
      <c r="X138" s="393">
        <v>221357929.75999999</v>
      </c>
      <c r="Y138" s="392">
        <v>1.1031</v>
      </c>
      <c r="Z138" s="25">
        <f t="shared" si="112"/>
        <v>-6.0071467796291127E-3</v>
      </c>
      <c r="AA138" s="25">
        <f t="shared" si="113"/>
        <v>-5.9475533928088128E-3</v>
      </c>
      <c r="AB138" s="393">
        <v>223066127.62</v>
      </c>
      <c r="AC138" s="392">
        <v>1.1121000000000001</v>
      </c>
      <c r="AD138" s="25">
        <f t="shared" si="114"/>
        <v>7.7169038482247793E-3</v>
      </c>
      <c r="AE138" s="25">
        <f t="shared" si="115"/>
        <v>8.1588251291815055E-3</v>
      </c>
      <c r="AF138" s="393">
        <v>226052034.74000001</v>
      </c>
      <c r="AG138" s="392">
        <v>1.1265000000000001</v>
      </c>
      <c r="AH138" s="25">
        <f t="shared" si="116"/>
        <v>1.338574866501735E-2</v>
      </c>
      <c r="AI138" s="25">
        <f t="shared" si="117"/>
        <v>1.2948475856487696E-2</v>
      </c>
      <c r="AJ138" s="26">
        <f t="shared" si="118"/>
        <v>1.0217277421138309E-2</v>
      </c>
      <c r="AK138" s="26">
        <f t="shared" si="119"/>
        <v>9.9396219830414547E-3</v>
      </c>
      <c r="AL138" s="27">
        <f t="shared" si="120"/>
        <v>9.0399718463516965E-2</v>
      </c>
      <c r="AM138" s="27">
        <f t="shared" si="121"/>
        <v>8.809040857722393E-2</v>
      </c>
      <c r="AN138" s="28">
        <f t="shared" si="122"/>
        <v>1.0846667739128138E-2</v>
      </c>
      <c r="AO138" s="85">
        <f t="shared" si="123"/>
        <v>1.0538671440289714E-2</v>
      </c>
      <c r="AP138" s="32"/>
      <c r="AQ138" s="66" t="e">
        <f>SUM(AQ122,AQ133)</f>
        <v>#REF!</v>
      </c>
      <c r="AR138" s="67"/>
      <c r="AS138" s="31" t="e">
        <f>(#REF!/AQ138)-1</f>
        <v>#REF!</v>
      </c>
      <c r="AT138" s="31" t="e">
        <f>(#REF!/AR138)-1</f>
        <v>#REF!</v>
      </c>
    </row>
    <row r="139" spans="1:46" s="330" customFormat="1" ht="15.75" customHeight="1">
      <c r="A139" s="217" t="s">
        <v>196</v>
      </c>
      <c r="B139" s="392">
        <v>3686174.23</v>
      </c>
      <c r="C139" s="392">
        <v>101.57299999999999</v>
      </c>
      <c r="D139" s="392">
        <v>3686174.23</v>
      </c>
      <c r="E139" s="392">
        <v>102.041</v>
      </c>
      <c r="F139" s="25">
        <f t="shared" si="102"/>
        <v>0</v>
      </c>
      <c r="G139" s="25">
        <f t="shared" si="103"/>
        <v>4.6075236529393004E-3</v>
      </c>
      <c r="H139" s="392">
        <v>3734808.11</v>
      </c>
      <c r="I139" s="392">
        <v>102.99</v>
      </c>
      <c r="J139" s="25">
        <f t="shared" si="104"/>
        <v>1.3193592316986028E-2</v>
      </c>
      <c r="K139" s="25">
        <f t="shared" si="105"/>
        <v>9.3001832596701136E-3</v>
      </c>
      <c r="L139" s="392">
        <v>3734808.11</v>
      </c>
      <c r="M139" s="392">
        <v>102.99</v>
      </c>
      <c r="N139" s="25">
        <f t="shared" si="106"/>
        <v>0</v>
      </c>
      <c r="O139" s="25">
        <f t="shared" si="107"/>
        <v>0</v>
      </c>
      <c r="P139" s="392">
        <v>3734808.11</v>
      </c>
      <c r="Q139" s="392">
        <v>102.99</v>
      </c>
      <c r="R139" s="25">
        <f t="shared" si="108"/>
        <v>0</v>
      </c>
      <c r="S139" s="25">
        <f t="shared" si="109"/>
        <v>0</v>
      </c>
      <c r="T139" s="392">
        <v>3734808.11</v>
      </c>
      <c r="U139" s="392">
        <v>102.99</v>
      </c>
      <c r="V139" s="25">
        <f t="shared" si="110"/>
        <v>0</v>
      </c>
      <c r="W139" s="25">
        <f t="shared" si="111"/>
        <v>0</v>
      </c>
      <c r="X139" s="392">
        <v>3734808.11</v>
      </c>
      <c r="Y139" s="392">
        <v>102.99</v>
      </c>
      <c r="Z139" s="25">
        <f t="shared" si="112"/>
        <v>0</v>
      </c>
      <c r="AA139" s="25">
        <f t="shared" si="113"/>
        <v>0</v>
      </c>
      <c r="AB139" s="392">
        <v>3432190.96652241</v>
      </c>
      <c r="AC139" s="392">
        <v>102.99</v>
      </c>
      <c r="AD139" s="25">
        <f t="shared" si="114"/>
        <v>-8.1026155712612999E-2</v>
      </c>
      <c r="AE139" s="25">
        <f t="shared" si="115"/>
        <v>0</v>
      </c>
      <c r="AF139" s="392">
        <v>3432190.96652241</v>
      </c>
      <c r="AG139" s="392">
        <v>102.99</v>
      </c>
      <c r="AH139" s="25">
        <f t="shared" si="116"/>
        <v>0</v>
      </c>
      <c r="AI139" s="25">
        <f t="shared" si="117"/>
        <v>0</v>
      </c>
      <c r="AJ139" s="26">
        <f t="shared" si="118"/>
        <v>-8.4790704244533718E-3</v>
      </c>
      <c r="AK139" s="26">
        <f t="shared" si="119"/>
        <v>1.7384633640761767E-3</v>
      </c>
      <c r="AL139" s="27">
        <f t="shared" si="120"/>
        <v>-6.8901589461111815E-2</v>
      </c>
      <c r="AM139" s="27">
        <f t="shared" si="121"/>
        <v>9.3001832596701136E-3</v>
      </c>
      <c r="AN139" s="28">
        <f t="shared" si="122"/>
        <v>2.9674788976716826E-2</v>
      </c>
      <c r="AO139" s="85">
        <f t="shared" si="123"/>
        <v>3.4546995720108335E-3</v>
      </c>
      <c r="AP139" s="32"/>
      <c r="AQ139" s="404"/>
      <c r="AR139" s="405"/>
      <c r="AS139" s="31"/>
      <c r="AT139" s="31"/>
    </row>
    <row r="140" spans="1:46" s="330" customFormat="1" ht="15.75" customHeight="1">
      <c r="A140" s="217" t="s">
        <v>256</v>
      </c>
      <c r="B140" s="387">
        <v>161928701.69999999</v>
      </c>
      <c r="C140" s="392">
        <v>103.65</v>
      </c>
      <c r="D140" s="387">
        <v>162390088.83000001</v>
      </c>
      <c r="E140" s="392">
        <v>104.01</v>
      </c>
      <c r="F140" s="25">
        <f t="shared" si="102"/>
        <v>2.8493227275719277E-3</v>
      </c>
      <c r="G140" s="25">
        <f t="shared" si="103"/>
        <v>3.4732272069464489E-3</v>
      </c>
      <c r="H140" s="387">
        <v>162789541.87</v>
      </c>
      <c r="I140" s="392">
        <v>104.33</v>
      </c>
      <c r="J140" s="25">
        <f t="shared" si="104"/>
        <v>2.4598363291626979E-3</v>
      </c>
      <c r="K140" s="25">
        <f t="shared" si="105"/>
        <v>3.0766272473799938E-3</v>
      </c>
      <c r="L140" s="387">
        <v>163210370.96000001</v>
      </c>
      <c r="M140" s="392">
        <v>104.66</v>
      </c>
      <c r="N140" s="25">
        <f t="shared" si="106"/>
        <v>2.5851113355676624E-3</v>
      </c>
      <c r="O140" s="25">
        <f t="shared" si="107"/>
        <v>3.1630403527269078E-3</v>
      </c>
      <c r="P140" s="387">
        <v>163559090</v>
      </c>
      <c r="Q140" s="392">
        <v>104.95</v>
      </c>
      <c r="R140" s="25">
        <f t="shared" si="108"/>
        <v>2.1366230463715848E-3</v>
      </c>
      <c r="S140" s="25">
        <f t="shared" si="109"/>
        <v>2.7708771259316476E-3</v>
      </c>
      <c r="T140" s="387">
        <v>164282624.05000001</v>
      </c>
      <c r="U140" s="392">
        <v>105.56</v>
      </c>
      <c r="V140" s="25">
        <f t="shared" si="110"/>
        <v>4.42368595961259E-3</v>
      </c>
      <c r="W140" s="25">
        <f t="shared" si="111"/>
        <v>5.8122915674130486E-3</v>
      </c>
      <c r="X140" s="387">
        <v>164357703.31999999</v>
      </c>
      <c r="Y140" s="392">
        <v>105.66</v>
      </c>
      <c r="Z140" s="25">
        <f t="shared" si="112"/>
        <v>4.5701284864509031E-4</v>
      </c>
      <c r="AA140" s="25">
        <f t="shared" si="113"/>
        <v>9.4732853353537625E-4</v>
      </c>
      <c r="AB140" s="387">
        <v>164751448.41999999</v>
      </c>
      <c r="AC140" s="392">
        <v>105.97</v>
      </c>
      <c r="AD140" s="25">
        <f t="shared" si="114"/>
        <v>2.3956595404194896E-3</v>
      </c>
      <c r="AE140" s="25">
        <f t="shared" si="115"/>
        <v>2.9339390497823423E-3</v>
      </c>
      <c r="AF140" s="387">
        <v>165484066.63</v>
      </c>
      <c r="AG140" s="392">
        <v>106.51</v>
      </c>
      <c r="AH140" s="25">
        <f t="shared" si="116"/>
        <v>4.446808917469112E-3</v>
      </c>
      <c r="AI140" s="25">
        <f t="shared" si="117"/>
        <v>5.0957818250448829E-3</v>
      </c>
      <c r="AJ140" s="26">
        <f t="shared" si="118"/>
        <v>2.719257588102519E-3</v>
      </c>
      <c r="AK140" s="26">
        <f t="shared" si="119"/>
        <v>3.4091391135950811E-3</v>
      </c>
      <c r="AL140" s="27">
        <f t="shared" si="120"/>
        <v>1.9052750215802574E-2</v>
      </c>
      <c r="AM140" s="27">
        <f t="shared" si="121"/>
        <v>2.4036150370156713E-2</v>
      </c>
      <c r="AN140" s="28">
        <f t="shared" si="122"/>
        <v>1.2847262734169214E-3</v>
      </c>
      <c r="AO140" s="85">
        <f t="shared" si="123"/>
        <v>1.4875121211991023E-3</v>
      </c>
      <c r="AP140" s="32"/>
      <c r="AQ140" s="404"/>
      <c r="AR140" s="405"/>
      <c r="AS140" s="31"/>
      <c r="AT140" s="31"/>
    </row>
    <row r="141" spans="1:46">
      <c r="A141" s="217" t="s">
        <v>272</v>
      </c>
      <c r="B141" s="387"/>
      <c r="C141" s="392"/>
      <c r="D141" s="387"/>
      <c r="E141" s="392"/>
      <c r="F141" s="25" t="e">
        <f t="shared" si="102"/>
        <v>#DIV/0!</v>
      </c>
      <c r="G141" s="25" t="e">
        <f t="shared" si="103"/>
        <v>#DIV/0!</v>
      </c>
      <c r="H141" s="387">
        <v>55313800.840000004</v>
      </c>
      <c r="I141" s="392">
        <v>103.3537</v>
      </c>
      <c r="J141" s="25" t="e">
        <f t="shared" si="104"/>
        <v>#DIV/0!</v>
      </c>
      <c r="K141" s="25" t="e">
        <f t="shared" si="105"/>
        <v>#DIV/0!</v>
      </c>
      <c r="L141" s="387">
        <v>55469485.829999998</v>
      </c>
      <c r="M141" s="392">
        <v>103.6451</v>
      </c>
      <c r="N141" s="25">
        <f t="shared" si="106"/>
        <v>2.8145776937355481E-3</v>
      </c>
      <c r="O141" s="25">
        <f t="shared" si="107"/>
        <v>2.8194442966240772E-3</v>
      </c>
      <c r="P141" s="387">
        <v>55681034.43</v>
      </c>
      <c r="Q141" s="392">
        <v>104.0415</v>
      </c>
      <c r="R141" s="25">
        <f t="shared" si="108"/>
        <v>3.8137833231111002E-3</v>
      </c>
      <c r="S141" s="25">
        <f t="shared" si="109"/>
        <v>3.8245898744851408E-3</v>
      </c>
      <c r="T141" s="387">
        <v>55890978.689999998</v>
      </c>
      <c r="U141" s="392">
        <v>104.41630000000001</v>
      </c>
      <c r="V141" s="25">
        <f t="shared" si="110"/>
        <v>3.7704805980918253E-3</v>
      </c>
      <c r="W141" s="25">
        <f t="shared" si="111"/>
        <v>3.6024086542390064E-3</v>
      </c>
      <c r="X141" s="387">
        <v>56105225.090000004</v>
      </c>
      <c r="Y141" s="392">
        <v>104.81780000000001</v>
      </c>
      <c r="Z141" s="25">
        <f t="shared" si="112"/>
        <v>3.8332912577596157E-3</v>
      </c>
      <c r="AA141" s="25">
        <f t="shared" si="113"/>
        <v>3.8451850908335062E-3</v>
      </c>
      <c r="AB141" s="387">
        <v>56110328.299999997</v>
      </c>
      <c r="AC141" s="392">
        <v>104.8262</v>
      </c>
      <c r="AD141" s="25">
        <f t="shared" si="114"/>
        <v>9.0957838451004118E-5</v>
      </c>
      <c r="AE141" s="25">
        <f t="shared" si="115"/>
        <v>8.0139060350385469E-5</v>
      </c>
      <c r="AF141" s="387">
        <v>57023122.920000002</v>
      </c>
      <c r="AG141" s="392">
        <v>106.3028</v>
      </c>
      <c r="AH141" s="25">
        <f t="shared" si="116"/>
        <v>1.6267853845367802E-2</v>
      </c>
      <c r="AI141" s="25">
        <f t="shared" si="117"/>
        <v>1.4086173113210292E-2</v>
      </c>
      <c r="AJ141" s="26" t="e">
        <f t="shared" si="118"/>
        <v>#DIV/0!</v>
      </c>
      <c r="AK141" s="26" t="e">
        <f t="shared" si="119"/>
        <v>#DIV/0!</v>
      </c>
      <c r="AL141" s="27" t="e">
        <f t="shared" si="120"/>
        <v>#DIV/0!</v>
      </c>
      <c r="AM141" s="27" t="e">
        <f t="shared" si="121"/>
        <v>#DIV/0!</v>
      </c>
      <c r="AN141" s="28" t="e">
        <f t="shared" si="122"/>
        <v>#DIV/0!</v>
      </c>
      <c r="AO141" s="85" t="e">
        <f t="shared" si="123"/>
        <v>#DIV/0!</v>
      </c>
    </row>
    <row r="142" spans="1:46">
      <c r="A142" s="219" t="s">
        <v>46</v>
      </c>
      <c r="B142" s="232">
        <f>SUM(B118:B141)</f>
        <v>29903381585.981205</v>
      </c>
      <c r="C142" s="94"/>
      <c r="D142" s="232">
        <f>SUM(D118:D141)</f>
        <v>29870422741.332851</v>
      </c>
      <c r="E142" s="94"/>
      <c r="F142" s="25">
        <f>((D142-B142)/B142)</f>
        <v>-1.1021778441206388E-3</v>
      </c>
      <c r="G142" s="25"/>
      <c r="H142" s="232">
        <f>SUM(H118:H141)</f>
        <v>30095632697.342506</v>
      </c>
      <c r="I142" s="94"/>
      <c r="J142" s="25">
        <f>((H142-D142)/D142)</f>
        <v>7.5395637336602983E-3</v>
      </c>
      <c r="K142" s="25"/>
      <c r="L142" s="232">
        <f>SUM(L118:L141)</f>
        <v>30126566651.346909</v>
      </c>
      <c r="M142" s="94"/>
      <c r="N142" s="25">
        <f>((L142-H142)/H142)</f>
        <v>1.0278552478191854E-3</v>
      </c>
      <c r="O142" s="25"/>
      <c r="P142" s="232">
        <f>SUM(P118:P141)</f>
        <v>30336361937.028297</v>
      </c>
      <c r="Q142" s="94"/>
      <c r="R142" s="25">
        <f>((P142-L142)/L142)</f>
        <v>6.9637967083782931E-3</v>
      </c>
      <c r="S142" s="25"/>
      <c r="T142" s="232">
        <f>SUM(T118:T141)</f>
        <v>31041156130.042023</v>
      </c>
      <c r="U142" s="94"/>
      <c r="V142" s="25">
        <f>((T142-P142)/P142)</f>
        <v>2.3232653753166747E-2</v>
      </c>
      <c r="W142" s="25"/>
      <c r="X142" s="232">
        <f>SUM(X118:X141)</f>
        <v>30761564463.892384</v>
      </c>
      <c r="Y142" s="94"/>
      <c r="Z142" s="25">
        <f>((X142-T142)/T142)</f>
        <v>-9.0071279877055477E-3</v>
      </c>
      <c r="AA142" s="25"/>
      <c r="AB142" s="232">
        <f>SUM(AB118:AB141)</f>
        <v>30652475117.892384</v>
      </c>
      <c r="AC142" s="94"/>
      <c r="AD142" s="25">
        <f>((AB142-X142)/X142)</f>
        <v>-3.5462873199459013E-3</v>
      </c>
      <c r="AE142" s="25"/>
      <c r="AF142" s="232">
        <f>SUM(AF118:AF141)</f>
        <v>31150543689.963333</v>
      </c>
      <c r="AG142" s="94"/>
      <c r="AH142" s="25">
        <f>((AF142-AB142)/AB142)</f>
        <v>1.6248885943315496E-2</v>
      </c>
      <c r="AI142" s="25"/>
      <c r="AJ142" s="26">
        <f t="shared" si="118"/>
        <v>5.1696452793209913E-3</v>
      </c>
      <c r="AK142" s="26"/>
      <c r="AL142" s="27">
        <f t="shared" si="120"/>
        <v>4.2855802869476274E-2</v>
      </c>
      <c r="AM142" s="27"/>
      <c r="AN142" s="28">
        <f t="shared" si="122"/>
        <v>1.0632133994533242E-2</v>
      </c>
      <c r="AO142" s="85"/>
    </row>
    <row r="143" spans="1:46" s="119" customFormat="1" ht="8.25" customHeight="1">
      <c r="A143" s="219"/>
      <c r="B143" s="94"/>
      <c r="C143" s="94"/>
      <c r="D143" s="94"/>
      <c r="E143" s="94"/>
      <c r="F143" s="25"/>
      <c r="G143" s="25"/>
      <c r="H143" s="94"/>
      <c r="I143" s="94"/>
      <c r="J143" s="25"/>
      <c r="K143" s="25"/>
      <c r="L143" s="94"/>
      <c r="M143" s="94"/>
      <c r="N143" s="25"/>
      <c r="O143" s="25"/>
      <c r="P143" s="94"/>
      <c r="Q143" s="94"/>
      <c r="R143" s="25"/>
      <c r="S143" s="25"/>
      <c r="T143" s="94"/>
      <c r="U143" s="94"/>
      <c r="V143" s="25"/>
      <c r="W143" s="25"/>
      <c r="X143" s="94"/>
      <c r="Y143" s="94"/>
      <c r="Z143" s="25"/>
      <c r="AA143" s="25"/>
      <c r="AB143" s="94"/>
      <c r="AC143" s="94"/>
      <c r="AD143" s="25"/>
      <c r="AE143" s="25"/>
      <c r="AF143" s="94"/>
      <c r="AG143" s="94"/>
      <c r="AH143" s="25"/>
      <c r="AI143" s="25"/>
      <c r="AJ143" s="26"/>
      <c r="AK143" s="26"/>
      <c r="AL143" s="27"/>
      <c r="AM143" s="27"/>
      <c r="AN143" s="28"/>
      <c r="AO143" s="85"/>
    </row>
    <row r="144" spans="1:46" s="119" customFormat="1">
      <c r="A144" s="221" t="s">
        <v>71</v>
      </c>
      <c r="B144" s="94"/>
      <c r="C144" s="94"/>
      <c r="D144" s="94"/>
      <c r="E144" s="94"/>
      <c r="F144" s="25"/>
      <c r="G144" s="25"/>
      <c r="H144" s="94"/>
      <c r="I144" s="94"/>
      <c r="J144" s="25"/>
      <c r="K144" s="25"/>
      <c r="L144" s="94"/>
      <c r="M144" s="94"/>
      <c r="N144" s="25"/>
      <c r="O144" s="25"/>
      <c r="P144" s="94"/>
      <c r="Q144" s="94"/>
      <c r="R144" s="25"/>
      <c r="S144" s="25"/>
      <c r="T144" s="94"/>
      <c r="U144" s="94"/>
      <c r="V144" s="25"/>
      <c r="W144" s="25"/>
      <c r="X144" s="94"/>
      <c r="Y144" s="94"/>
      <c r="Z144" s="25"/>
      <c r="AA144" s="25"/>
      <c r="AB144" s="94"/>
      <c r="AC144" s="94"/>
      <c r="AD144" s="25"/>
      <c r="AE144" s="25"/>
      <c r="AF144" s="94"/>
      <c r="AG144" s="94"/>
      <c r="AH144" s="25"/>
      <c r="AI144" s="25"/>
      <c r="AJ144" s="26"/>
      <c r="AK144" s="26"/>
      <c r="AL144" s="27"/>
      <c r="AM144" s="27"/>
      <c r="AN144" s="28"/>
      <c r="AO144" s="85"/>
    </row>
    <row r="145" spans="1:41" s="119" customFormat="1">
      <c r="A145" s="218" t="s">
        <v>205</v>
      </c>
      <c r="B145" s="387">
        <v>576930127.47000003</v>
      </c>
      <c r="C145" s="388">
        <v>15.6256</v>
      </c>
      <c r="D145" s="387">
        <v>579606198.36000001</v>
      </c>
      <c r="E145" s="388">
        <v>15.615</v>
      </c>
      <c r="F145" s="25">
        <f t="shared" ref="F145:G147" si="124">((D145-B145)/B145)</f>
        <v>4.6384661895458729E-3</v>
      </c>
      <c r="G145" s="25">
        <f t="shared" si="124"/>
        <v>-6.783739504403136E-4</v>
      </c>
      <c r="H145" s="387">
        <v>574921326.77999997</v>
      </c>
      <c r="I145" s="388">
        <v>15.7354</v>
      </c>
      <c r="J145" s="25">
        <f t="shared" ref="J145:K147" si="125">((H145-D145)/D145)</f>
        <v>-8.0828527942867438E-3</v>
      </c>
      <c r="K145" s="25">
        <f t="shared" si="125"/>
        <v>7.7105347422350345E-3</v>
      </c>
      <c r="L145" s="387">
        <v>585260800.14999998</v>
      </c>
      <c r="M145" s="388">
        <v>15.882199999999999</v>
      </c>
      <c r="N145" s="25">
        <f t="shared" ref="N145:O147" si="126">((L145-H145)/H145)</f>
        <v>1.7984153463064208E-2</v>
      </c>
      <c r="O145" s="25">
        <f t="shared" si="126"/>
        <v>9.3292830179085972E-3</v>
      </c>
      <c r="P145" s="387">
        <v>587770816.25999999</v>
      </c>
      <c r="Q145" s="388">
        <v>16.073799999999999</v>
      </c>
      <c r="R145" s="25">
        <f t="shared" ref="R145:S147" si="127">((P145-L145)/L145)</f>
        <v>4.2887138679998851E-3</v>
      </c>
      <c r="S145" s="25">
        <f t="shared" si="127"/>
        <v>1.2063819873820965E-2</v>
      </c>
      <c r="T145" s="387">
        <v>596856333.58000004</v>
      </c>
      <c r="U145" s="388">
        <v>16.161000000000001</v>
      </c>
      <c r="V145" s="25">
        <f t="shared" ref="V145:V147" si="128">((T145-P145)/P145)</f>
        <v>1.5457584944096783E-2</v>
      </c>
      <c r="W145" s="25">
        <f t="shared" ref="W145:W147" si="129">((U145-Q145)/Q145)</f>
        <v>5.4249772922397221E-3</v>
      </c>
      <c r="X145" s="387">
        <v>599628904.95000005</v>
      </c>
      <c r="Y145" s="388">
        <v>16.449000000000002</v>
      </c>
      <c r="Z145" s="25">
        <f t="shared" ref="Z145:Z147" si="130">((X145-T145)/T145)</f>
        <v>4.6452910256809419E-3</v>
      </c>
      <c r="AA145" s="25">
        <f t="shared" ref="AA145:AA147" si="131">((Y145-U145)/U145)</f>
        <v>1.7820679413402651E-2</v>
      </c>
      <c r="AB145" s="387">
        <v>600439918.73000002</v>
      </c>
      <c r="AC145" s="388">
        <v>16.447800000000001</v>
      </c>
      <c r="AD145" s="25">
        <f t="shared" ref="AD145:AD147" si="132">((AB145-X145)/X145)</f>
        <v>1.3525261596046602E-3</v>
      </c>
      <c r="AE145" s="25">
        <f t="shared" ref="AE145:AE147" si="133">((AC145-Y145)/Y145)</f>
        <v>-7.2952763085947826E-5</v>
      </c>
      <c r="AF145" s="387">
        <v>603188613.46000004</v>
      </c>
      <c r="AG145" s="388">
        <v>16.522099999999998</v>
      </c>
      <c r="AH145" s="25">
        <f t="shared" ref="AH145:AH147" si="134">((AF145-AB145)/AB145)</f>
        <v>4.5778014490006373E-3</v>
      </c>
      <c r="AI145" s="25">
        <f t="shared" ref="AI145:AI147" si="135">((AG145-AC145)/AC145)</f>
        <v>4.5173214654845853E-3</v>
      </c>
      <c r="AJ145" s="26">
        <f t="shared" si="118"/>
        <v>5.6077105380882798E-3</v>
      </c>
      <c r="AK145" s="26">
        <f t="shared" si="119"/>
        <v>7.014411136445662E-3</v>
      </c>
      <c r="AL145" s="27">
        <f t="shared" si="120"/>
        <v>4.068696153824207E-2</v>
      </c>
      <c r="AM145" s="27">
        <f t="shared" si="121"/>
        <v>5.8091578610310474E-2</v>
      </c>
      <c r="AN145" s="28">
        <f t="shared" si="122"/>
        <v>8.1099641941654883E-3</v>
      </c>
      <c r="AO145" s="85">
        <f t="shared" si="123"/>
        <v>6.1677341148466333E-3</v>
      </c>
    </row>
    <row r="146" spans="1:41">
      <c r="A146" s="218" t="s">
        <v>29</v>
      </c>
      <c r="B146" s="387">
        <v>1736961296.45</v>
      </c>
      <c r="C146" s="388">
        <v>1.39</v>
      </c>
      <c r="D146" s="387">
        <v>1736961296.45</v>
      </c>
      <c r="E146" s="388">
        <v>1.4</v>
      </c>
      <c r="F146" s="25">
        <f t="shared" si="124"/>
        <v>0</v>
      </c>
      <c r="G146" s="25">
        <f t="shared" si="124"/>
        <v>7.1942446043165541E-3</v>
      </c>
      <c r="H146" s="387">
        <v>1761117722.8800001</v>
      </c>
      <c r="I146" s="388">
        <v>1.41</v>
      </c>
      <c r="J146" s="25">
        <f t="shared" si="125"/>
        <v>1.3907291129267503E-2</v>
      </c>
      <c r="K146" s="25">
        <f t="shared" si="125"/>
        <v>7.1428571428571496E-3</v>
      </c>
      <c r="L146" s="387">
        <v>1799937197.24</v>
      </c>
      <c r="M146" s="388">
        <v>1.44</v>
      </c>
      <c r="N146" s="25">
        <f t="shared" si="126"/>
        <v>2.204252098293431E-2</v>
      </c>
      <c r="O146" s="25">
        <f t="shared" si="126"/>
        <v>2.1276595744680871E-2</v>
      </c>
      <c r="P146" s="387">
        <v>1811638895.3599999</v>
      </c>
      <c r="Q146" s="388">
        <v>1.45</v>
      </c>
      <c r="R146" s="25">
        <f t="shared" si="127"/>
        <v>6.5011702285741498E-3</v>
      </c>
      <c r="S146" s="25">
        <f t="shared" si="127"/>
        <v>6.944444444444451E-3</v>
      </c>
      <c r="T146" s="387">
        <v>1848539750.26</v>
      </c>
      <c r="U146" s="388">
        <v>1.48</v>
      </c>
      <c r="V146" s="25">
        <f t="shared" si="128"/>
        <v>2.0368769402396465E-2</v>
      </c>
      <c r="W146" s="25">
        <f t="shared" si="129"/>
        <v>2.0689655172413814E-2</v>
      </c>
      <c r="X146" s="387">
        <v>1849763903.3499999</v>
      </c>
      <c r="Y146" s="388">
        <v>1.48</v>
      </c>
      <c r="Z146" s="25">
        <f t="shared" si="130"/>
        <v>6.622270848261365E-4</v>
      </c>
      <c r="AA146" s="25">
        <f t="shared" si="131"/>
        <v>0</v>
      </c>
      <c r="AB146" s="387">
        <v>1855851229.21</v>
      </c>
      <c r="AC146" s="388">
        <v>1.49</v>
      </c>
      <c r="AD146" s="25">
        <f t="shared" si="132"/>
        <v>3.2908663905570497E-3</v>
      </c>
      <c r="AE146" s="25">
        <f t="shared" si="133"/>
        <v>6.7567567567567632E-3</v>
      </c>
      <c r="AF146" s="387">
        <v>1907133816.53</v>
      </c>
      <c r="AG146" s="388">
        <v>1.53</v>
      </c>
      <c r="AH146" s="25">
        <f t="shared" si="134"/>
        <v>2.7632919337952502E-2</v>
      </c>
      <c r="AI146" s="25">
        <f t="shared" si="135"/>
        <v>2.6845637583892641E-2</v>
      </c>
      <c r="AJ146" s="26">
        <f t="shared" si="118"/>
        <v>1.1800720569563513E-2</v>
      </c>
      <c r="AK146" s="26">
        <f t="shared" si="119"/>
        <v>1.2106273931170281E-2</v>
      </c>
      <c r="AL146" s="27">
        <f t="shared" si="120"/>
        <v>9.7971394312468776E-2</v>
      </c>
      <c r="AM146" s="27">
        <f t="shared" si="121"/>
        <v>9.2857142857142944E-2</v>
      </c>
      <c r="AN146" s="28">
        <f t="shared" si="122"/>
        <v>1.0671912326349365E-2</v>
      </c>
      <c r="AO146" s="85">
        <f t="shared" si="123"/>
        <v>9.4536863637673316E-3</v>
      </c>
    </row>
    <row r="147" spans="1:41">
      <c r="A147" s="218" t="s">
        <v>30</v>
      </c>
      <c r="B147" s="388">
        <v>556106078.00999999</v>
      </c>
      <c r="C147" s="388">
        <v>43.763599999999997</v>
      </c>
      <c r="D147" s="388">
        <v>556660561.27999997</v>
      </c>
      <c r="E147" s="388">
        <v>44.286799999999999</v>
      </c>
      <c r="F147" s="25">
        <f t="shared" si="124"/>
        <v>9.9708183730732409E-4</v>
      </c>
      <c r="G147" s="25">
        <f t="shared" si="124"/>
        <v>1.195514080194506E-2</v>
      </c>
      <c r="H147" s="388">
        <v>552018160.54999995</v>
      </c>
      <c r="I147" s="388">
        <v>43.912300000000002</v>
      </c>
      <c r="J147" s="25">
        <f t="shared" si="125"/>
        <v>-8.3397334981396218E-3</v>
      </c>
      <c r="K147" s="25">
        <f t="shared" si="125"/>
        <v>-8.4562442985268212E-3</v>
      </c>
      <c r="L147" s="388">
        <v>564548787.46000004</v>
      </c>
      <c r="M147" s="388">
        <v>44.886200000000002</v>
      </c>
      <c r="N147" s="25">
        <f t="shared" si="126"/>
        <v>2.2699664260167222E-2</v>
      </c>
      <c r="O147" s="25">
        <f t="shared" si="126"/>
        <v>2.2178296286006434E-2</v>
      </c>
      <c r="P147" s="388">
        <v>581417503.13</v>
      </c>
      <c r="Q147" s="388">
        <v>46.780200000000001</v>
      </c>
      <c r="R147" s="25">
        <f t="shared" si="127"/>
        <v>2.9879996281446546E-2</v>
      </c>
      <c r="S147" s="25">
        <f t="shared" si="127"/>
        <v>4.2195596864960681E-2</v>
      </c>
      <c r="T147" s="388">
        <v>586637324.90999997</v>
      </c>
      <c r="U147" s="388">
        <v>47.311700000000002</v>
      </c>
      <c r="V147" s="25">
        <f t="shared" si="128"/>
        <v>8.9777513609404763E-3</v>
      </c>
      <c r="W147" s="25">
        <f t="shared" si="129"/>
        <v>1.1361644456415347E-2</v>
      </c>
      <c r="X147" s="388">
        <v>588149083.70000005</v>
      </c>
      <c r="Y147" s="388">
        <v>47.380400000000002</v>
      </c>
      <c r="Z147" s="25">
        <f t="shared" si="130"/>
        <v>2.576990460387106E-3</v>
      </c>
      <c r="AA147" s="25">
        <f t="shared" si="131"/>
        <v>1.4520721090131989E-3</v>
      </c>
      <c r="AB147" s="388">
        <v>590641312.95000005</v>
      </c>
      <c r="AC147" s="388">
        <v>47.583500000000001</v>
      </c>
      <c r="AD147" s="25">
        <f t="shared" si="132"/>
        <v>4.2374107502158804E-3</v>
      </c>
      <c r="AE147" s="25">
        <f t="shared" si="133"/>
        <v>4.2865826375463097E-3</v>
      </c>
      <c r="AF147" s="388">
        <v>539465548.28999996</v>
      </c>
      <c r="AG147" s="388" t="s">
        <v>286</v>
      </c>
      <c r="AH147" s="25">
        <f t="shared" si="134"/>
        <v>-8.6644404205996173E-2</v>
      </c>
      <c r="AI147" s="25" t="e">
        <f t="shared" si="135"/>
        <v>#VALUE!</v>
      </c>
      <c r="AJ147" s="26">
        <f t="shared" si="118"/>
        <v>-3.201905344208905E-3</v>
      </c>
      <c r="AK147" s="26" t="e">
        <f t="shared" si="119"/>
        <v>#VALUE!</v>
      </c>
      <c r="AL147" s="27">
        <f t="shared" si="120"/>
        <v>-3.0889583681770708E-2</v>
      </c>
      <c r="AM147" s="27" t="e">
        <f t="shared" si="121"/>
        <v>#VALUE!</v>
      </c>
      <c r="AN147" s="28">
        <f t="shared" si="122"/>
        <v>3.5874913656556227E-2</v>
      </c>
      <c r="AO147" s="85" t="e">
        <f t="shared" si="123"/>
        <v>#VALUE!</v>
      </c>
    </row>
    <row r="148" spans="1:41">
      <c r="A148" s="219" t="s">
        <v>46</v>
      </c>
      <c r="B148" s="232">
        <f>SUM(B145:B147)</f>
        <v>2869997501.9300003</v>
      </c>
      <c r="C148" s="94"/>
      <c r="D148" s="232">
        <f>SUM(D145:D147)</f>
        <v>2873228056.0900002</v>
      </c>
      <c r="E148" s="94"/>
      <c r="F148" s="25">
        <f>((D148-B148)/B148)</f>
        <v>1.1256296069342856E-3</v>
      </c>
      <c r="G148" s="25"/>
      <c r="H148" s="232">
        <f>SUM(H145:H147)</f>
        <v>2888057210.21</v>
      </c>
      <c r="I148" s="94"/>
      <c r="J148" s="25">
        <f>((H148-D148)/D148)</f>
        <v>5.1611476118536767E-3</v>
      </c>
      <c r="K148" s="25"/>
      <c r="L148" s="232">
        <f>SUM(L145:L147)</f>
        <v>2949746784.8499999</v>
      </c>
      <c r="M148" s="94"/>
      <c r="N148" s="25">
        <f>((L148-H148)/H148)</f>
        <v>2.1360232900481294E-2</v>
      </c>
      <c r="O148" s="25"/>
      <c r="P148" s="232">
        <f>SUM(P145:P147)</f>
        <v>2980827214.75</v>
      </c>
      <c r="Q148" s="94"/>
      <c r="R148" s="25">
        <f>((P148-L148)/L148)</f>
        <v>1.0536643368722442E-2</v>
      </c>
      <c r="S148" s="25"/>
      <c r="T148" s="232">
        <f>SUM(T145:T147)</f>
        <v>3032033408.75</v>
      </c>
      <c r="U148" s="94"/>
      <c r="V148" s="25">
        <f>((T148-P148)/P148)</f>
        <v>1.717851801225407E-2</v>
      </c>
      <c r="W148" s="25"/>
      <c r="X148" s="232">
        <f>SUM(X145:X147)</f>
        <v>3037541892</v>
      </c>
      <c r="Y148" s="94"/>
      <c r="Z148" s="25">
        <f>((X148-T148)/T148)</f>
        <v>1.816762056151272E-3</v>
      </c>
      <c r="AA148" s="25"/>
      <c r="AB148" s="232">
        <f>SUM(AB145:AB147)</f>
        <v>3046932460.8900003</v>
      </c>
      <c r="AC148" s="94"/>
      <c r="AD148" s="25">
        <f>((AB148-X148)/X148)</f>
        <v>3.0915026767967761E-3</v>
      </c>
      <c r="AE148" s="25"/>
      <c r="AF148" s="232">
        <f>SUM(AF145:AF147)</f>
        <v>3049787978.2799997</v>
      </c>
      <c r="AG148" s="94"/>
      <c r="AH148" s="25">
        <f>((AF148-AB148)/AB148)</f>
        <v>9.3717777687966908E-4</v>
      </c>
      <c r="AI148" s="25"/>
      <c r="AJ148" s="26">
        <f t="shared" si="118"/>
        <v>7.6509517512591847E-3</v>
      </c>
      <c r="AK148" s="26"/>
      <c r="AL148" s="27">
        <f t="shared" si="120"/>
        <v>6.1450020236217921E-2</v>
      </c>
      <c r="AM148" s="27"/>
      <c r="AN148" s="28">
        <f t="shared" si="122"/>
        <v>7.8896513102124175E-3</v>
      </c>
      <c r="AO148" s="85"/>
    </row>
    <row r="149" spans="1:41" ht="8.25" customHeight="1">
      <c r="A149" s="219"/>
      <c r="B149" s="94"/>
      <c r="C149" s="94"/>
      <c r="D149" s="94"/>
      <c r="E149" s="94"/>
      <c r="F149" s="25"/>
      <c r="G149" s="25"/>
      <c r="H149" s="94"/>
      <c r="I149" s="94"/>
      <c r="J149" s="25"/>
      <c r="K149" s="25"/>
      <c r="L149" s="94"/>
      <c r="M149" s="94"/>
      <c r="N149" s="25"/>
      <c r="O149" s="25"/>
      <c r="P149" s="94"/>
      <c r="Q149" s="94"/>
      <c r="R149" s="25"/>
      <c r="S149" s="25"/>
      <c r="T149" s="94"/>
      <c r="U149" s="94"/>
      <c r="V149" s="25"/>
      <c r="W149" s="25"/>
      <c r="X149" s="94"/>
      <c r="Y149" s="94"/>
      <c r="Z149" s="25"/>
      <c r="AA149" s="25"/>
      <c r="AB149" s="94"/>
      <c r="AC149" s="94"/>
      <c r="AD149" s="25"/>
      <c r="AE149" s="25"/>
      <c r="AF149" s="94"/>
      <c r="AG149" s="94"/>
      <c r="AH149" s="25"/>
      <c r="AI149" s="25"/>
      <c r="AJ149" s="26"/>
      <c r="AK149" s="26"/>
      <c r="AL149" s="27"/>
      <c r="AM149" s="27"/>
      <c r="AN149" s="28"/>
      <c r="AO149" s="85"/>
    </row>
    <row r="150" spans="1:41">
      <c r="A150" s="222" t="s">
        <v>214</v>
      </c>
      <c r="B150" s="94"/>
      <c r="C150" s="94"/>
      <c r="D150" s="94"/>
      <c r="E150" s="94"/>
      <c r="F150" s="25"/>
      <c r="G150" s="25"/>
      <c r="H150" s="94"/>
      <c r="I150" s="94"/>
      <c r="J150" s="25"/>
      <c r="K150" s="25"/>
      <c r="L150" s="94"/>
      <c r="M150" s="94"/>
      <c r="N150" s="25"/>
      <c r="O150" s="25"/>
      <c r="P150" s="94"/>
      <c r="Q150" s="94"/>
      <c r="R150" s="25"/>
      <c r="S150" s="25"/>
      <c r="T150" s="94"/>
      <c r="U150" s="94"/>
      <c r="V150" s="25"/>
      <c r="W150" s="25"/>
      <c r="X150" s="94"/>
      <c r="Y150" s="94"/>
      <c r="Z150" s="25"/>
      <c r="AA150" s="25"/>
      <c r="AB150" s="94"/>
      <c r="AC150" s="94"/>
      <c r="AD150" s="25"/>
      <c r="AE150" s="25"/>
      <c r="AF150" s="94"/>
      <c r="AG150" s="94"/>
      <c r="AH150" s="25"/>
      <c r="AI150" s="25"/>
      <c r="AJ150" s="26"/>
      <c r="AK150" s="26"/>
      <c r="AL150" s="27"/>
      <c r="AM150" s="27"/>
      <c r="AN150" s="28"/>
      <c r="AO150" s="85"/>
    </row>
    <row r="151" spans="1:41">
      <c r="A151" s="223" t="s">
        <v>215</v>
      </c>
      <c r="B151" s="94"/>
      <c r="C151" s="94"/>
      <c r="D151" s="94"/>
      <c r="E151" s="94"/>
      <c r="F151" s="25"/>
      <c r="G151" s="25"/>
      <c r="H151" s="94"/>
      <c r="I151" s="94"/>
      <c r="J151" s="25"/>
      <c r="K151" s="25"/>
      <c r="L151" s="94"/>
      <c r="M151" s="94"/>
      <c r="N151" s="25"/>
      <c r="O151" s="25"/>
      <c r="P151" s="94"/>
      <c r="Q151" s="94"/>
      <c r="R151" s="25"/>
      <c r="S151" s="25"/>
      <c r="T151" s="94"/>
      <c r="U151" s="94"/>
      <c r="V151" s="25"/>
      <c r="W151" s="25"/>
      <c r="X151" s="94"/>
      <c r="Y151" s="94"/>
      <c r="Z151" s="25"/>
      <c r="AA151" s="25"/>
      <c r="AB151" s="94"/>
      <c r="AC151" s="94"/>
      <c r="AD151" s="25"/>
      <c r="AE151" s="25"/>
      <c r="AF151" s="94"/>
      <c r="AG151" s="94"/>
      <c r="AH151" s="25"/>
      <c r="AI151" s="25"/>
      <c r="AJ151" s="26"/>
      <c r="AK151" s="26"/>
      <c r="AL151" s="27"/>
      <c r="AM151" s="27"/>
      <c r="AN151" s="28"/>
      <c r="AO151" s="85"/>
    </row>
    <row r="152" spans="1:41">
      <c r="A152" s="218" t="s">
        <v>28</v>
      </c>
      <c r="B152" s="378">
        <v>3454548650.4899998</v>
      </c>
      <c r="C152" s="380">
        <v>1.72</v>
      </c>
      <c r="D152" s="378">
        <v>3463289246.5599999</v>
      </c>
      <c r="E152" s="380">
        <v>1.73</v>
      </c>
      <c r="F152" s="25">
        <f>((D145-B152)/B152)</f>
        <v>-0.83221941359031437</v>
      </c>
      <c r="G152" s="25">
        <f>((E152-C152)/C152)</f>
        <v>5.8139534883720981E-3</v>
      </c>
      <c r="H152" s="378">
        <v>3454548650.4899998</v>
      </c>
      <c r="I152" s="380">
        <v>1.72</v>
      </c>
      <c r="J152" s="25">
        <f>((H145-D152)/D152)</f>
        <v>-0.83399557881252473</v>
      </c>
      <c r="K152" s="25">
        <f>((I152-E152)/E152)</f>
        <v>-5.7803468208092535E-3</v>
      </c>
      <c r="L152" s="378">
        <v>3497327251.5100002</v>
      </c>
      <c r="M152" s="380">
        <v>1.74</v>
      </c>
      <c r="N152" s="25">
        <f>((L145-H152)/H152)</f>
        <v>-0.83058255669174452</v>
      </c>
      <c r="O152" s="25">
        <f>((M152-I152)/I152)</f>
        <v>1.1627906976744196E-2</v>
      </c>
      <c r="P152" s="378">
        <v>3559610061.0500002</v>
      </c>
      <c r="Q152" s="380">
        <v>1.74</v>
      </c>
      <c r="R152" s="25">
        <f>((P145-L152)/L152)</f>
        <v>-0.83193714113935857</v>
      </c>
      <c r="S152" s="25">
        <f>((Q152-M152)/M152)</f>
        <v>0</v>
      </c>
      <c r="T152" s="378">
        <v>3608696215.3299999</v>
      </c>
      <c r="U152" s="380">
        <v>1.8</v>
      </c>
      <c r="V152" s="25">
        <f>((T145-P152)/P152)</f>
        <v>-0.83232536054695228</v>
      </c>
      <c r="W152" s="25">
        <f>((U152-Q152)/Q152)</f>
        <v>3.4482758620689689E-2</v>
      </c>
      <c r="X152" s="378">
        <v>3610106502.4699998</v>
      </c>
      <c r="Y152" s="380">
        <v>1.8</v>
      </c>
      <c r="Z152" s="25">
        <f>((X145-T152)/T152)</f>
        <v>-0.83383779925760082</v>
      </c>
      <c r="AA152" s="25">
        <f>((Y152-U152)/U152)</f>
        <v>0</v>
      </c>
      <c r="AB152" s="378">
        <v>3621726018.6799998</v>
      </c>
      <c r="AC152" s="380">
        <v>1.8</v>
      </c>
      <c r="AD152" s="25">
        <f>((AB145-X152)/X152)</f>
        <v>-0.83367805954777652</v>
      </c>
      <c r="AE152" s="25">
        <f>((AC152-Y152)/Y152)</f>
        <v>0</v>
      </c>
      <c r="AF152" s="378">
        <v>3655398927.79</v>
      </c>
      <c r="AG152" s="380">
        <v>1.82</v>
      </c>
      <c r="AH152" s="25">
        <f>((AF145-AB152)/AB152)</f>
        <v>-0.83345272106479151</v>
      </c>
      <c r="AI152" s="25">
        <f>((AG152-AC152)/AC152)</f>
        <v>1.111111111111112E-2</v>
      </c>
      <c r="AJ152" s="26">
        <f t="shared" si="118"/>
        <v>-0.83275357883138279</v>
      </c>
      <c r="AK152" s="26">
        <f t="shared" si="119"/>
        <v>7.1569229220134816E-3</v>
      </c>
      <c r="AL152" s="27">
        <f t="shared" si="120"/>
        <v>5.5470296459014461E-2</v>
      </c>
      <c r="AM152" s="27">
        <f t="shared" si="121"/>
        <v>5.202312138728328E-2</v>
      </c>
      <c r="AN152" s="28">
        <f t="shared" si="122"/>
        <v>1.1898483326486995E-3</v>
      </c>
      <c r="AO152" s="85">
        <f t="shared" si="123"/>
        <v>1.2565074905789347E-2</v>
      </c>
    </row>
    <row r="153" spans="1:41">
      <c r="A153" s="217" t="s">
        <v>70</v>
      </c>
      <c r="B153" s="378">
        <v>287179911.73000002</v>
      </c>
      <c r="C153" s="380">
        <v>258.16000000000003</v>
      </c>
      <c r="D153" s="378">
        <v>287042549.93000001</v>
      </c>
      <c r="E153" s="380">
        <v>258.49</v>
      </c>
      <c r="F153" s="25">
        <f>((D146-B153)/B153)</f>
        <v>5.0483384300328478</v>
      </c>
      <c r="G153" s="25">
        <f>((E153-C153)/C153)</f>
        <v>1.2782770374960646E-3</v>
      </c>
      <c r="H153" s="378">
        <v>289562971.23000002</v>
      </c>
      <c r="I153" s="380">
        <v>258.95999999999998</v>
      </c>
      <c r="J153" s="25">
        <f>((H146-D153)/D153)</f>
        <v>5.1353890679604026</v>
      </c>
      <c r="K153" s="25">
        <f>((I153-E153)/E153)</f>
        <v>1.8182521567564332E-3</v>
      </c>
      <c r="L153" s="378">
        <v>295560826.66000003</v>
      </c>
      <c r="M153" s="380">
        <v>265.49</v>
      </c>
      <c r="N153" s="25">
        <f>((L146-H153)/H153)</f>
        <v>5.2160475477726358</v>
      </c>
      <c r="O153" s="25">
        <f>((M153-I153)/I153)</f>
        <v>2.5216249613840093E-2</v>
      </c>
      <c r="P153" s="378">
        <v>295462572.35000002</v>
      </c>
      <c r="Q153" s="380">
        <v>264.92</v>
      </c>
      <c r="R153" s="25">
        <f>((P146-L153)/L153)</f>
        <v>5.1294959681650516</v>
      </c>
      <c r="S153" s="25">
        <f>((Q153-M153)/M153)</f>
        <v>-2.1469735206598862E-3</v>
      </c>
      <c r="T153" s="378">
        <v>301197849.95999998</v>
      </c>
      <c r="U153" s="380">
        <v>271.89999999999998</v>
      </c>
      <c r="V153" s="25">
        <f>((T146-P153)/P153)</f>
        <v>5.2564261035074544</v>
      </c>
      <c r="W153" s="25">
        <f>((U153-Q153)/Q153)</f>
        <v>2.6347576626906087E-2</v>
      </c>
      <c r="X153" s="378">
        <v>302252505.66000003</v>
      </c>
      <c r="Y153" s="380">
        <v>272.76</v>
      </c>
      <c r="Z153" s="25">
        <f>((X146-T153)/T153)</f>
        <v>5.1413582586849618</v>
      </c>
      <c r="AA153" s="25">
        <f>((Y153-U153)/U153)</f>
        <v>3.1629275468922904E-3</v>
      </c>
      <c r="AB153" s="378">
        <v>307237826.99000001</v>
      </c>
      <c r="AC153" s="380">
        <v>274.3</v>
      </c>
      <c r="AD153" s="25">
        <f>((AB146-X153)/X153)</f>
        <v>5.140068963721423</v>
      </c>
      <c r="AE153" s="25">
        <f>((AC153-Y153)/Y153)</f>
        <v>5.6459891479689857E-3</v>
      </c>
      <c r="AF153" s="378">
        <v>311533840.92000002</v>
      </c>
      <c r="AG153" s="380">
        <v>277.17</v>
      </c>
      <c r="AH153" s="25">
        <f>((AF146-AB153)/AB153)</f>
        <v>5.2073535515276035</v>
      </c>
      <c r="AI153" s="25">
        <f>((AG153-AC153)/AC153)</f>
        <v>1.0462996718920906E-2</v>
      </c>
      <c r="AJ153" s="26">
        <f t="shared" si="118"/>
        <v>5.1593097364215481</v>
      </c>
      <c r="AK153" s="26">
        <f t="shared" si="119"/>
        <v>8.9731619160151217E-3</v>
      </c>
      <c r="AL153" s="27">
        <f t="shared" si="120"/>
        <v>8.5322858914027244E-2</v>
      </c>
      <c r="AM153" s="27">
        <f t="shared" si="121"/>
        <v>7.2265851677047493E-2</v>
      </c>
      <c r="AN153" s="28">
        <f t="shared" si="122"/>
        <v>6.4837300825925509E-2</v>
      </c>
      <c r="AO153" s="85">
        <f t="shared" si="123"/>
        <v>1.0998818724783666E-2</v>
      </c>
    </row>
    <row r="154" spans="1:41" ht="8.25" customHeight="1">
      <c r="A154" s="219"/>
      <c r="B154" s="94"/>
      <c r="C154" s="94"/>
      <c r="D154" s="94"/>
      <c r="E154" s="94"/>
      <c r="F154" s="25"/>
      <c r="G154" s="25"/>
      <c r="H154" s="94"/>
      <c r="I154" s="94"/>
      <c r="J154" s="25"/>
      <c r="K154" s="25"/>
      <c r="L154" s="94"/>
      <c r="M154" s="94"/>
      <c r="N154" s="25"/>
      <c r="O154" s="25"/>
      <c r="P154" s="94"/>
      <c r="Q154" s="94"/>
      <c r="R154" s="25"/>
      <c r="S154" s="25"/>
      <c r="T154" s="94"/>
      <c r="U154" s="94"/>
      <c r="V154" s="25"/>
      <c r="W154" s="25"/>
      <c r="X154" s="94"/>
      <c r="Y154" s="94"/>
      <c r="Z154" s="25"/>
      <c r="AA154" s="25"/>
      <c r="AB154" s="94"/>
      <c r="AC154" s="94"/>
      <c r="AD154" s="25"/>
      <c r="AE154" s="25"/>
      <c r="AF154" s="94"/>
      <c r="AG154" s="94"/>
      <c r="AH154" s="25"/>
      <c r="AI154" s="25"/>
      <c r="AJ154" s="26"/>
      <c r="AK154" s="26"/>
      <c r="AL154" s="27"/>
      <c r="AM154" s="27"/>
      <c r="AN154" s="28"/>
      <c r="AO154" s="85"/>
    </row>
    <row r="155" spans="1:41">
      <c r="A155" s="223" t="s">
        <v>216</v>
      </c>
      <c r="B155" s="94"/>
      <c r="C155" s="94"/>
      <c r="D155" s="94"/>
      <c r="E155" s="94"/>
      <c r="F155" s="25"/>
      <c r="G155" s="25"/>
      <c r="H155" s="94"/>
      <c r="I155" s="94"/>
      <c r="J155" s="25"/>
      <c r="K155" s="25"/>
      <c r="L155" s="94"/>
      <c r="M155" s="94"/>
      <c r="N155" s="25"/>
      <c r="O155" s="25"/>
      <c r="P155" s="94"/>
      <c r="Q155" s="94"/>
      <c r="R155" s="25"/>
      <c r="S155" s="25"/>
      <c r="T155" s="94"/>
      <c r="U155" s="94"/>
      <c r="V155" s="25"/>
      <c r="W155" s="25"/>
      <c r="X155" s="94"/>
      <c r="Y155" s="94"/>
      <c r="Z155" s="25"/>
      <c r="AA155" s="25"/>
      <c r="AB155" s="94"/>
      <c r="AC155" s="94"/>
      <c r="AD155" s="25"/>
      <c r="AE155" s="25"/>
      <c r="AF155" s="94"/>
      <c r="AG155" s="94"/>
      <c r="AH155" s="25"/>
      <c r="AI155" s="25"/>
      <c r="AJ155" s="26"/>
      <c r="AK155" s="26"/>
      <c r="AL155" s="27"/>
      <c r="AM155" s="27"/>
      <c r="AN155" s="28"/>
      <c r="AO155" s="85"/>
    </row>
    <row r="156" spans="1:41">
      <c r="A156" s="217" t="s">
        <v>140</v>
      </c>
      <c r="B156" s="393">
        <v>9020042335.6900005</v>
      </c>
      <c r="C156" s="394">
        <v>120.53</v>
      </c>
      <c r="D156" s="393">
        <v>9027716586.2600002</v>
      </c>
      <c r="E156" s="394">
        <v>120.68</v>
      </c>
      <c r="F156" s="25">
        <f>((D156-B156)/B156)</f>
        <v>8.507998393349716E-4</v>
      </c>
      <c r="G156" s="25">
        <f>((E156-C156)/C156)</f>
        <v>1.2445034431262398E-3</v>
      </c>
      <c r="H156" s="393">
        <v>8841100329.3799992</v>
      </c>
      <c r="I156" s="394">
        <v>120.84</v>
      </c>
      <c r="J156" s="25">
        <f>((H156-D156)/D156)</f>
        <v>-2.0671479337757145E-2</v>
      </c>
      <c r="K156" s="25">
        <f t="shared" ref="K156:K162" si="136">((I156-E156)/E156)</f>
        <v>1.3258203513423648E-3</v>
      </c>
      <c r="L156" s="393">
        <v>8847054980.7399998</v>
      </c>
      <c r="M156" s="394">
        <v>120.99</v>
      </c>
      <c r="N156" s="25">
        <f>((L156-H156)/H156)</f>
        <v>6.7351926096943099E-4</v>
      </c>
      <c r="O156" s="25">
        <f t="shared" ref="O156:O162" si="137">((M156-I156)/I156)</f>
        <v>1.2413108242303166E-3</v>
      </c>
      <c r="P156" s="393">
        <v>8886649368.2099991</v>
      </c>
      <c r="Q156" s="394">
        <v>121.12</v>
      </c>
      <c r="R156" s="25">
        <f>((P156-L156)/L156)</f>
        <v>4.475431378712591E-3</v>
      </c>
      <c r="S156" s="25">
        <f t="shared" ref="S156:S162" si="138">((Q156-M156)/M156)</f>
        <v>1.0744689643773012E-3</v>
      </c>
      <c r="T156" s="393">
        <v>8669102212.5300007</v>
      </c>
      <c r="U156" s="394">
        <v>121.23</v>
      </c>
      <c r="V156" s="25">
        <f>((T156-P156)/P156)</f>
        <v>-2.4480222710060409E-2</v>
      </c>
      <c r="W156" s="25">
        <f t="shared" ref="W156:W162" si="139">((U156-Q156)/Q156)</f>
        <v>9.0819022457066894E-4</v>
      </c>
      <c r="X156" s="393">
        <v>8591273301.0900002</v>
      </c>
      <c r="Y156" s="394">
        <v>121.39</v>
      </c>
      <c r="Z156" s="25">
        <f>((X156-T156)/T156)</f>
        <v>-8.9777360483199158E-3</v>
      </c>
      <c r="AA156" s="25">
        <f t="shared" ref="AA156:AA162" si="140">((Y156-U156)/U156)</f>
        <v>1.3198053287139864E-3</v>
      </c>
      <c r="AB156" s="393">
        <v>8587337090.29</v>
      </c>
      <c r="AC156" s="394">
        <v>121.55</v>
      </c>
      <c r="AD156" s="25">
        <f>((AB156-X156)/X156)</f>
        <v>-4.5816384394392298E-4</v>
      </c>
      <c r="AE156" s="25">
        <f t="shared" ref="AE156:AE162" si="141">((AC156-Y156)/Y156)</f>
        <v>1.3180657385286809E-3</v>
      </c>
      <c r="AF156" s="393">
        <v>8548497294.0100002</v>
      </c>
      <c r="AG156" s="394">
        <v>121.7</v>
      </c>
      <c r="AH156" s="25">
        <f>((AF156-AB156)/AB156)</f>
        <v>-4.5229150633806191E-3</v>
      </c>
      <c r="AI156" s="25">
        <f t="shared" ref="AI156:AI162" si="142">((AG156-AC156)/AC156)</f>
        <v>1.2340600575895162E-3</v>
      </c>
      <c r="AJ156" s="26">
        <f t="shared" si="118"/>
        <v>-6.6388458155556274E-3</v>
      </c>
      <c r="AK156" s="26">
        <f t="shared" si="119"/>
        <v>1.2082781165598845E-3</v>
      </c>
      <c r="AL156" s="27">
        <f t="shared" si="120"/>
        <v>-5.3083112176933199E-2</v>
      </c>
      <c r="AM156" s="27">
        <f t="shared" si="121"/>
        <v>8.4521047398077222E-3</v>
      </c>
      <c r="AN156" s="28">
        <f t="shared" si="122"/>
        <v>1.0666841584773309E-2</v>
      </c>
      <c r="AO156" s="85">
        <f t="shared" si="123"/>
        <v>1.4605947546734744E-4</v>
      </c>
    </row>
    <row r="157" spans="1:41">
      <c r="A157" s="217" t="s">
        <v>202</v>
      </c>
      <c r="B157" s="393">
        <v>7036061274.4799995</v>
      </c>
      <c r="C157" s="393">
        <v>122.01</v>
      </c>
      <c r="D157" s="393">
        <v>7063174979.1899996</v>
      </c>
      <c r="E157" s="393">
        <v>122.29</v>
      </c>
      <c r="F157" s="25">
        <f>((D152-B157)/B157)</f>
        <v>-0.5077801185271863</v>
      </c>
      <c r="G157" s="25">
        <f t="shared" ref="G157:G162" si="143">((E157-C157)/C157)</f>
        <v>2.2948938611589307E-3</v>
      </c>
      <c r="H157" s="393">
        <v>7077799426.8599997</v>
      </c>
      <c r="I157" s="393">
        <v>122.57</v>
      </c>
      <c r="J157" s="25">
        <f>((H152-D157)/D157)</f>
        <v>-0.51090711179207327</v>
      </c>
      <c r="K157" s="25">
        <f t="shared" si="136"/>
        <v>2.28963938179726E-3</v>
      </c>
      <c r="L157" s="393">
        <v>7096083923.6400003</v>
      </c>
      <c r="M157" s="393">
        <v>122.85</v>
      </c>
      <c r="N157" s="25">
        <f>((L152-H157)/H157)</f>
        <v>-0.50587364227392961</v>
      </c>
      <c r="O157" s="25">
        <f t="shared" si="137"/>
        <v>2.2844089091947554E-3</v>
      </c>
      <c r="P157" s="393">
        <v>7107002458.3400002</v>
      </c>
      <c r="Q157" s="393">
        <v>123.14</v>
      </c>
      <c r="R157" s="25">
        <f>((P152-L157)/L157)</f>
        <v>-0.49836979109118734</v>
      </c>
      <c r="S157" s="25">
        <f t="shared" si="138"/>
        <v>2.3606023606024115E-3</v>
      </c>
      <c r="T157" s="393">
        <v>7129484820.75</v>
      </c>
      <c r="U157" s="393">
        <v>123.42</v>
      </c>
      <c r="V157" s="25">
        <f>((T152-P157)/P157)</f>
        <v>-0.49223371787423137</v>
      </c>
      <c r="W157" s="25">
        <f t="shared" si="139"/>
        <v>2.2738346597368942E-3</v>
      </c>
      <c r="X157" s="393">
        <v>7144225849.4399996</v>
      </c>
      <c r="Y157" s="393">
        <v>123.73</v>
      </c>
      <c r="Z157" s="25">
        <f>((X152-T157)/T157)</f>
        <v>-0.49363711498999618</v>
      </c>
      <c r="AA157" s="25">
        <f t="shared" si="140"/>
        <v>2.5117485010533324E-3</v>
      </c>
      <c r="AB157" s="393">
        <v>7575814955.4200001</v>
      </c>
      <c r="AC157" s="393">
        <v>124.04</v>
      </c>
      <c r="AD157" s="25">
        <f>((AB152-X157)/X157)</f>
        <v>-0.49305549754367173</v>
      </c>
      <c r="AE157" s="25">
        <f t="shared" si="141"/>
        <v>2.5054554271397582E-3</v>
      </c>
      <c r="AF157" s="393">
        <v>7529804652.3900003</v>
      </c>
      <c r="AG157" s="393">
        <v>124.36</v>
      </c>
      <c r="AH157" s="25">
        <f>((AF152-AB157)/AB157)</f>
        <v>-0.51749099611061633</v>
      </c>
      <c r="AI157" s="25">
        <f t="shared" si="142"/>
        <v>2.5798129635600867E-3</v>
      </c>
      <c r="AJ157" s="26">
        <f t="shared" si="118"/>
        <v>-0.50241849877536149</v>
      </c>
      <c r="AK157" s="26">
        <f t="shared" si="119"/>
        <v>2.3875495080304286E-3</v>
      </c>
      <c r="AL157" s="27">
        <f t="shared" si="120"/>
        <v>6.6065144156107758E-2</v>
      </c>
      <c r="AM157" s="27">
        <f t="shared" si="121"/>
        <v>1.6926976858287621E-2</v>
      </c>
      <c r="AN157" s="28">
        <f t="shared" si="122"/>
        <v>9.4477661682841711E-3</v>
      </c>
      <c r="AO157" s="85">
        <f t="shared" si="123"/>
        <v>1.2464755586533044E-4</v>
      </c>
    </row>
    <row r="158" spans="1:41">
      <c r="A158" s="217" t="s">
        <v>176</v>
      </c>
      <c r="B158" s="393">
        <v>2211040674.2199998</v>
      </c>
      <c r="C158" s="394">
        <v>1.0967</v>
      </c>
      <c r="D158" s="393">
        <v>2197559000.52</v>
      </c>
      <c r="E158" s="394">
        <v>1.1001000000000001</v>
      </c>
      <c r="F158" s="25">
        <f>((D153-B158)/B158)</f>
        <v>-0.87017762573216273</v>
      </c>
      <c r="G158" s="25">
        <f t="shared" si="143"/>
        <v>3.1002097200693622E-3</v>
      </c>
      <c r="H158" s="393">
        <v>2199242850.0300002</v>
      </c>
      <c r="I158" s="394">
        <v>1.1015999999999999</v>
      </c>
      <c r="J158" s="25">
        <f>((H153-D158)/D158)</f>
        <v>-0.86823426758440536</v>
      </c>
      <c r="K158" s="25">
        <f t="shared" si="136"/>
        <v>1.3635124079627622E-3</v>
      </c>
      <c r="L158" s="393">
        <v>2204444021.77</v>
      </c>
      <c r="M158" s="394">
        <v>1.1035999999999999</v>
      </c>
      <c r="N158" s="25">
        <f>((L153-H158)/H158)</f>
        <v>-0.86560791744487509</v>
      </c>
      <c r="O158" s="25">
        <f t="shared" si="137"/>
        <v>1.8155410312273076E-3</v>
      </c>
      <c r="P158" s="393">
        <v>2206389274.3000002</v>
      </c>
      <c r="Q158" s="394">
        <v>1.1053999999999999</v>
      </c>
      <c r="R158" s="25">
        <f>((P153-L158)/L158)</f>
        <v>-0.86596957353774584</v>
      </c>
      <c r="S158" s="25">
        <f t="shared" si="138"/>
        <v>1.6310257339616019E-3</v>
      </c>
      <c r="T158" s="393">
        <v>2203261878.9200001</v>
      </c>
      <c r="U158" s="394">
        <v>1.1074999999999999</v>
      </c>
      <c r="V158" s="25">
        <f>((T153-P158)/P158)</f>
        <v>-0.86348834565670274</v>
      </c>
      <c r="W158" s="25">
        <f t="shared" si="139"/>
        <v>1.8997647910258648E-3</v>
      </c>
      <c r="X158" s="393">
        <v>2207140082.98</v>
      </c>
      <c r="Y158" s="394">
        <v>1.1094999999999999</v>
      </c>
      <c r="Z158" s="25">
        <f>((X153-T158)/T158)</f>
        <v>-0.86281589648881918</v>
      </c>
      <c r="AA158" s="25">
        <f t="shared" si="140"/>
        <v>1.8058690744921009E-3</v>
      </c>
      <c r="AB158" s="393">
        <v>2211081913.5500002</v>
      </c>
      <c r="AC158" s="394">
        <v>1.1094999999999999</v>
      </c>
      <c r="AD158" s="25">
        <f>((AB153-X158)/X158)</f>
        <v>-0.86079822057547939</v>
      </c>
      <c r="AE158" s="25">
        <f t="shared" si="141"/>
        <v>0</v>
      </c>
      <c r="AF158" s="393">
        <v>2215642157.8800001</v>
      </c>
      <c r="AG158" s="394">
        <v>1.1136999999999999</v>
      </c>
      <c r="AH158" s="25">
        <f>((AF153-AB158)/AB158)</f>
        <v>-0.85910343754754104</v>
      </c>
      <c r="AI158" s="25">
        <f t="shared" si="142"/>
        <v>3.7854889589905199E-3</v>
      </c>
      <c r="AJ158" s="26">
        <f t="shared" si="118"/>
        <v>-0.86452441057096641</v>
      </c>
      <c r="AK158" s="26">
        <f t="shared" si="119"/>
        <v>1.9251764647161898E-3</v>
      </c>
      <c r="AL158" s="27">
        <f t="shared" si="120"/>
        <v>8.2287471488688979E-3</v>
      </c>
      <c r="AM158" s="27">
        <f t="shared" si="121"/>
        <v>1.2362512498863588E-2</v>
      </c>
      <c r="AN158" s="28">
        <f t="shared" si="122"/>
        <v>3.7080656324892814E-3</v>
      </c>
      <c r="AO158" s="85">
        <f t="shared" si="123"/>
        <v>1.1324222614559135E-3</v>
      </c>
    </row>
    <row r="159" spans="1:41" s="314" customFormat="1">
      <c r="A159" s="217" t="s">
        <v>189</v>
      </c>
      <c r="B159" s="393">
        <v>340382061.31999999</v>
      </c>
      <c r="C159" s="394">
        <v>102.35582544802806</v>
      </c>
      <c r="D159" s="393">
        <v>318956090.85000002</v>
      </c>
      <c r="E159" s="394">
        <v>102.31</v>
      </c>
      <c r="F159" s="25">
        <f t="shared" ref="F159:F164" si="144">((D159-B159)/B159)</f>
        <v>-6.2946826242576234E-2</v>
      </c>
      <c r="G159" s="25">
        <f t="shared" si="143"/>
        <v>-4.4770727828600881E-4</v>
      </c>
      <c r="H159" s="393">
        <v>320822861.08000004</v>
      </c>
      <c r="I159" s="394">
        <v>102.72</v>
      </c>
      <c r="J159" s="25">
        <f t="shared" ref="J159:J164" si="145">((H159-D159)/D159)</f>
        <v>5.852749903678533E-3</v>
      </c>
      <c r="K159" s="25">
        <f t="shared" si="136"/>
        <v>4.0074284038705563E-3</v>
      </c>
      <c r="L159" s="393">
        <v>322184155.94</v>
      </c>
      <c r="M159" s="394">
        <v>103.69</v>
      </c>
      <c r="N159" s="25">
        <f t="shared" ref="N159:N164" si="146">((L159-H159)/H159)</f>
        <v>4.2431354655256426E-3</v>
      </c>
      <c r="O159" s="25">
        <f t="shared" si="137"/>
        <v>9.4431464174454718E-3</v>
      </c>
      <c r="P159" s="393">
        <v>325009298.95999992</v>
      </c>
      <c r="Q159" s="394">
        <v>103.96380191382531</v>
      </c>
      <c r="R159" s="25">
        <f t="shared" ref="R159:R164" si="147">((P159-L159)/L159)</f>
        <v>8.7687211425941276E-3</v>
      </c>
      <c r="S159" s="25">
        <f t="shared" si="138"/>
        <v>2.6405816744653234E-3</v>
      </c>
      <c r="T159" s="393">
        <v>323057452.64000005</v>
      </c>
      <c r="U159" s="394">
        <v>100.94844608150626</v>
      </c>
      <c r="V159" s="25">
        <f t="shared" ref="V159:V164" si="148">((T159-P159)/P159)</f>
        <v>-6.0055091538783771E-3</v>
      </c>
      <c r="W159" s="25">
        <f t="shared" si="139"/>
        <v>-2.9003901134920476E-2</v>
      </c>
      <c r="X159" s="393">
        <v>338978948.46000004</v>
      </c>
      <c r="Y159" s="394">
        <v>101.16868345876789</v>
      </c>
      <c r="Z159" s="25">
        <f t="shared" ref="Z159:Z164" si="149">((X159-T159)/T159)</f>
        <v>4.9283790514321163E-2</v>
      </c>
      <c r="AA159" s="25">
        <f t="shared" si="140"/>
        <v>2.1816816980402532E-3</v>
      </c>
      <c r="AB159" s="393">
        <v>338450268.92000002</v>
      </c>
      <c r="AC159" s="394">
        <v>101.32164828667599</v>
      </c>
      <c r="AD159" s="25">
        <f t="shared" ref="AD159:AD164" si="150">((AB159-X159)/X159)</f>
        <v>-1.5596235176309372E-3</v>
      </c>
      <c r="AE159" s="25">
        <f t="shared" si="141"/>
        <v>1.5119780418062802E-3</v>
      </c>
      <c r="AF159" s="393">
        <v>339471323</v>
      </c>
      <c r="AG159" s="394">
        <v>101.48</v>
      </c>
      <c r="AH159" s="25">
        <f t="shared" ref="AH159:AH164" si="151">((AF159-AB159)/AB159)</f>
        <v>3.0168511411090984E-3</v>
      </c>
      <c r="AI159" s="25">
        <f t="shared" si="142"/>
        <v>1.5628615996847429E-3</v>
      </c>
      <c r="AJ159" s="26">
        <f t="shared" si="118"/>
        <v>8.1661156642877451E-5</v>
      </c>
      <c r="AK159" s="26">
        <f t="shared" si="119"/>
        <v>-1.0129913222367319E-3</v>
      </c>
      <c r="AL159" s="27">
        <f t="shared" si="120"/>
        <v>6.4319925966386277E-2</v>
      </c>
      <c r="AM159" s="27">
        <f t="shared" si="121"/>
        <v>-8.1125989639331281E-3</v>
      </c>
      <c r="AN159" s="28">
        <f t="shared" si="122"/>
        <v>3.0631195350325473E-2</v>
      </c>
      <c r="AO159" s="85">
        <f t="shared" si="123"/>
        <v>1.1679720084482686E-2</v>
      </c>
    </row>
    <row r="160" spans="1:41" s="330" customFormat="1">
      <c r="A160" s="217" t="s">
        <v>249</v>
      </c>
      <c r="B160" s="393">
        <v>472371363.92000002</v>
      </c>
      <c r="C160" s="393">
        <v>1018.26</v>
      </c>
      <c r="D160" s="393">
        <v>475332960.52999997</v>
      </c>
      <c r="E160" s="393">
        <v>1019.25</v>
      </c>
      <c r="F160" s="25">
        <f t="shared" si="144"/>
        <v>6.2696362146574267E-3</v>
      </c>
      <c r="G160" s="25">
        <f t="shared" si="143"/>
        <v>9.7224677390844098E-4</v>
      </c>
      <c r="H160" s="393">
        <v>474407970.60000002</v>
      </c>
      <c r="I160" s="393">
        <v>1017.22</v>
      </c>
      <c r="J160" s="25">
        <f t="shared" si="145"/>
        <v>-1.9459831461478634E-3</v>
      </c>
      <c r="K160" s="25">
        <f t="shared" si="136"/>
        <v>-1.9916605347068657E-3</v>
      </c>
      <c r="L160" s="393">
        <v>474725453.47000003</v>
      </c>
      <c r="M160" s="393">
        <v>1017.91</v>
      </c>
      <c r="N160" s="25">
        <f t="shared" si="146"/>
        <v>6.6921908921233617E-4</v>
      </c>
      <c r="O160" s="25">
        <f t="shared" si="137"/>
        <v>6.7831934094880254E-4</v>
      </c>
      <c r="P160" s="393">
        <v>475042830.83999997</v>
      </c>
      <c r="Q160" s="393">
        <v>1018.59</v>
      </c>
      <c r="R160" s="25">
        <f t="shared" si="147"/>
        <v>6.6854930082235753E-4</v>
      </c>
      <c r="S160" s="25">
        <f t="shared" si="138"/>
        <v>6.6803548447314962E-4</v>
      </c>
      <c r="T160" s="393">
        <v>1283931018.8599999</v>
      </c>
      <c r="U160" s="393">
        <v>1019.27</v>
      </c>
      <c r="V160" s="25">
        <f t="shared" si="148"/>
        <v>1.702768962094795</v>
      </c>
      <c r="W160" s="25">
        <f t="shared" si="139"/>
        <v>6.6758951099063404E-4</v>
      </c>
      <c r="X160" s="393">
        <v>476212055.06</v>
      </c>
      <c r="Y160" s="393">
        <v>1023.93</v>
      </c>
      <c r="Z160" s="25">
        <f t="shared" si="149"/>
        <v>-0.62909841100121733</v>
      </c>
      <c r="AA160" s="25">
        <f t="shared" si="140"/>
        <v>4.5718994966985867E-3</v>
      </c>
      <c r="AB160" s="393">
        <v>471519498.49000001</v>
      </c>
      <c r="AC160" s="393">
        <v>1013.84</v>
      </c>
      <c r="AD160" s="25">
        <f t="shared" si="150"/>
        <v>-9.8539222603442021E-3</v>
      </c>
      <c r="AE160" s="25">
        <f t="shared" si="141"/>
        <v>-9.854189251218266E-3</v>
      </c>
      <c r="AF160" s="393">
        <v>472284192.94999999</v>
      </c>
      <c r="AG160" s="393">
        <v>1010.85</v>
      </c>
      <c r="AH160" s="25">
        <f t="shared" si="151"/>
        <v>1.6217663584408401E-3</v>
      </c>
      <c r="AI160" s="25">
        <f t="shared" si="142"/>
        <v>-2.9491833030853083E-3</v>
      </c>
      <c r="AJ160" s="26">
        <f t="shared" si="118"/>
        <v>0.1338874770812773</v>
      </c>
      <c r="AK160" s="26">
        <f t="shared" si="119"/>
        <v>-9.0461781024885318E-4</v>
      </c>
      <c r="AL160" s="27">
        <f t="shared" si="120"/>
        <v>-6.4139620711355337E-3</v>
      </c>
      <c r="AM160" s="27">
        <f t="shared" si="121"/>
        <v>-8.2413539367181526E-3</v>
      </c>
      <c r="AN160" s="28">
        <f t="shared" si="122"/>
        <v>0.67102520888937289</v>
      </c>
      <c r="AO160" s="85">
        <f t="shared" si="123"/>
        <v>4.2497456338647837E-3</v>
      </c>
    </row>
    <row r="161" spans="1:41" s="330" customFormat="1">
      <c r="A161" s="217" t="s">
        <v>252</v>
      </c>
      <c r="B161" s="393">
        <v>49634106.729999997</v>
      </c>
      <c r="C161" s="393">
        <v>101.98</v>
      </c>
      <c r="D161" s="393">
        <v>49511866.82</v>
      </c>
      <c r="E161" s="393">
        <v>101.72</v>
      </c>
      <c r="F161" s="25">
        <f t="shared" si="144"/>
        <v>-2.4628207910531775E-3</v>
      </c>
      <c r="G161" s="25">
        <f t="shared" si="143"/>
        <v>-2.5495195136301736E-3</v>
      </c>
      <c r="H161" s="393">
        <v>50786895.060000002</v>
      </c>
      <c r="I161" s="393">
        <v>101.92</v>
      </c>
      <c r="J161" s="25">
        <f t="shared" si="145"/>
        <v>2.5751972645979136E-2</v>
      </c>
      <c r="K161" s="25">
        <f t="shared" si="136"/>
        <v>1.9661816751868153E-3</v>
      </c>
      <c r="L161" s="393">
        <v>48522379.939999998</v>
      </c>
      <c r="M161" s="393">
        <v>102.51</v>
      </c>
      <c r="N161" s="25">
        <f t="shared" si="146"/>
        <v>-4.4588571861396337E-2</v>
      </c>
      <c r="O161" s="25">
        <f t="shared" si="137"/>
        <v>5.788854003139751E-3</v>
      </c>
      <c r="P161" s="393">
        <v>49219891.07</v>
      </c>
      <c r="Q161" s="393">
        <v>102.58</v>
      </c>
      <c r="R161" s="25">
        <f t="shared" si="147"/>
        <v>1.4375039535622636E-2</v>
      </c>
      <c r="S161" s="25">
        <f t="shared" si="138"/>
        <v>6.8286020876005436E-4</v>
      </c>
      <c r="T161" s="393">
        <v>53115044.75</v>
      </c>
      <c r="U161" s="393">
        <v>103.42</v>
      </c>
      <c r="V161" s="25">
        <f t="shared" si="148"/>
        <v>7.9137795621293722E-2</v>
      </c>
      <c r="W161" s="25">
        <f t="shared" si="139"/>
        <v>8.188730746734289E-3</v>
      </c>
      <c r="X161" s="393">
        <v>53910224.93</v>
      </c>
      <c r="Y161" s="393">
        <v>103.65</v>
      </c>
      <c r="Z161" s="25">
        <f t="shared" si="149"/>
        <v>1.4970902947417732E-2</v>
      </c>
      <c r="AA161" s="25">
        <f t="shared" si="140"/>
        <v>2.223941210597602E-3</v>
      </c>
      <c r="AB161" s="393">
        <v>54230733.600000001</v>
      </c>
      <c r="AC161" s="393">
        <v>103.79</v>
      </c>
      <c r="AD161" s="25">
        <f t="shared" si="150"/>
        <v>5.9452296928118528E-3</v>
      </c>
      <c r="AE161" s="25">
        <f t="shared" si="141"/>
        <v>1.350699469368071E-3</v>
      </c>
      <c r="AF161" s="393">
        <v>54381270.920000002</v>
      </c>
      <c r="AG161" s="393">
        <v>103.87</v>
      </c>
      <c r="AH161" s="25">
        <f t="shared" si="151"/>
        <v>2.775867298981187E-3</v>
      </c>
      <c r="AI161" s="25">
        <f t="shared" si="142"/>
        <v>7.7078716639366305E-4</v>
      </c>
      <c r="AJ161" s="26">
        <f t="shared" si="118"/>
        <v>1.1988176886207094E-2</v>
      </c>
      <c r="AK161" s="26">
        <f t="shared" si="119"/>
        <v>2.3028168708187596E-3</v>
      </c>
      <c r="AL161" s="27">
        <f t="shared" si="120"/>
        <v>9.8348222613028946E-2</v>
      </c>
      <c r="AM161" s="27">
        <f t="shared" si="121"/>
        <v>2.1136453008258019E-2</v>
      </c>
      <c r="AN161" s="28">
        <f t="shared" si="122"/>
        <v>3.4318364158230211E-2</v>
      </c>
      <c r="AO161" s="85">
        <f t="shared" si="123"/>
        <v>3.3023595937171648E-3</v>
      </c>
    </row>
    <row r="162" spans="1:41">
      <c r="A162" s="217" t="s">
        <v>257</v>
      </c>
      <c r="B162" s="387">
        <v>50900719.969999999</v>
      </c>
      <c r="C162" s="388">
        <v>99.52</v>
      </c>
      <c r="D162" s="387">
        <v>50944985.340000004</v>
      </c>
      <c r="E162" s="388">
        <v>99.72</v>
      </c>
      <c r="F162" s="25">
        <f t="shared" si="144"/>
        <v>8.6964133368042746E-4</v>
      </c>
      <c r="G162" s="25">
        <f t="shared" si="143"/>
        <v>2.0096463022508324E-3</v>
      </c>
      <c r="H162" s="387">
        <v>50989219.140000001</v>
      </c>
      <c r="I162" s="388">
        <v>99.92</v>
      </c>
      <c r="J162" s="25">
        <f t="shared" si="145"/>
        <v>8.6826602667144893E-4</v>
      </c>
      <c r="K162" s="25">
        <f t="shared" si="136"/>
        <v>2.0056157240273048E-3</v>
      </c>
      <c r="L162" s="387">
        <v>51033560.57</v>
      </c>
      <c r="M162" s="388">
        <v>100.13</v>
      </c>
      <c r="N162" s="25">
        <f t="shared" si="146"/>
        <v>8.6962363314983099E-4</v>
      </c>
      <c r="O162" s="25">
        <f t="shared" si="137"/>
        <v>2.1016813450759984E-3</v>
      </c>
      <c r="P162" s="387">
        <v>51078217.990000002</v>
      </c>
      <c r="Q162" s="388">
        <v>100.33</v>
      </c>
      <c r="R162" s="25">
        <f t="shared" si="147"/>
        <v>8.7505985279525225E-4</v>
      </c>
      <c r="S162" s="25">
        <f t="shared" si="138"/>
        <v>1.9974033756117331E-3</v>
      </c>
      <c r="T162" s="387">
        <v>51122843.700000003</v>
      </c>
      <c r="U162" s="388">
        <v>100.62</v>
      </c>
      <c r="V162" s="25">
        <f t="shared" si="148"/>
        <v>8.7367397994851019E-4</v>
      </c>
      <c r="W162" s="25">
        <f t="shared" si="139"/>
        <v>2.8904614771255483E-3</v>
      </c>
      <c r="X162" s="387">
        <v>51167951.359999999</v>
      </c>
      <c r="Y162" s="388">
        <v>100.74</v>
      </c>
      <c r="Z162" s="25">
        <f t="shared" si="149"/>
        <v>8.8233863250444388E-4</v>
      </c>
      <c r="AA162" s="25">
        <f t="shared" si="140"/>
        <v>1.1926058437685383E-3</v>
      </c>
      <c r="AB162" s="387">
        <v>51213412.340000004</v>
      </c>
      <c r="AC162" s="388">
        <v>100.95</v>
      </c>
      <c r="AD162" s="25">
        <f t="shared" si="150"/>
        <v>8.8846590085572212E-4</v>
      </c>
      <c r="AE162" s="25">
        <f t="shared" si="141"/>
        <v>2.0845741512806031E-3</v>
      </c>
      <c r="AF162" s="387">
        <v>51258841.340000004</v>
      </c>
      <c r="AG162" s="388">
        <v>101.15</v>
      </c>
      <c r="AH162" s="25">
        <f t="shared" si="151"/>
        <v>8.8705278411057729E-4</v>
      </c>
      <c r="AI162" s="25">
        <f t="shared" si="142"/>
        <v>1.9811788013868533E-3</v>
      </c>
      <c r="AJ162" s="26">
        <f t="shared" si="118"/>
        <v>8.767652679645266E-4</v>
      </c>
      <c r="AK162" s="26">
        <f t="shared" si="119"/>
        <v>2.0328958775659265E-3</v>
      </c>
      <c r="AL162" s="27">
        <f t="shared" si="120"/>
        <v>6.1606848624131917E-3</v>
      </c>
      <c r="AM162" s="27">
        <f t="shared" si="121"/>
        <v>1.4340152426795094E-2</v>
      </c>
      <c r="AN162" s="28">
        <f t="shared" si="122"/>
        <v>8.1086830300323063E-6</v>
      </c>
      <c r="AO162" s="85">
        <f t="shared" si="123"/>
        <v>4.5577677903535209E-4</v>
      </c>
    </row>
    <row r="163" spans="1:41">
      <c r="A163" s="219" t="s">
        <v>46</v>
      </c>
      <c r="B163" s="82">
        <f>SUM(B152:B162)</f>
        <v>22922161098.549999</v>
      </c>
      <c r="C163" s="94"/>
      <c r="D163" s="82">
        <f>SUM(D152:D162)</f>
        <v>22933528265.999996</v>
      </c>
      <c r="E163" s="94"/>
      <c r="F163" s="25">
        <f t="shared" si="144"/>
        <v>4.9590295614474183E-4</v>
      </c>
      <c r="G163" s="25"/>
      <c r="H163" s="82">
        <f>SUM(H152:H162)</f>
        <v>22759261173.869999</v>
      </c>
      <c r="I163" s="94"/>
      <c r="J163" s="25">
        <f t="shared" si="145"/>
        <v>-7.5987911719783731E-3</v>
      </c>
      <c r="K163" s="25"/>
      <c r="L163" s="82">
        <f>SUM(L152:L162)</f>
        <v>22836936554.239998</v>
      </c>
      <c r="M163" s="94"/>
      <c r="N163" s="25">
        <f t="shared" si="146"/>
        <v>3.4129130896032051E-3</v>
      </c>
      <c r="O163" s="25"/>
      <c r="P163" s="82">
        <f>SUM(P152:P162)</f>
        <v>22955463973.109997</v>
      </c>
      <c r="Q163" s="94"/>
      <c r="R163" s="25">
        <f t="shared" si="147"/>
        <v>5.1901628131463479E-3</v>
      </c>
      <c r="S163" s="25"/>
      <c r="T163" s="82">
        <f>SUM(T152:T162)</f>
        <v>23622969337.439999</v>
      </c>
      <c r="U163" s="94"/>
      <c r="V163" s="25">
        <f t="shared" si="148"/>
        <v>2.9078278056671684E-2</v>
      </c>
      <c r="W163" s="25"/>
      <c r="X163" s="82">
        <f>SUM(X152:X162)</f>
        <v>22775267421.450001</v>
      </c>
      <c r="Y163" s="94"/>
      <c r="Z163" s="25">
        <f t="shared" si="149"/>
        <v>-3.5884647009488208E-2</v>
      </c>
      <c r="AA163" s="25"/>
      <c r="AB163" s="82">
        <f>SUM(AB152:AB162)</f>
        <v>23218611718.279995</v>
      </c>
      <c r="AC163" s="94"/>
      <c r="AD163" s="25">
        <f t="shared" si="150"/>
        <v>1.9466041325707888E-2</v>
      </c>
      <c r="AE163" s="25"/>
      <c r="AF163" s="82">
        <f>SUM(AF152:AF162)</f>
        <v>23178272501.200001</v>
      </c>
      <c r="AG163" s="94"/>
      <c r="AH163" s="25">
        <f t="shared" si="151"/>
        <v>-1.7373655914248813E-3</v>
      </c>
      <c r="AI163" s="25"/>
      <c r="AJ163" s="26">
        <f t="shared" si="118"/>
        <v>1.5528118085478008E-3</v>
      </c>
      <c r="AK163" s="26"/>
      <c r="AL163" s="27">
        <f t="shared" si="120"/>
        <v>1.0671896289191973E-2</v>
      </c>
      <c r="AM163" s="27"/>
      <c r="AN163" s="28">
        <f t="shared" si="122"/>
        <v>1.9244601716282474E-2</v>
      </c>
      <c r="AO163" s="85"/>
    </row>
    <row r="164" spans="1:41">
      <c r="A164" s="219" t="s">
        <v>32</v>
      </c>
      <c r="B164" s="331">
        <f>SUM(B21,B53,B86,B109,B116,B142,B148,B163)</f>
        <v>1374839030511.5544</v>
      </c>
      <c r="C164" s="94"/>
      <c r="D164" s="331">
        <f>SUM(D21,D53,D86,D109,D116,D142,D148,D163)</f>
        <v>1370337763856.9602</v>
      </c>
      <c r="E164" s="94"/>
      <c r="F164" s="25">
        <f t="shared" si="144"/>
        <v>-3.2740317627725428E-3</v>
      </c>
      <c r="G164" s="25"/>
      <c r="H164" s="331">
        <f>SUM(H21,H53,H86,H109,H116,H142,H148,H163)</f>
        <v>1383047379166.9146</v>
      </c>
      <c r="I164" s="94"/>
      <c r="J164" s="25">
        <f t="shared" si="145"/>
        <v>9.2748048292720132E-3</v>
      </c>
      <c r="K164" s="25"/>
      <c r="L164" s="331">
        <f>SUM(L21,L53,L86,L109,L116,L142,L148,L163)</f>
        <v>1410877526772.1309</v>
      </c>
      <c r="M164" s="94"/>
      <c r="N164" s="25">
        <f t="shared" si="146"/>
        <v>2.0122338557902433E-2</v>
      </c>
      <c r="O164" s="25"/>
      <c r="P164" s="331">
        <f>SUM(P21,P53,P86,P109,P116,P142,P148,P163)</f>
        <v>1422950870882.5374</v>
      </c>
      <c r="Q164" s="94"/>
      <c r="R164" s="25">
        <f t="shared" si="147"/>
        <v>8.5573296627868434E-3</v>
      </c>
      <c r="S164" s="25"/>
      <c r="T164" s="331">
        <f>SUM(T21,T53,T86,T109,T116,T142,T148,T163)</f>
        <v>1437907234781.4109</v>
      </c>
      <c r="U164" s="94"/>
      <c r="V164" s="25">
        <f t="shared" si="148"/>
        <v>1.0510808352502961E-2</v>
      </c>
      <c r="W164" s="25"/>
      <c r="X164" s="331">
        <f>SUM(X21,X53,X86,X109,X116,X142,X148,X163)</f>
        <v>1449213690676.6555</v>
      </c>
      <c r="Y164" s="94"/>
      <c r="Z164" s="25">
        <f t="shared" si="149"/>
        <v>7.8631330462451045E-3</v>
      </c>
      <c r="AA164" s="25"/>
      <c r="AB164" s="331">
        <f>SUM(AB21,AB53,AB86,AB109,AB116,AB142,AB148,AB163)</f>
        <v>1469823604527.4382</v>
      </c>
      <c r="AC164" s="94"/>
      <c r="AD164" s="25">
        <f t="shared" si="150"/>
        <v>1.4221445728379571E-2</v>
      </c>
      <c r="AE164" s="25"/>
      <c r="AF164" s="331">
        <f>SUM(AF21,AF53,AF86,AF109,AF116,AF142,AF148,AF163)</f>
        <v>1490921997071.4626</v>
      </c>
      <c r="AG164" s="94"/>
      <c r="AH164" s="25">
        <f t="shared" si="151"/>
        <v>1.4354370469378699E-2</v>
      </c>
      <c r="AI164" s="25"/>
      <c r="AJ164" s="26">
        <f t="shared" si="118"/>
        <v>1.0203774860461885E-2</v>
      </c>
      <c r="AK164" s="26"/>
      <c r="AL164" s="27">
        <f t="shared" si="120"/>
        <v>8.7995993684874735E-2</v>
      </c>
      <c r="AM164" s="27"/>
      <c r="AN164" s="28">
        <f t="shared" si="122"/>
        <v>6.7880666412320594E-3</v>
      </c>
      <c r="AO164" s="85"/>
    </row>
    <row r="165" spans="1:41" s="119" customFormat="1" ht="6" customHeight="1">
      <c r="A165" s="219"/>
      <c r="B165" s="94"/>
      <c r="C165" s="94"/>
      <c r="D165" s="94"/>
      <c r="E165" s="94"/>
      <c r="F165" s="25"/>
      <c r="G165" s="25"/>
      <c r="H165" s="94"/>
      <c r="I165" s="94"/>
      <c r="J165" s="25"/>
      <c r="K165" s="25"/>
      <c r="L165" s="94"/>
      <c r="M165" s="94"/>
      <c r="N165" s="25"/>
      <c r="O165" s="25"/>
      <c r="P165" s="94"/>
      <c r="Q165" s="94"/>
      <c r="R165" s="25"/>
      <c r="S165" s="25"/>
      <c r="T165" s="94"/>
      <c r="U165" s="94"/>
      <c r="V165" s="25"/>
      <c r="W165" s="25"/>
      <c r="X165" s="94"/>
      <c r="Y165" s="94"/>
      <c r="Z165" s="25"/>
      <c r="AA165" s="25"/>
      <c r="AB165" s="94"/>
      <c r="AC165" s="94"/>
      <c r="AD165" s="25"/>
      <c r="AE165" s="25"/>
      <c r="AF165" s="94"/>
      <c r="AG165" s="94"/>
      <c r="AH165" s="25"/>
      <c r="AI165" s="25"/>
      <c r="AJ165" s="26"/>
      <c r="AK165" s="26"/>
      <c r="AL165" s="27"/>
      <c r="AM165" s="27"/>
      <c r="AN165" s="28"/>
      <c r="AO165" s="85"/>
    </row>
    <row r="166" spans="1:41" s="119" customFormat="1">
      <c r="A166" s="223" t="s">
        <v>217</v>
      </c>
      <c r="B166" s="94"/>
      <c r="C166" s="94"/>
      <c r="D166" s="94"/>
      <c r="E166" s="94"/>
      <c r="F166" s="25"/>
      <c r="G166" s="25"/>
      <c r="H166" s="94"/>
      <c r="I166" s="94"/>
      <c r="J166" s="25"/>
      <c r="K166" s="25"/>
      <c r="L166" s="94"/>
      <c r="M166" s="94"/>
      <c r="N166" s="25"/>
      <c r="O166" s="25"/>
      <c r="P166" s="94"/>
      <c r="Q166" s="94"/>
      <c r="R166" s="25"/>
      <c r="S166" s="25"/>
      <c r="T166" s="94"/>
      <c r="U166" s="94"/>
      <c r="V166" s="25"/>
      <c r="W166" s="25"/>
      <c r="X166" s="94"/>
      <c r="Y166" s="94"/>
      <c r="Z166" s="25"/>
      <c r="AA166" s="25"/>
      <c r="AB166" s="94"/>
      <c r="AC166" s="94"/>
      <c r="AD166" s="25"/>
      <c r="AE166" s="25"/>
      <c r="AF166" s="94"/>
      <c r="AG166" s="94"/>
      <c r="AH166" s="25"/>
      <c r="AI166" s="25"/>
      <c r="AJ166" s="26"/>
      <c r="AK166" s="26"/>
      <c r="AL166" s="27"/>
      <c r="AM166" s="27"/>
      <c r="AN166" s="28"/>
      <c r="AO166" s="85"/>
    </row>
    <row r="167" spans="1:41" s="119" customFormat="1">
      <c r="A167" s="224" t="s">
        <v>126</v>
      </c>
      <c r="B167" s="393">
        <v>90849121065</v>
      </c>
      <c r="C167" s="394">
        <v>107.59</v>
      </c>
      <c r="D167" s="393">
        <v>90849121065</v>
      </c>
      <c r="E167" s="394">
        <v>107.59</v>
      </c>
      <c r="F167" s="25">
        <f>((D167-B167)/B167)</f>
        <v>0</v>
      </c>
      <c r="G167" s="25">
        <f>((E167-C167)/C167)</f>
        <v>0</v>
      </c>
      <c r="H167" s="393">
        <v>90849121065</v>
      </c>
      <c r="I167" s="394">
        <v>107.59</v>
      </c>
      <c r="J167" s="25">
        <f t="shared" ref="J167:K170" si="152">((H167-D167)/D167)</f>
        <v>0</v>
      </c>
      <c r="K167" s="25">
        <f t="shared" si="152"/>
        <v>0</v>
      </c>
      <c r="L167" s="393">
        <v>90849121065</v>
      </c>
      <c r="M167" s="394">
        <v>107.59</v>
      </c>
      <c r="N167" s="25">
        <f t="shared" ref="N167:O170" si="153">((L167-H167)/H167)</f>
        <v>0</v>
      </c>
      <c r="O167" s="25">
        <f t="shared" si="153"/>
        <v>0</v>
      </c>
      <c r="P167" s="393">
        <v>90849121065</v>
      </c>
      <c r="Q167" s="394">
        <v>107.59</v>
      </c>
      <c r="R167" s="25">
        <f t="shared" ref="R167:S170" si="154">((P167-L167)/L167)</f>
        <v>0</v>
      </c>
      <c r="S167" s="25">
        <f t="shared" si="154"/>
        <v>0</v>
      </c>
      <c r="T167" s="393">
        <v>90849121065</v>
      </c>
      <c r="U167" s="394">
        <v>107.59</v>
      </c>
      <c r="V167" s="25">
        <f t="shared" ref="V167:V170" si="155">((T167-P167)/P167)</f>
        <v>0</v>
      </c>
      <c r="W167" s="25">
        <f t="shared" ref="W167:W170" si="156">((U167-Q167)/Q167)</f>
        <v>0</v>
      </c>
      <c r="X167" s="393">
        <v>91117290437</v>
      </c>
      <c r="Y167" s="394">
        <v>107.59</v>
      </c>
      <c r="Z167" s="25">
        <f t="shared" ref="Z167:Z170" si="157">((X167-T167)/T167)</f>
        <v>2.9518103076432885E-3</v>
      </c>
      <c r="AA167" s="25">
        <f t="shared" ref="AA167:AA170" si="158">((Y167-U167)/U167)</f>
        <v>0</v>
      </c>
      <c r="AB167" s="393">
        <v>91117290437</v>
      </c>
      <c r="AC167" s="394">
        <v>107.59</v>
      </c>
      <c r="AD167" s="25">
        <f t="shared" ref="AD167:AD170" si="159">((AB167-X167)/X167)</f>
        <v>0</v>
      </c>
      <c r="AE167" s="25">
        <f t="shared" ref="AE167:AE170" si="160">((AC167-Y167)/Y167)</f>
        <v>0</v>
      </c>
      <c r="AF167" s="393">
        <v>91117290437</v>
      </c>
      <c r="AG167" s="394">
        <v>107.59</v>
      </c>
      <c r="AH167" s="25">
        <f t="shared" ref="AH167:AH168" si="161">((AF167-AB167)/AB167)</f>
        <v>0</v>
      </c>
      <c r="AI167" s="25">
        <f t="shared" ref="AI167:AI168" si="162">((AG167-AC167)/AC167)</f>
        <v>0</v>
      </c>
      <c r="AJ167" s="26">
        <f t="shared" si="118"/>
        <v>3.6897628845541106E-4</v>
      </c>
      <c r="AK167" s="26">
        <f t="shared" si="119"/>
        <v>0</v>
      </c>
      <c r="AL167" s="27">
        <f t="shared" si="120"/>
        <v>2.9518103076432885E-3</v>
      </c>
      <c r="AM167" s="27">
        <f t="shared" si="121"/>
        <v>0</v>
      </c>
      <c r="AN167" s="28">
        <f t="shared" si="122"/>
        <v>1.0436225426554591E-3</v>
      </c>
      <c r="AO167" s="85">
        <f t="shared" si="123"/>
        <v>0</v>
      </c>
    </row>
    <row r="168" spans="1:41" s="330" customFormat="1">
      <c r="A168" s="224" t="s">
        <v>218</v>
      </c>
      <c r="B168" s="393">
        <v>7078529283.0600004</v>
      </c>
      <c r="C168" s="395">
        <v>104.94</v>
      </c>
      <c r="D168" s="393">
        <v>7095735367.2700005</v>
      </c>
      <c r="E168" s="395">
        <v>105.2</v>
      </c>
      <c r="F168" s="25">
        <f>((D168-B168)/B168)</f>
        <v>2.4307428170392427E-3</v>
      </c>
      <c r="G168" s="25">
        <f>((E168-C168)/C168)</f>
        <v>2.4776062511912057E-3</v>
      </c>
      <c r="H168" s="393">
        <v>7112935899.8199997</v>
      </c>
      <c r="I168" s="395">
        <v>105.45</v>
      </c>
      <c r="J168" s="25">
        <f t="shared" si="152"/>
        <v>2.4240662397499945E-3</v>
      </c>
      <c r="K168" s="25">
        <f t="shared" si="152"/>
        <v>2.3764258555133079E-3</v>
      </c>
      <c r="L168" s="393">
        <v>7130146059.6700001</v>
      </c>
      <c r="M168" s="395">
        <v>105.71</v>
      </c>
      <c r="N168" s="25">
        <f t="shared" si="153"/>
        <v>2.4195578439608744E-3</v>
      </c>
      <c r="O168" s="25">
        <f t="shared" si="153"/>
        <v>2.4656235182550111E-3</v>
      </c>
      <c r="P168" s="393">
        <v>7147409059.1400003</v>
      </c>
      <c r="Q168" s="395">
        <v>105.97</v>
      </c>
      <c r="R168" s="25">
        <f t="shared" si="154"/>
        <v>2.4211284489169694E-3</v>
      </c>
      <c r="S168" s="25">
        <f t="shared" si="154"/>
        <v>2.4595591713178046E-3</v>
      </c>
      <c r="T168" s="393">
        <v>7162882268.7600002</v>
      </c>
      <c r="U168" s="395">
        <v>106.2</v>
      </c>
      <c r="V168" s="25">
        <f t="shared" si="155"/>
        <v>2.1648697439826778E-3</v>
      </c>
      <c r="W168" s="25">
        <f t="shared" si="156"/>
        <v>2.170425592148759E-3</v>
      </c>
      <c r="X168" s="393">
        <v>7180030562.4300003</v>
      </c>
      <c r="Y168" s="395">
        <v>106.45</v>
      </c>
      <c r="Z168" s="25">
        <f t="shared" si="157"/>
        <v>2.3940493542369359E-3</v>
      </c>
      <c r="AA168" s="25">
        <f t="shared" si="158"/>
        <v>2.3540489642184556E-3</v>
      </c>
      <c r="AB168" s="393">
        <v>7197170411.4300003</v>
      </c>
      <c r="AC168" s="395">
        <v>106.7</v>
      </c>
      <c r="AD168" s="25">
        <f t="shared" si="159"/>
        <v>2.3871554377059936E-3</v>
      </c>
      <c r="AE168" s="25">
        <f t="shared" si="160"/>
        <v>2.3485204321277596E-3</v>
      </c>
      <c r="AF168" s="393">
        <v>7529275172.3100004</v>
      </c>
      <c r="AG168" s="395">
        <v>111.63</v>
      </c>
      <c r="AH168" s="25">
        <f t="shared" si="161"/>
        <v>4.6143795671779078E-2</v>
      </c>
      <c r="AI168" s="25">
        <f t="shared" si="162"/>
        <v>4.6204311152764688E-2</v>
      </c>
      <c r="AJ168" s="26">
        <f t="shared" si="118"/>
        <v>7.8481706946714712E-3</v>
      </c>
      <c r="AK168" s="26">
        <f t="shared" si="119"/>
        <v>7.8570651171921239E-3</v>
      </c>
      <c r="AL168" s="27">
        <f t="shared" si="120"/>
        <v>6.109864342457845E-2</v>
      </c>
      <c r="AM168" s="27">
        <f t="shared" si="121"/>
        <v>6.112167300380221E-2</v>
      </c>
      <c r="AN168" s="28">
        <f t="shared" si="122"/>
        <v>1.5474019647154717E-2</v>
      </c>
      <c r="AO168" s="85">
        <f t="shared" si="123"/>
        <v>1.5494944319661683E-2</v>
      </c>
    </row>
    <row r="169" spans="1:41" s="330" customFormat="1">
      <c r="A169" s="224" t="s">
        <v>287</v>
      </c>
      <c r="B169" s="393"/>
      <c r="C169" s="395"/>
      <c r="D169" s="393"/>
      <c r="E169" s="395"/>
      <c r="F169" s="25"/>
      <c r="G169" s="25"/>
      <c r="H169" s="393"/>
      <c r="I169" s="395"/>
      <c r="J169" s="25"/>
      <c r="K169" s="25"/>
      <c r="L169" s="393"/>
      <c r="M169" s="395"/>
      <c r="N169" s="25"/>
      <c r="O169" s="25"/>
      <c r="P169" s="393"/>
      <c r="Q169" s="395"/>
      <c r="R169" s="25"/>
      <c r="S169" s="25"/>
      <c r="T169" s="393"/>
      <c r="U169" s="395"/>
      <c r="V169" s="25"/>
      <c r="W169" s="25"/>
      <c r="X169" s="393"/>
      <c r="Y169" s="395"/>
      <c r="Z169" s="25"/>
      <c r="AA169" s="25"/>
      <c r="AB169" s="393"/>
      <c r="AC169" s="395"/>
      <c r="AD169" s="25"/>
      <c r="AE169" s="25"/>
      <c r="AF169" s="393">
        <v>16160350694.93</v>
      </c>
      <c r="AG169" s="395">
        <v>103.29</v>
      </c>
      <c r="AH169" s="25"/>
      <c r="AI169" s="25"/>
      <c r="AJ169" s="26" t="e">
        <f t="shared" si="118"/>
        <v>#DIV/0!</v>
      </c>
      <c r="AK169" s="26" t="e">
        <f t="shared" si="119"/>
        <v>#DIV/0!</v>
      </c>
      <c r="AL169" s="27" t="e">
        <f t="shared" si="120"/>
        <v>#DIV/0!</v>
      </c>
      <c r="AM169" s="27" t="e">
        <f t="shared" si="121"/>
        <v>#DIV/0!</v>
      </c>
      <c r="AN169" s="28" t="e">
        <f t="shared" si="122"/>
        <v>#DIV/0!</v>
      </c>
      <c r="AO169" s="85" t="e">
        <f t="shared" si="123"/>
        <v>#DIV/0!</v>
      </c>
    </row>
    <row r="170" spans="1:41" s="119" customFormat="1">
      <c r="A170" s="224" t="s">
        <v>266</v>
      </c>
      <c r="B170" s="393">
        <v>2103584422.22</v>
      </c>
      <c r="C170" s="395">
        <v>1000000</v>
      </c>
      <c r="D170" s="393">
        <v>2104457498.4200001</v>
      </c>
      <c r="E170" s="395">
        <v>1000000</v>
      </c>
      <c r="F170" s="25">
        <f>((D170-B170)/B170)</f>
        <v>4.1504214937979723E-4</v>
      </c>
      <c r="G170" s="25">
        <f>((E170-C170)/C170)</f>
        <v>0</v>
      </c>
      <c r="H170" s="393">
        <v>2093955874</v>
      </c>
      <c r="I170" s="395">
        <v>1000000</v>
      </c>
      <c r="J170" s="25">
        <f t="shared" si="152"/>
        <v>-4.9901812832449993E-3</v>
      </c>
      <c r="K170" s="25">
        <f t="shared" si="152"/>
        <v>0</v>
      </c>
      <c r="L170" s="393">
        <v>2099666137</v>
      </c>
      <c r="M170" s="395">
        <v>1000000</v>
      </c>
      <c r="N170" s="25">
        <f t="shared" si="153"/>
        <v>2.7270216487857088E-3</v>
      </c>
      <c r="O170" s="25">
        <f t="shared" si="153"/>
        <v>0</v>
      </c>
      <c r="P170" s="393">
        <v>2106123700</v>
      </c>
      <c r="Q170" s="395">
        <v>1000000</v>
      </c>
      <c r="R170" s="25">
        <f t="shared" si="154"/>
        <v>3.0755189533258637E-3</v>
      </c>
      <c r="S170" s="25">
        <f t="shared" si="154"/>
        <v>0</v>
      </c>
      <c r="T170" s="393">
        <v>2110816483</v>
      </c>
      <c r="U170" s="395">
        <v>1000000</v>
      </c>
      <c r="V170" s="25">
        <f t="shared" si="155"/>
        <v>2.2281611474197836E-3</v>
      </c>
      <c r="W170" s="25">
        <f t="shared" si="156"/>
        <v>0</v>
      </c>
      <c r="X170" s="393">
        <v>2116811773</v>
      </c>
      <c r="Y170" s="395">
        <v>1000000</v>
      </c>
      <c r="Z170" s="25">
        <f t="shared" si="157"/>
        <v>2.8402706006346833E-3</v>
      </c>
      <c r="AA170" s="25">
        <f t="shared" si="158"/>
        <v>0</v>
      </c>
      <c r="AB170" s="393">
        <v>2138523179</v>
      </c>
      <c r="AC170" s="395">
        <v>1000000</v>
      </c>
      <c r="AD170" s="25">
        <f t="shared" si="159"/>
        <v>1.0256654028917289E-2</v>
      </c>
      <c r="AE170" s="25">
        <f t="shared" si="160"/>
        <v>0</v>
      </c>
      <c r="AF170" s="393">
        <v>2145217215</v>
      </c>
      <c r="AG170" s="395">
        <v>1000000</v>
      </c>
      <c r="AH170" s="25">
        <f>((AF169-AB170)/AB170)</f>
        <v>6.5567807043769246</v>
      </c>
      <c r="AI170" s="25">
        <f>((AG169-AC170)/AC170)</f>
        <v>-0.99989670999999991</v>
      </c>
      <c r="AJ170" s="26">
        <f t="shared" si="118"/>
        <v>0.82166664895276786</v>
      </c>
      <c r="AK170" s="26">
        <f t="shared" si="119"/>
        <v>-0.12498708874999999</v>
      </c>
      <c r="AL170" s="27">
        <f t="shared" si="120"/>
        <v>1.9368277387688655E-2</v>
      </c>
      <c r="AM170" s="27">
        <f t="shared" si="121"/>
        <v>0</v>
      </c>
      <c r="AN170" s="28">
        <f t="shared" si="122"/>
        <v>2.3173397540438345</v>
      </c>
      <c r="AO170" s="85">
        <f t="shared" si="123"/>
        <v>0.35351687206355936</v>
      </c>
    </row>
    <row r="171" spans="1:41" s="119" customFormat="1">
      <c r="A171" s="219" t="s">
        <v>46</v>
      </c>
      <c r="B171" s="83">
        <f>SUM(B167:B170)</f>
        <v>100031234770.28</v>
      </c>
      <c r="C171" s="94"/>
      <c r="D171" s="83">
        <f>SUM(D167:D170)</f>
        <v>100049313930.69</v>
      </c>
      <c r="E171" s="94"/>
      <c r="F171" s="25"/>
      <c r="G171" s="25"/>
      <c r="H171" s="83">
        <f>SUM(H167:H170)</f>
        <v>100056012838.82001</v>
      </c>
      <c r="I171" s="94"/>
      <c r="J171" s="25"/>
      <c r="K171" s="25"/>
      <c r="L171" s="83">
        <f>SUM(L167:L170)</f>
        <v>100078933261.67</v>
      </c>
      <c r="M171" s="94"/>
      <c r="N171" s="25"/>
      <c r="O171" s="25"/>
      <c r="P171" s="83">
        <f>SUM(P167:P170)</f>
        <v>100102653824.14</v>
      </c>
      <c r="Q171" s="94"/>
      <c r="R171" s="25"/>
      <c r="S171" s="25"/>
      <c r="T171" s="83">
        <f>SUM(T167:T170)</f>
        <v>100122819816.75999</v>
      </c>
      <c r="U171" s="94"/>
      <c r="V171" s="25"/>
      <c r="W171" s="25"/>
      <c r="X171" s="83">
        <f>SUM(X167:X170)</f>
        <v>100414132772.42999</v>
      </c>
      <c r="Y171" s="94"/>
      <c r="Z171" s="25"/>
      <c r="AA171" s="25"/>
      <c r="AB171" s="83">
        <f>SUM(AB167:AB170)</f>
        <v>100452984027.42999</v>
      </c>
      <c r="AC171" s="94"/>
      <c r="AD171" s="25"/>
      <c r="AE171" s="25"/>
      <c r="AF171" s="83">
        <f>SUM(AF167:AF170)</f>
        <v>116952133519.23999</v>
      </c>
      <c r="AH171" s="25"/>
      <c r="AI171" s="25"/>
      <c r="AJ171" s="26"/>
      <c r="AK171" s="26"/>
      <c r="AL171" s="27"/>
      <c r="AM171" s="27"/>
      <c r="AN171" s="28"/>
      <c r="AO171" s="85"/>
    </row>
    <row r="172" spans="1:41" ht="6" customHeight="1">
      <c r="A172" s="218"/>
      <c r="B172" s="94"/>
      <c r="C172" s="94"/>
      <c r="D172" s="94"/>
      <c r="E172" s="94"/>
      <c r="F172" s="25"/>
      <c r="G172" s="25"/>
      <c r="H172" s="94"/>
      <c r="I172" s="94"/>
      <c r="J172" s="25"/>
      <c r="K172" s="25"/>
      <c r="L172" s="94"/>
      <c r="M172" s="94"/>
      <c r="N172" s="25"/>
      <c r="O172" s="25"/>
      <c r="P172" s="94"/>
      <c r="Q172" s="94"/>
      <c r="R172" s="25"/>
      <c r="S172" s="25"/>
      <c r="T172" s="94"/>
      <c r="U172" s="94"/>
      <c r="V172" s="25"/>
      <c r="W172" s="25"/>
      <c r="X172" s="94"/>
      <c r="Y172" s="94"/>
      <c r="Z172" s="25"/>
      <c r="AA172" s="25"/>
      <c r="AB172" s="94"/>
      <c r="AC172" s="94"/>
      <c r="AD172" s="25"/>
      <c r="AE172" s="25"/>
      <c r="AG172" s="94"/>
      <c r="AH172" s="25"/>
      <c r="AI172" s="25"/>
      <c r="AJ172" s="26"/>
      <c r="AK172" s="26"/>
      <c r="AL172" s="27"/>
      <c r="AM172" s="27"/>
      <c r="AN172" s="28"/>
      <c r="AO172" s="85"/>
    </row>
    <row r="173" spans="1:41" ht="25.5">
      <c r="A173" s="214" t="s">
        <v>50</v>
      </c>
      <c r="B173" s="88" t="s">
        <v>78</v>
      </c>
      <c r="C173" s="89" t="s">
        <v>79</v>
      </c>
      <c r="D173" s="88" t="s">
        <v>78</v>
      </c>
      <c r="E173" s="89" t="s">
        <v>79</v>
      </c>
      <c r="F173" s="407" t="s">
        <v>77</v>
      </c>
      <c r="G173" s="407" t="s">
        <v>3</v>
      </c>
      <c r="H173" s="88" t="s">
        <v>78</v>
      </c>
      <c r="I173" s="89" t="s">
        <v>79</v>
      </c>
      <c r="J173" s="409" t="s">
        <v>77</v>
      </c>
      <c r="K173" s="409" t="s">
        <v>3</v>
      </c>
      <c r="L173" s="88" t="s">
        <v>78</v>
      </c>
      <c r="M173" s="89" t="s">
        <v>79</v>
      </c>
      <c r="N173" s="411" t="s">
        <v>77</v>
      </c>
      <c r="O173" s="411" t="s">
        <v>3</v>
      </c>
      <c r="P173" s="88" t="s">
        <v>78</v>
      </c>
      <c r="Q173" s="89" t="s">
        <v>79</v>
      </c>
      <c r="R173" s="427" t="s">
        <v>77</v>
      </c>
      <c r="S173" s="427" t="s">
        <v>3</v>
      </c>
      <c r="T173" s="88" t="s">
        <v>78</v>
      </c>
      <c r="U173" s="89" t="s">
        <v>79</v>
      </c>
      <c r="V173" s="428" t="s">
        <v>77</v>
      </c>
      <c r="W173" s="428" t="s">
        <v>3</v>
      </c>
      <c r="X173" s="88" t="s">
        <v>78</v>
      </c>
      <c r="Y173" s="89" t="s">
        <v>79</v>
      </c>
      <c r="Z173" s="429" t="s">
        <v>77</v>
      </c>
      <c r="AA173" s="429" t="s">
        <v>3</v>
      </c>
      <c r="AB173" s="88" t="s">
        <v>78</v>
      </c>
      <c r="AC173" s="89" t="s">
        <v>79</v>
      </c>
      <c r="AD173" s="430" t="s">
        <v>77</v>
      </c>
      <c r="AE173" s="430" t="s">
        <v>3</v>
      </c>
      <c r="AF173" s="88" t="s">
        <v>78</v>
      </c>
      <c r="AG173" s="89" t="s">
        <v>79</v>
      </c>
      <c r="AH173" s="437" t="s">
        <v>77</v>
      </c>
      <c r="AI173" s="437" t="s">
        <v>3</v>
      </c>
      <c r="AJ173" s="335" t="s">
        <v>83</v>
      </c>
      <c r="AK173" s="335" t="s">
        <v>83</v>
      </c>
      <c r="AL173" s="335" t="s">
        <v>83</v>
      </c>
      <c r="AM173" s="335" t="s">
        <v>83</v>
      </c>
      <c r="AN173" s="17" t="s">
        <v>83</v>
      </c>
      <c r="AO173" s="18" t="s">
        <v>83</v>
      </c>
    </row>
    <row r="174" spans="1:41">
      <c r="A174" s="218" t="s">
        <v>34</v>
      </c>
      <c r="B174" s="391">
        <v>2657217138.5799999</v>
      </c>
      <c r="C174" s="395">
        <v>18.13</v>
      </c>
      <c r="D174" s="391">
        <v>2712934000</v>
      </c>
      <c r="E174" s="395">
        <v>18.3</v>
      </c>
      <c r="F174" s="25">
        <f t="shared" ref="F174:F185" si="163">((D174-B174)/B174)</f>
        <v>2.096812511520034E-2</v>
      </c>
      <c r="G174" s="25">
        <f t="shared" ref="G174:G185" si="164">((E174-C174)/C174)</f>
        <v>9.3767236624380419E-3</v>
      </c>
      <c r="H174" s="391">
        <v>2731162000</v>
      </c>
      <c r="I174" s="395">
        <v>18.41</v>
      </c>
      <c r="J174" s="25">
        <f t="shared" ref="J174:J185" si="165">((H174-D174)/D174)</f>
        <v>6.7189249720044789E-3</v>
      </c>
      <c r="K174" s="25">
        <f t="shared" ref="K174:K185" si="166">((I174-E174)/E174)</f>
        <v>6.0109289617486022E-3</v>
      </c>
      <c r="L174" s="391">
        <v>2794960000</v>
      </c>
      <c r="M174" s="395">
        <v>18.87</v>
      </c>
      <c r="N174" s="25">
        <f t="shared" ref="N174:N185" si="167">((L174-H174)/H174)</f>
        <v>2.3359288097886542E-2</v>
      </c>
      <c r="O174" s="25">
        <f t="shared" ref="O174:O185" si="168">((M174-I174)/I174)</f>
        <v>2.4986420423682827E-2</v>
      </c>
      <c r="P174" s="391">
        <v>2794960000</v>
      </c>
      <c r="Q174" s="395">
        <v>18.88</v>
      </c>
      <c r="R174" s="25">
        <f t="shared" ref="R174:R185" si="169">((P174-L174)/L174)</f>
        <v>0</v>
      </c>
      <c r="S174" s="25">
        <f t="shared" ref="S174:S185" si="170">((Q174-M174)/M174)</f>
        <v>5.2994170641218919E-4</v>
      </c>
      <c r="T174" s="391">
        <v>2869391000</v>
      </c>
      <c r="U174" s="395">
        <v>19.399999999999999</v>
      </c>
      <c r="V174" s="25">
        <f t="shared" ref="V174:V185" si="171">((T174-P174)/P174)</f>
        <v>2.6630434782608695E-2</v>
      </c>
      <c r="W174" s="25">
        <f t="shared" ref="W174:W185" si="172">((U174-Q174)/Q174)</f>
        <v>2.7542372881355911E-2</v>
      </c>
      <c r="X174" s="391">
        <v>2884581000</v>
      </c>
      <c r="Y174" s="395">
        <v>19.43</v>
      </c>
      <c r="Z174" s="25">
        <f t="shared" ref="Z174:Z185" si="173">((X174-T174)/T174)</f>
        <v>5.2938062466913712E-3</v>
      </c>
      <c r="AA174" s="25">
        <f t="shared" ref="AA174:AA185" si="174">((Y174-U174)/U174)</f>
        <v>1.5463917525773783E-3</v>
      </c>
      <c r="AB174" s="391">
        <v>2884581000</v>
      </c>
      <c r="AC174" s="395">
        <v>19.420000000000002</v>
      </c>
      <c r="AD174" s="25">
        <f t="shared" ref="AD174:AD185" si="175">((AB174-X174)/X174)</f>
        <v>0</v>
      </c>
      <c r="AE174" s="25">
        <f t="shared" ref="AE174:AE185" si="176">((AC174-Y174)/Y174)</f>
        <v>-5.1466803911466856E-4</v>
      </c>
      <c r="AF174" s="391">
        <v>3208128000</v>
      </c>
      <c r="AG174" s="395">
        <v>19.899999999999999</v>
      </c>
      <c r="AH174" s="25">
        <f t="shared" ref="AH174:AH185" si="177">((AF174-AB174)/AB174)</f>
        <v>0.11216429699842022</v>
      </c>
      <c r="AI174" s="25">
        <f t="shared" ref="AI174:AI185" si="178">((AG174-AC174)/AC174)</f>
        <v>2.4716786817713533E-2</v>
      </c>
      <c r="AJ174" s="26">
        <f t="shared" ref="AJ174" si="179">AVERAGE(F174,J174,N174,R174,V174,Z174,AD174,AH174)</f>
        <v>2.4391859526601455E-2</v>
      </c>
      <c r="AK174" s="26">
        <f t="shared" ref="AK174" si="180">AVERAGE(G174,K174,O174,S174,W174,AA174,AE174,AI174)</f>
        <v>1.1774362270851726E-2</v>
      </c>
      <c r="AL174" s="27">
        <f t="shared" ref="AL174" si="181">((AF174-D174)/D174)</f>
        <v>0.18253079507278835</v>
      </c>
      <c r="AM174" s="27">
        <f t="shared" ref="AM174" si="182">((AG174-E174)/E174)</f>
        <v>8.7431693989070913E-2</v>
      </c>
      <c r="AN174" s="28">
        <f t="shared" ref="AN174" si="183">STDEV(F174,J174,N174,R174,V174,Z174,AD174,AH174)</f>
        <v>3.7011183709754966E-2</v>
      </c>
      <c r="AO174" s="85">
        <f t="shared" ref="AO174" si="184">STDEV(G174,K174,O174,S174,W174,AA174,AE174,AI174)</f>
        <v>1.2022178715755562E-2</v>
      </c>
    </row>
    <row r="175" spans="1:41">
      <c r="A175" s="218" t="s">
        <v>64</v>
      </c>
      <c r="B175" s="81">
        <v>343372897.79000002</v>
      </c>
      <c r="C175" s="395">
        <v>4.08</v>
      </c>
      <c r="D175" s="81">
        <v>355301484.81</v>
      </c>
      <c r="E175" s="395">
        <v>4.2</v>
      </c>
      <c r="F175" s="25">
        <f t="shared" si="163"/>
        <v>3.4739454094292743E-2</v>
      </c>
      <c r="G175" s="25">
        <f t="shared" si="164"/>
        <v>2.9411764705882377E-2</v>
      </c>
      <c r="H175" s="81">
        <v>360413736.38999999</v>
      </c>
      <c r="I175" s="395">
        <v>4.28</v>
      </c>
      <c r="J175" s="25">
        <f t="shared" si="165"/>
        <v>1.4388489208633046E-2</v>
      </c>
      <c r="K175" s="25">
        <f t="shared" si="166"/>
        <v>1.9047619047619063E-2</v>
      </c>
      <c r="L175" s="81">
        <v>360413736.38999999</v>
      </c>
      <c r="M175" s="395">
        <v>4.2300000000000004</v>
      </c>
      <c r="N175" s="25">
        <f t="shared" si="167"/>
        <v>0</v>
      </c>
      <c r="O175" s="25">
        <f t="shared" si="168"/>
        <v>-1.1682242990654164E-2</v>
      </c>
      <c r="P175" s="81">
        <v>370638239.55000001</v>
      </c>
      <c r="Q175" s="395">
        <v>4.4000000000000004</v>
      </c>
      <c r="R175" s="25">
        <f t="shared" si="169"/>
        <v>2.8368794326241207E-2</v>
      </c>
      <c r="S175" s="25">
        <f t="shared" si="170"/>
        <v>4.0189125295508256E-2</v>
      </c>
      <c r="T175" s="81">
        <v>383418868.5</v>
      </c>
      <c r="U175" s="395">
        <v>4.5599999999999996</v>
      </c>
      <c r="V175" s="25">
        <f t="shared" si="171"/>
        <v>3.448275862068962E-2</v>
      </c>
      <c r="W175" s="25">
        <f t="shared" si="172"/>
        <v>3.6363636363636188E-2</v>
      </c>
      <c r="X175" s="81">
        <v>374046407.26999998</v>
      </c>
      <c r="Y175" s="395">
        <v>4.4400000000000004</v>
      </c>
      <c r="Z175" s="25">
        <f t="shared" si="173"/>
        <v>-2.4444444444444494E-2</v>
      </c>
      <c r="AA175" s="25">
        <f t="shared" si="174"/>
        <v>-2.6315789473684043E-2</v>
      </c>
      <c r="AB175" s="81">
        <v>374046407.26999998</v>
      </c>
      <c r="AC175" s="395">
        <v>4.51</v>
      </c>
      <c r="AD175" s="25">
        <f t="shared" si="175"/>
        <v>0</v>
      </c>
      <c r="AE175" s="25">
        <f t="shared" si="176"/>
        <v>1.5765765765765629E-2</v>
      </c>
      <c r="AF175" s="81">
        <v>420056671.49000001</v>
      </c>
      <c r="AG175" s="395">
        <v>4.62</v>
      </c>
      <c r="AH175" s="25">
        <f t="shared" si="177"/>
        <v>0.12300683371298414</v>
      </c>
      <c r="AI175" s="25">
        <f t="shared" si="178"/>
        <v>2.4390243902439098E-2</v>
      </c>
      <c r="AJ175" s="26">
        <f t="shared" ref="AJ175:AJ187" si="185">AVERAGE(F175,J175,N175,R175,V175,Z175,AD175,AH175)</f>
        <v>2.6317735689799532E-2</v>
      </c>
      <c r="AK175" s="26">
        <f t="shared" ref="AK175:AK185" si="186">AVERAGE(G175,K175,O175,S175,W175,AA175,AE175,AI175)</f>
        <v>1.5896265327064049E-2</v>
      </c>
      <c r="AL175" s="27">
        <f t="shared" ref="AL175:AL187" si="187">((AF175-D175)/D175)</f>
        <v>0.18225419664268588</v>
      </c>
      <c r="AM175" s="27">
        <f t="shared" ref="AM175:AM185" si="188">((AG175-E175)/E175)</f>
        <v>9.9999999999999978E-2</v>
      </c>
      <c r="AN175" s="28">
        <f t="shared" ref="AN175:AN187" si="189">STDEV(F175,J175,N175,R175,V175,Z175,AD175,AH175)</f>
        <v>4.4069642508323154E-2</v>
      </c>
      <c r="AO175" s="85">
        <f t="shared" ref="AO175:AO185" si="190">STDEV(G175,K175,O175,S175,W175,AA175,AE175,AI175)</f>
        <v>2.3349066882647082E-2</v>
      </c>
    </row>
    <row r="176" spans="1:41">
      <c r="A176" s="218" t="s">
        <v>54</v>
      </c>
      <c r="B176" s="391">
        <v>143301185.28</v>
      </c>
      <c r="C176" s="395">
        <v>5.62</v>
      </c>
      <c r="D176" s="391">
        <v>143301185.28</v>
      </c>
      <c r="E176" s="395">
        <v>5.61</v>
      </c>
      <c r="F176" s="25">
        <f t="shared" si="163"/>
        <v>0</v>
      </c>
      <c r="G176" s="25">
        <f t="shared" si="164"/>
        <v>-1.7793594306049442E-3</v>
      </c>
      <c r="H176" s="391">
        <v>144328433.91999999</v>
      </c>
      <c r="I176" s="395">
        <v>5.67</v>
      </c>
      <c r="J176" s="25">
        <f t="shared" si="165"/>
        <v>7.1684587813619074E-3</v>
      </c>
      <c r="K176" s="25">
        <f t="shared" si="166"/>
        <v>1.0695187165775331E-2</v>
      </c>
      <c r="L176" s="391">
        <v>151005550.08000001</v>
      </c>
      <c r="M176" s="395">
        <v>5.94</v>
      </c>
      <c r="N176" s="25">
        <f t="shared" si="167"/>
        <v>4.6263345195729721E-2</v>
      </c>
      <c r="O176" s="25">
        <f t="shared" si="168"/>
        <v>4.76190476190477E-2</v>
      </c>
      <c r="P176" s="391">
        <v>161021224.31999999</v>
      </c>
      <c r="Q176" s="395">
        <v>6.32</v>
      </c>
      <c r="R176" s="25">
        <f t="shared" si="169"/>
        <v>6.6326530612244763E-2</v>
      </c>
      <c r="S176" s="25">
        <f t="shared" si="170"/>
        <v>6.3973063973063946E-2</v>
      </c>
      <c r="T176" s="391">
        <v>162305285.12</v>
      </c>
      <c r="U176" s="395">
        <v>6.36</v>
      </c>
      <c r="V176" s="25">
        <f t="shared" si="171"/>
        <v>7.974481658692259E-3</v>
      </c>
      <c r="W176" s="25">
        <f t="shared" si="172"/>
        <v>6.329113924050638E-3</v>
      </c>
      <c r="X176" s="391">
        <v>162305285.12</v>
      </c>
      <c r="Y176" s="395">
        <v>6.34</v>
      </c>
      <c r="Z176" s="25">
        <f t="shared" si="173"/>
        <v>0</v>
      </c>
      <c r="AA176" s="25">
        <f t="shared" si="174"/>
        <v>-3.1446540880503871E-3</v>
      </c>
      <c r="AB176" s="391">
        <v>162305285.12</v>
      </c>
      <c r="AC176" s="395">
        <v>6.27</v>
      </c>
      <c r="AD176" s="25">
        <f t="shared" si="175"/>
        <v>0</v>
      </c>
      <c r="AE176" s="25">
        <f t="shared" si="176"/>
        <v>-1.1041009463722443E-2</v>
      </c>
      <c r="AF176" s="391">
        <v>159737163.52000001</v>
      </c>
      <c r="AG176" s="395">
        <v>6.24</v>
      </c>
      <c r="AH176" s="25">
        <f t="shared" si="177"/>
        <v>-1.5822784810126545E-2</v>
      </c>
      <c r="AI176" s="25">
        <f t="shared" si="178"/>
        <v>-4.7846889952152093E-3</v>
      </c>
      <c r="AJ176" s="26">
        <f t="shared" si="185"/>
        <v>1.3988753929737764E-2</v>
      </c>
      <c r="AK176" s="26">
        <f t="shared" si="186"/>
        <v>1.3483337588043078E-2</v>
      </c>
      <c r="AL176" s="27">
        <f t="shared" si="187"/>
        <v>0.11469534050179218</v>
      </c>
      <c r="AM176" s="27">
        <f t="shared" si="188"/>
        <v>0.11229946524064169</v>
      </c>
      <c r="AN176" s="28">
        <f t="shared" si="189"/>
        <v>2.7618222653775774E-2</v>
      </c>
      <c r="AO176" s="85">
        <f t="shared" si="190"/>
        <v>2.7302590902152427E-2</v>
      </c>
    </row>
    <row r="177" spans="1:41">
      <c r="A177" s="218" t="s">
        <v>55</v>
      </c>
      <c r="B177" s="81">
        <v>244215333.59999999</v>
      </c>
      <c r="C177" s="395">
        <v>23.29</v>
      </c>
      <c r="D177" s="81">
        <v>252531286.77000001</v>
      </c>
      <c r="E177" s="395">
        <v>24.09</v>
      </c>
      <c r="F177" s="25">
        <f t="shared" si="163"/>
        <v>3.4051724137931103E-2</v>
      </c>
      <c r="G177" s="25">
        <f t="shared" si="164"/>
        <v>3.4349506225848037E-2</v>
      </c>
      <c r="H177" s="81">
        <v>252531286.77000001</v>
      </c>
      <c r="I177" s="395">
        <v>24.1</v>
      </c>
      <c r="J177" s="25">
        <f t="shared" si="165"/>
        <v>0</v>
      </c>
      <c r="K177" s="25">
        <f t="shared" si="166"/>
        <v>4.1511000415116493E-4</v>
      </c>
      <c r="L177" s="81">
        <v>252531286.77000001</v>
      </c>
      <c r="M177" s="395">
        <v>24.13</v>
      </c>
      <c r="N177" s="25">
        <f t="shared" si="167"/>
        <v>0</v>
      </c>
      <c r="O177" s="25">
        <f t="shared" si="168"/>
        <v>1.2448132780081985E-3</v>
      </c>
      <c r="P177" s="81">
        <v>251057573.55000001</v>
      </c>
      <c r="Q177" s="395">
        <v>23.99</v>
      </c>
      <c r="R177" s="25">
        <f t="shared" si="169"/>
        <v>-5.835764902042513E-3</v>
      </c>
      <c r="S177" s="25">
        <f t="shared" si="170"/>
        <v>-5.8019063406548107E-3</v>
      </c>
      <c r="T177" s="81">
        <v>260005118.09999999</v>
      </c>
      <c r="U177" s="395">
        <v>24.79</v>
      </c>
      <c r="V177" s="25">
        <f t="shared" si="171"/>
        <v>3.5639412997903491E-2</v>
      </c>
      <c r="W177" s="25">
        <f t="shared" si="172"/>
        <v>3.3347228011671559E-2</v>
      </c>
      <c r="X177" s="81">
        <v>257162956.88999999</v>
      </c>
      <c r="Y177" s="395">
        <v>24.53</v>
      </c>
      <c r="Z177" s="25">
        <f t="shared" si="173"/>
        <v>-1.0931174089068858E-2</v>
      </c>
      <c r="AA177" s="25">
        <f t="shared" si="174"/>
        <v>-1.0488100040338767E-2</v>
      </c>
      <c r="AB177" s="81">
        <v>257162956.88999999</v>
      </c>
      <c r="AC177" s="395">
        <v>24.62</v>
      </c>
      <c r="AD177" s="25">
        <f t="shared" si="175"/>
        <v>0</v>
      </c>
      <c r="AE177" s="25">
        <f t="shared" si="176"/>
        <v>3.6689767631471609E-3</v>
      </c>
      <c r="AF177" s="81">
        <v>258426139.65000001</v>
      </c>
      <c r="AG177" s="395">
        <v>24.65</v>
      </c>
      <c r="AH177" s="25">
        <f t="shared" si="177"/>
        <v>4.9119934506754778E-3</v>
      </c>
      <c r="AI177" s="25">
        <f t="shared" si="178"/>
        <v>1.2185215272135493E-3</v>
      </c>
      <c r="AJ177" s="26">
        <f t="shared" si="185"/>
        <v>7.2295239494248372E-3</v>
      </c>
      <c r="AK177" s="26">
        <f t="shared" si="186"/>
        <v>7.2442686786307617E-3</v>
      </c>
      <c r="AL177" s="27">
        <f t="shared" si="187"/>
        <v>2.3343059608170052E-2</v>
      </c>
      <c r="AM177" s="27">
        <f t="shared" si="188"/>
        <v>2.3246160232461548E-2</v>
      </c>
      <c r="AN177" s="28">
        <f t="shared" si="189"/>
        <v>1.76846743252672E-2</v>
      </c>
      <c r="AO177" s="85">
        <f t="shared" si="190"/>
        <v>1.7039538834184586E-2</v>
      </c>
    </row>
    <row r="178" spans="1:41">
      <c r="A178" s="218" t="s">
        <v>98</v>
      </c>
      <c r="B178" s="391">
        <v>584133168.87</v>
      </c>
      <c r="C178" s="395">
        <v>138.27000000000001</v>
      </c>
      <c r="D178" s="391">
        <v>584133168.87</v>
      </c>
      <c r="E178" s="395">
        <v>143.34</v>
      </c>
      <c r="F178" s="25">
        <f t="shared" si="163"/>
        <v>0</v>
      </c>
      <c r="G178" s="25">
        <f t="shared" si="164"/>
        <v>3.6667389889346876E-2</v>
      </c>
      <c r="H178" s="391">
        <v>584133168.87</v>
      </c>
      <c r="I178" s="395">
        <v>145.02000000000001</v>
      </c>
      <c r="J178" s="25">
        <f t="shared" si="165"/>
        <v>0</v>
      </c>
      <c r="K178" s="25">
        <f t="shared" si="166"/>
        <v>1.1720385098367566E-2</v>
      </c>
      <c r="L178" s="391">
        <v>584133168.87</v>
      </c>
      <c r="M178" s="395">
        <v>145.41999999999999</v>
      </c>
      <c r="N178" s="25">
        <f t="shared" si="167"/>
        <v>0</v>
      </c>
      <c r="O178" s="25">
        <f t="shared" si="168"/>
        <v>2.7582402427249846E-3</v>
      </c>
      <c r="P178" s="391">
        <v>584133168.87</v>
      </c>
      <c r="Q178" s="395">
        <v>146.47999999999999</v>
      </c>
      <c r="R178" s="25">
        <f t="shared" si="169"/>
        <v>0</v>
      </c>
      <c r="S178" s="25">
        <f t="shared" si="170"/>
        <v>7.2892311924082128E-3</v>
      </c>
      <c r="T178" s="391">
        <v>584133168.87</v>
      </c>
      <c r="U178" s="395">
        <v>145.55000000000001</v>
      </c>
      <c r="V178" s="25">
        <f t="shared" si="171"/>
        <v>0</v>
      </c>
      <c r="W178" s="25">
        <f t="shared" si="172"/>
        <v>-6.3489896231565977E-3</v>
      </c>
      <c r="X178" s="391">
        <v>580612809.87</v>
      </c>
      <c r="Y178" s="395">
        <v>142.26</v>
      </c>
      <c r="Z178" s="25">
        <f t="shared" si="173"/>
        <v>-6.0266377388055207E-3</v>
      </c>
      <c r="AA178" s="25">
        <f t="shared" si="174"/>
        <v>-2.2603916180007011E-2</v>
      </c>
      <c r="AB178" s="391">
        <v>575332271.37</v>
      </c>
      <c r="AC178" s="395">
        <v>142.30000000000001</v>
      </c>
      <c r="AD178" s="25">
        <f t="shared" si="175"/>
        <v>-9.0947674771115015E-3</v>
      </c>
      <c r="AE178" s="25">
        <f t="shared" si="176"/>
        <v>2.8117531280767938E-4</v>
      </c>
      <c r="AF178" s="391">
        <v>575332271.37</v>
      </c>
      <c r="AG178" s="395">
        <v>141.9</v>
      </c>
      <c r="AH178" s="25">
        <f t="shared" si="177"/>
        <v>0</v>
      </c>
      <c r="AI178" s="25">
        <f t="shared" si="178"/>
        <v>-2.8109627547435396E-3</v>
      </c>
      <c r="AJ178" s="26">
        <f t="shared" si="185"/>
        <v>-1.8901756519896277E-3</v>
      </c>
      <c r="AK178" s="26">
        <f t="shared" si="186"/>
        <v>3.3690691472185214E-3</v>
      </c>
      <c r="AL178" s="27">
        <f t="shared" si="187"/>
        <v>-1.5066594347013801E-2</v>
      </c>
      <c r="AM178" s="27">
        <f t="shared" si="188"/>
        <v>-1.0046044370029285E-2</v>
      </c>
      <c r="AN178" s="28">
        <f t="shared" si="189"/>
        <v>3.5946993900647798E-3</v>
      </c>
      <c r="AO178" s="85">
        <f t="shared" si="190"/>
        <v>1.6949622585293672E-2</v>
      </c>
    </row>
    <row r="179" spans="1:41">
      <c r="A179" s="218" t="s">
        <v>36</v>
      </c>
      <c r="B179" s="391">
        <v>624752862.13999999</v>
      </c>
      <c r="C179" s="395">
        <v>11699.93</v>
      </c>
      <c r="D179" s="391">
        <v>611407100</v>
      </c>
      <c r="E179" s="395">
        <v>11450</v>
      </c>
      <c r="F179" s="25">
        <f t="shared" si="163"/>
        <v>-2.1361666266379351E-2</v>
      </c>
      <c r="G179" s="25">
        <f t="shared" si="164"/>
        <v>-2.1361666266379396E-2</v>
      </c>
      <c r="H179" s="391">
        <v>539330479.60000002</v>
      </c>
      <c r="I179" s="395">
        <v>10100.200000000001</v>
      </c>
      <c r="J179" s="25">
        <f t="shared" si="165"/>
        <v>-0.11788646288209603</v>
      </c>
      <c r="K179" s="25">
        <f t="shared" si="166"/>
        <v>-0.117886462882096</v>
      </c>
      <c r="L179" s="391">
        <v>539330479.60000002</v>
      </c>
      <c r="M179" s="395">
        <v>10100.200000000001</v>
      </c>
      <c r="N179" s="25">
        <f t="shared" si="167"/>
        <v>0</v>
      </c>
      <c r="O179" s="25">
        <f t="shared" si="168"/>
        <v>0</v>
      </c>
      <c r="P179" s="391">
        <v>619416800</v>
      </c>
      <c r="Q179" s="395">
        <v>11600</v>
      </c>
      <c r="R179" s="25">
        <f t="shared" si="169"/>
        <v>0.14849210906714713</v>
      </c>
      <c r="S179" s="25">
        <f t="shared" si="170"/>
        <v>0.1484921090671471</v>
      </c>
      <c r="T179" s="391">
        <v>593251780</v>
      </c>
      <c r="U179" s="395">
        <v>11110</v>
      </c>
      <c r="V179" s="25">
        <f t="shared" si="171"/>
        <v>-4.2241379310344829E-2</v>
      </c>
      <c r="W179" s="25">
        <f t="shared" si="172"/>
        <v>-4.2241379310344829E-2</v>
      </c>
      <c r="X179" s="391">
        <v>592717800</v>
      </c>
      <c r="Y179" s="395">
        <v>11100</v>
      </c>
      <c r="Z179" s="25">
        <f t="shared" si="173"/>
        <v>-9.0009000900090005E-4</v>
      </c>
      <c r="AA179" s="25">
        <f t="shared" si="174"/>
        <v>-9.0009000900090005E-4</v>
      </c>
      <c r="AB179" s="391">
        <v>656544429.39999998</v>
      </c>
      <c r="AC179" s="395">
        <v>12295.3</v>
      </c>
      <c r="AD179" s="25">
        <f t="shared" si="175"/>
        <v>0.10768468468468465</v>
      </c>
      <c r="AE179" s="25">
        <f t="shared" si="176"/>
        <v>0.10768468468468462</v>
      </c>
      <c r="AF179" s="391">
        <v>539346499</v>
      </c>
      <c r="AG179" s="395">
        <v>10100</v>
      </c>
      <c r="AH179" s="25">
        <f t="shared" si="177"/>
        <v>-0.17850723447170866</v>
      </c>
      <c r="AI179" s="25">
        <f t="shared" si="178"/>
        <v>-0.17854790041723256</v>
      </c>
      <c r="AJ179" s="26">
        <f t="shared" si="185"/>
        <v>-1.3090004898462251E-2</v>
      </c>
      <c r="AK179" s="26">
        <f t="shared" si="186"/>
        <v>-1.3095088141652746E-2</v>
      </c>
      <c r="AL179" s="27">
        <f t="shared" si="187"/>
        <v>-0.11786026200873362</v>
      </c>
      <c r="AM179" s="27">
        <f t="shared" si="188"/>
        <v>-0.11790393013100436</v>
      </c>
      <c r="AN179" s="28">
        <f t="shared" si="189"/>
        <v>0.10709050105151093</v>
      </c>
      <c r="AO179" s="85">
        <f t="shared" si="190"/>
        <v>0.10709947515633901</v>
      </c>
    </row>
    <row r="180" spans="1:41">
      <c r="A180" s="218" t="s">
        <v>51</v>
      </c>
      <c r="B180" s="391">
        <v>505948331.72000003</v>
      </c>
      <c r="C180" s="395">
        <v>15.15</v>
      </c>
      <c r="D180" s="391">
        <v>511286749.37</v>
      </c>
      <c r="E180" s="395">
        <v>15.31</v>
      </c>
      <c r="F180" s="25">
        <f t="shared" si="163"/>
        <v>1.055130991706549E-2</v>
      </c>
      <c r="G180" s="25">
        <f t="shared" si="164"/>
        <v>1.056105610561057E-2</v>
      </c>
      <c r="H180" s="391">
        <v>505948331.72000003</v>
      </c>
      <c r="I180" s="395">
        <v>15.15</v>
      </c>
      <c r="J180" s="25">
        <f t="shared" si="165"/>
        <v>-1.0441142189931375E-2</v>
      </c>
      <c r="K180" s="25">
        <f t="shared" si="166"/>
        <v>-1.0450685826257357E-2</v>
      </c>
      <c r="L180" s="391">
        <v>516665533.60000002</v>
      </c>
      <c r="M180" s="395">
        <v>15.47</v>
      </c>
      <c r="N180" s="25">
        <f t="shared" si="167"/>
        <v>2.118240383077509E-2</v>
      </c>
      <c r="O180" s="25">
        <f t="shared" si="168"/>
        <v>2.112211221122114E-2</v>
      </c>
      <c r="P180" s="391">
        <v>527108880.82999998</v>
      </c>
      <c r="Q180" s="395">
        <v>15.78</v>
      </c>
      <c r="R180" s="25">
        <f t="shared" si="169"/>
        <v>2.0212974450285567E-2</v>
      </c>
      <c r="S180" s="25">
        <f t="shared" si="170"/>
        <v>2.0038784744667013E-2</v>
      </c>
      <c r="T180" s="391">
        <v>540084815.85000002</v>
      </c>
      <c r="U180" s="395">
        <v>16.170000000000002</v>
      </c>
      <c r="V180" s="25">
        <f t="shared" si="171"/>
        <v>2.4617181557570762E-2</v>
      </c>
      <c r="W180" s="25">
        <f t="shared" si="172"/>
        <v>2.4714828897338552E-2</v>
      </c>
      <c r="X180" s="391">
        <v>542942485.16999996</v>
      </c>
      <c r="Y180" s="395">
        <v>16.260000000000002</v>
      </c>
      <c r="Z180" s="25">
        <f t="shared" si="173"/>
        <v>5.2911491605303817E-3</v>
      </c>
      <c r="AA180" s="25">
        <f t="shared" si="174"/>
        <v>5.5658627087198419E-3</v>
      </c>
      <c r="AB180" s="391">
        <v>542561141.20000005</v>
      </c>
      <c r="AC180" s="395">
        <v>16.239999999999998</v>
      </c>
      <c r="AD180" s="25">
        <f t="shared" si="175"/>
        <v>-7.0236531569362699E-4</v>
      </c>
      <c r="AE180" s="25">
        <f t="shared" si="176"/>
        <v>-1.2300123001231934E-3</v>
      </c>
      <c r="AF180" s="391">
        <v>556354073.90999997</v>
      </c>
      <c r="AG180" s="395">
        <v>16.66</v>
      </c>
      <c r="AH180" s="25">
        <f t="shared" si="177"/>
        <v>2.5421895640173647E-2</v>
      </c>
      <c r="AI180" s="25">
        <f t="shared" si="178"/>
        <v>2.5862068965517349E-2</v>
      </c>
      <c r="AJ180" s="26">
        <f t="shared" si="185"/>
        <v>1.2016675881346993E-2</v>
      </c>
      <c r="AK180" s="26">
        <f t="shared" si="186"/>
        <v>1.2023001938336738E-2</v>
      </c>
      <c r="AL180" s="27">
        <f t="shared" si="187"/>
        <v>8.8144910063738702E-2</v>
      </c>
      <c r="AM180" s="27">
        <f t="shared" si="188"/>
        <v>8.817766165904635E-2</v>
      </c>
      <c r="AN180" s="28">
        <f t="shared" si="189"/>
        <v>1.311035658079652E-2</v>
      </c>
      <c r="AO180" s="85">
        <f t="shared" si="190"/>
        <v>1.3224381110499677E-2</v>
      </c>
    </row>
    <row r="181" spans="1:41">
      <c r="A181" s="218" t="s">
        <v>44</v>
      </c>
      <c r="B181" s="391">
        <v>433160662.58999997</v>
      </c>
      <c r="C181" s="395">
        <v>101.53</v>
      </c>
      <c r="D181" s="391">
        <v>434714270.49000001</v>
      </c>
      <c r="E181" s="395">
        <v>101.89</v>
      </c>
      <c r="F181" s="25">
        <f t="shared" si="163"/>
        <v>3.586678187050826E-3</v>
      </c>
      <c r="G181" s="25">
        <f t="shared" si="164"/>
        <v>3.5457500246232586E-3</v>
      </c>
      <c r="H181" s="391">
        <v>437443348.13</v>
      </c>
      <c r="I181" s="395">
        <v>102.53</v>
      </c>
      <c r="J181" s="25">
        <f t="shared" si="165"/>
        <v>6.2778653135169256E-3</v>
      </c>
      <c r="K181" s="25">
        <f t="shared" si="166"/>
        <v>6.2812837373638292E-3</v>
      </c>
      <c r="L181" s="391">
        <v>446968901.43000001</v>
      </c>
      <c r="M181" s="395">
        <v>104.76</v>
      </c>
      <c r="N181" s="25">
        <f t="shared" si="167"/>
        <v>2.1775512968068258E-2</v>
      </c>
      <c r="O181" s="25">
        <f t="shared" si="168"/>
        <v>2.1749731785818825E-2</v>
      </c>
      <c r="P181" s="391">
        <v>445610215.69</v>
      </c>
      <c r="Q181" s="395">
        <v>104.43</v>
      </c>
      <c r="R181" s="25">
        <f t="shared" si="169"/>
        <v>-3.0397768964532624E-3</v>
      </c>
      <c r="S181" s="25">
        <f t="shared" si="170"/>
        <v>-3.1500572737685976E-3</v>
      </c>
      <c r="T181" s="391">
        <v>466090081.55000001</v>
      </c>
      <c r="U181" s="395">
        <v>109.25</v>
      </c>
      <c r="V181" s="25">
        <f t="shared" si="171"/>
        <v>4.5959148015240633E-2</v>
      </c>
      <c r="W181" s="25">
        <f t="shared" si="172"/>
        <v>4.6155319352676367E-2</v>
      </c>
      <c r="X181" s="391">
        <v>466627258.92000002</v>
      </c>
      <c r="Y181" s="395">
        <v>109.38</v>
      </c>
      <c r="Z181" s="25">
        <f t="shared" si="173"/>
        <v>1.1525183462681749E-3</v>
      </c>
      <c r="AA181" s="25">
        <f t="shared" si="174"/>
        <v>1.1899313501143747E-3</v>
      </c>
      <c r="AB181" s="391">
        <v>465985818.86000001</v>
      </c>
      <c r="AC181" s="395">
        <v>109.23</v>
      </c>
      <c r="AD181" s="25">
        <f t="shared" si="175"/>
        <v>-1.3746304951935369E-3</v>
      </c>
      <c r="AE181" s="25">
        <f t="shared" si="176"/>
        <v>-1.3713658804168174E-3</v>
      </c>
      <c r="AF181" s="391">
        <v>477270455.54000002</v>
      </c>
      <c r="AG181" s="395">
        <v>111.87</v>
      </c>
      <c r="AH181" s="25">
        <f t="shared" si="177"/>
        <v>2.4216695494311477E-2</v>
      </c>
      <c r="AI181" s="25">
        <f t="shared" si="178"/>
        <v>2.4169184290030215E-2</v>
      </c>
      <c r="AJ181" s="26">
        <f t="shared" si="185"/>
        <v>1.2319251366601187E-2</v>
      </c>
      <c r="AK181" s="26">
        <f t="shared" si="186"/>
        <v>1.2321222173305181E-2</v>
      </c>
      <c r="AL181" s="27">
        <f t="shared" si="187"/>
        <v>9.7894612481968096E-2</v>
      </c>
      <c r="AM181" s="27">
        <f t="shared" si="188"/>
        <v>9.7948768279517165E-2</v>
      </c>
      <c r="AN181" s="28">
        <f t="shared" si="189"/>
        <v>1.7002045937956185E-2</v>
      </c>
      <c r="AO181" s="85">
        <f t="shared" si="190"/>
        <v>1.7063997146234234E-2</v>
      </c>
    </row>
    <row r="182" spans="1:41">
      <c r="A182" s="218" t="s">
        <v>100</v>
      </c>
      <c r="B182" s="391">
        <v>592753865.23000002</v>
      </c>
      <c r="C182" s="395">
        <v>129.62</v>
      </c>
      <c r="D182" s="391">
        <v>594912643.71000004</v>
      </c>
      <c r="E182" s="395">
        <v>130.09</v>
      </c>
      <c r="F182" s="25">
        <f t="shared" si="163"/>
        <v>3.6419475378070645E-3</v>
      </c>
      <c r="G182" s="25">
        <f t="shared" si="164"/>
        <v>3.625983644499297E-3</v>
      </c>
      <c r="H182" s="391">
        <v>611428907.62</v>
      </c>
      <c r="I182" s="395">
        <v>133.71</v>
      </c>
      <c r="J182" s="25">
        <f t="shared" si="165"/>
        <v>2.7762502755028166E-2</v>
      </c>
      <c r="K182" s="25">
        <f t="shared" si="166"/>
        <v>2.7826889076793024E-2</v>
      </c>
      <c r="L182" s="391">
        <v>615023515.02999997</v>
      </c>
      <c r="M182" s="395">
        <v>134.49</v>
      </c>
      <c r="N182" s="25">
        <f t="shared" si="167"/>
        <v>5.8790275781890203E-3</v>
      </c>
      <c r="O182" s="25">
        <f t="shared" si="168"/>
        <v>5.833520305137993E-3</v>
      </c>
      <c r="P182" s="391">
        <v>627940398.79999995</v>
      </c>
      <c r="Q182" s="395">
        <v>137.21</v>
      </c>
      <c r="R182" s="25">
        <f t="shared" si="169"/>
        <v>2.1002260001993442E-2</v>
      </c>
      <c r="S182" s="25">
        <f t="shared" si="170"/>
        <v>2.0224552011301945E-2</v>
      </c>
      <c r="T182" s="391">
        <v>643339180.24000001</v>
      </c>
      <c r="U182" s="395">
        <v>140.66999999999999</v>
      </c>
      <c r="V182" s="25">
        <f t="shared" si="171"/>
        <v>2.4522679969989625E-2</v>
      </c>
      <c r="W182" s="25">
        <f t="shared" si="172"/>
        <v>2.5216820931418842E-2</v>
      </c>
      <c r="X182" s="391">
        <v>638984796.32000005</v>
      </c>
      <c r="Y182" s="395">
        <v>139.72</v>
      </c>
      <c r="Z182" s="25">
        <f t="shared" si="173"/>
        <v>-6.7684109001033303E-3</v>
      </c>
      <c r="AA182" s="25">
        <f t="shared" si="174"/>
        <v>-6.7533944693252915E-3</v>
      </c>
      <c r="AB182" s="391">
        <v>640673529.03999996</v>
      </c>
      <c r="AC182" s="395">
        <v>137.69</v>
      </c>
      <c r="AD182" s="25">
        <f t="shared" si="175"/>
        <v>2.6428370905310261E-3</v>
      </c>
      <c r="AE182" s="25">
        <f t="shared" si="176"/>
        <v>-1.4529058116232473E-2</v>
      </c>
      <c r="AF182" s="391">
        <v>661972389.97000003</v>
      </c>
      <c r="AG182" s="395">
        <v>144.75</v>
      </c>
      <c r="AH182" s="25">
        <f t="shared" si="177"/>
        <v>3.3244484069623999E-2</v>
      </c>
      <c r="AI182" s="25">
        <f t="shared" si="178"/>
        <v>5.1274602367637465E-2</v>
      </c>
      <c r="AJ182" s="26">
        <f t="shared" si="185"/>
        <v>1.3990916012882375E-2</v>
      </c>
      <c r="AK182" s="26">
        <f t="shared" si="186"/>
        <v>1.408998946890385E-2</v>
      </c>
      <c r="AL182" s="27">
        <f t="shared" si="187"/>
        <v>0.11272200543898571</v>
      </c>
      <c r="AM182" s="27">
        <f t="shared" si="188"/>
        <v>0.11269121377507876</v>
      </c>
      <c r="AN182" s="28">
        <f t="shared" si="189"/>
        <v>1.4407666176018121E-2</v>
      </c>
      <c r="AO182" s="85">
        <f t="shared" si="190"/>
        <v>2.1260285990785107E-2</v>
      </c>
    </row>
    <row r="183" spans="1:41">
      <c r="A183" s="218" t="s">
        <v>151</v>
      </c>
      <c r="B183" s="391">
        <v>511856842.75</v>
      </c>
      <c r="C183" s="395">
        <v>120.64</v>
      </c>
      <c r="D183" s="391">
        <v>516852013.23148328</v>
      </c>
      <c r="E183" s="395">
        <v>121.84337630252101</v>
      </c>
      <c r="F183" s="25">
        <f t="shared" si="163"/>
        <v>9.7589209800268521E-3</v>
      </c>
      <c r="G183" s="25">
        <f t="shared" si="164"/>
        <v>9.9749361946370012E-3</v>
      </c>
      <c r="H183" s="391">
        <v>519860990.44</v>
      </c>
      <c r="I183" s="395">
        <v>122.59</v>
      </c>
      <c r="J183" s="25">
        <f t="shared" si="165"/>
        <v>5.821738392202183E-3</v>
      </c>
      <c r="K183" s="25">
        <f t="shared" si="166"/>
        <v>6.1277331615074999E-3</v>
      </c>
      <c r="L183" s="391">
        <v>532073335.14999998</v>
      </c>
      <c r="M183" s="395">
        <v>125.46</v>
      </c>
      <c r="N183" s="25">
        <f t="shared" si="167"/>
        <v>2.3491558194554459E-2</v>
      </c>
      <c r="O183" s="25">
        <f t="shared" si="168"/>
        <v>2.3411371237458116E-2</v>
      </c>
      <c r="P183" s="391">
        <v>761457944.21000004</v>
      </c>
      <c r="Q183" s="395">
        <v>178.29</v>
      </c>
      <c r="R183" s="25">
        <f t="shared" si="169"/>
        <v>0.43111464887698775</v>
      </c>
      <c r="S183" s="25">
        <f t="shared" si="170"/>
        <v>0.42109038737446197</v>
      </c>
      <c r="T183" s="391">
        <v>541441317.00999999</v>
      </c>
      <c r="U183" s="395">
        <v>127.62</v>
      </c>
      <c r="V183" s="25">
        <f t="shared" si="171"/>
        <v>-0.28894127229608674</v>
      </c>
      <c r="W183" s="25">
        <f t="shared" si="172"/>
        <v>-0.28419989904088838</v>
      </c>
      <c r="X183" s="391">
        <v>541495574.71000004</v>
      </c>
      <c r="Y183" s="395">
        <v>127.64</v>
      </c>
      <c r="Z183" s="25">
        <f t="shared" si="173"/>
        <v>1.0020975181516409E-4</v>
      </c>
      <c r="AA183" s="25">
        <f t="shared" si="174"/>
        <v>1.5671524839363751E-4</v>
      </c>
      <c r="AB183" s="391">
        <v>541250290.91999996</v>
      </c>
      <c r="AC183" s="395">
        <v>127.58</v>
      </c>
      <c r="AD183" s="25">
        <f t="shared" si="175"/>
        <v>-4.5297468983277232E-4</v>
      </c>
      <c r="AE183" s="25">
        <f t="shared" si="176"/>
        <v>-4.7007207771860134E-4</v>
      </c>
      <c r="AF183" s="391">
        <v>549775340.68957698</v>
      </c>
      <c r="AG183" s="395">
        <v>129.54</v>
      </c>
      <c r="AH183" s="25">
        <f t="shared" si="177"/>
        <v>1.5750660854309047E-2</v>
      </c>
      <c r="AI183" s="25">
        <f t="shared" si="178"/>
        <v>1.5362909546950883E-2</v>
      </c>
      <c r="AJ183" s="26">
        <f t="shared" si="185"/>
        <v>2.4580436257996989E-2</v>
      </c>
      <c r="AK183" s="26">
        <f t="shared" si="186"/>
        <v>2.3931760205600269E-2</v>
      </c>
      <c r="AL183" s="27">
        <f t="shared" si="187"/>
        <v>6.3699717937150194E-2</v>
      </c>
      <c r="AM183" s="27">
        <f t="shared" si="188"/>
        <v>6.3168174840865246E-2</v>
      </c>
      <c r="AN183" s="28">
        <f t="shared" si="189"/>
        <v>0.19473153591832285</v>
      </c>
      <c r="AO183" s="85">
        <f t="shared" si="190"/>
        <v>0.19064786877078518</v>
      </c>
    </row>
    <row r="184" spans="1:41">
      <c r="A184" s="218" t="s">
        <v>199</v>
      </c>
      <c r="B184" s="391">
        <v>207718041.66999999</v>
      </c>
      <c r="C184" s="395">
        <v>16.5</v>
      </c>
      <c r="D184" s="391">
        <v>226369634.77000001</v>
      </c>
      <c r="E184" s="395">
        <v>17.34094</v>
      </c>
      <c r="F184" s="25">
        <f t="shared" si="163"/>
        <v>8.9792841055336262E-2</v>
      </c>
      <c r="G184" s="25">
        <f t="shared" si="164"/>
        <v>5.0966060606060591E-2</v>
      </c>
      <c r="H184" s="391">
        <v>229986231.66</v>
      </c>
      <c r="I184" s="395">
        <v>17.62</v>
      </c>
      <c r="J184" s="25">
        <f t="shared" si="165"/>
        <v>1.5976510690908625E-2</v>
      </c>
      <c r="K184" s="25">
        <f t="shared" si="166"/>
        <v>1.6092553229525113E-2</v>
      </c>
      <c r="L184" s="391">
        <v>232394121.97</v>
      </c>
      <c r="M184" s="395">
        <v>17.82</v>
      </c>
      <c r="N184" s="25">
        <f t="shared" si="167"/>
        <v>1.0469715046071564E-2</v>
      </c>
      <c r="O184" s="25">
        <f t="shared" si="168"/>
        <v>1.1350737797956827E-2</v>
      </c>
      <c r="P184" s="391">
        <v>231547010.15000001</v>
      </c>
      <c r="Q184" s="395">
        <v>16.5</v>
      </c>
      <c r="R184" s="25">
        <f t="shared" si="169"/>
        <v>-3.64515166226686E-3</v>
      </c>
      <c r="S184" s="25">
        <f t="shared" si="170"/>
        <v>-7.4074074074074084E-2</v>
      </c>
      <c r="T184" s="391">
        <v>243315386.49000001</v>
      </c>
      <c r="U184" s="395">
        <v>16.5</v>
      </c>
      <c r="V184" s="25">
        <f t="shared" si="171"/>
        <v>5.082499805277664E-2</v>
      </c>
      <c r="W184" s="25">
        <f t="shared" si="172"/>
        <v>0</v>
      </c>
      <c r="X184" s="391">
        <v>242160896.10999998</v>
      </c>
      <c r="Y184" s="395">
        <v>16.5</v>
      </c>
      <c r="Z184" s="25">
        <f t="shared" si="173"/>
        <v>-4.7448309646766764E-3</v>
      </c>
      <c r="AA184" s="25">
        <f t="shared" si="174"/>
        <v>0</v>
      </c>
      <c r="AB184" s="391">
        <v>244737027.19</v>
      </c>
      <c r="AC184" s="395">
        <v>16.5</v>
      </c>
      <c r="AD184" s="25">
        <f t="shared" si="175"/>
        <v>1.063809690739591E-2</v>
      </c>
      <c r="AE184" s="25">
        <f t="shared" si="176"/>
        <v>0</v>
      </c>
      <c r="AF184" s="391">
        <v>239091543.55000001</v>
      </c>
      <c r="AG184" s="395">
        <v>16.5</v>
      </c>
      <c r="AH184" s="25">
        <f t="shared" si="177"/>
        <v>-2.3067550116219852E-2</v>
      </c>
      <c r="AI184" s="25">
        <f t="shared" si="178"/>
        <v>0</v>
      </c>
      <c r="AJ184" s="26">
        <f t="shared" si="185"/>
        <v>1.8280578626165701E-2</v>
      </c>
      <c r="AK184" s="26">
        <f t="shared" si="186"/>
        <v>5.4190969493355529E-4</v>
      </c>
      <c r="AL184" s="27">
        <f t="shared" si="187"/>
        <v>5.6199714210459079E-2</v>
      </c>
      <c r="AM184" s="27">
        <f t="shared" si="188"/>
        <v>-4.849448761139822E-2</v>
      </c>
      <c r="AN184" s="28">
        <f t="shared" si="189"/>
        <v>3.5893580097076286E-2</v>
      </c>
      <c r="AO184" s="85">
        <f t="shared" si="190"/>
        <v>3.4784988496056365E-2</v>
      </c>
    </row>
    <row r="185" spans="1:41">
      <c r="A185" s="218" t="s">
        <v>200</v>
      </c>
      <c r="B185" s="391">
        <v>182123973.84</v>
      </c>
      <c r="C185" s="395">
        <v>17.5</v>
      </c>
      <c r="D185" s="391">
        <v>184172444.52000001</v>
      </c>
      <c r="E185" s="395">
        <v>14.0844</v>
      </c>
      <c r="F185" s="25">
        <f t="shared" si="163"/>
        <v>1.124767177439053E-2</v>
      </c>
      <c r="G185" s="25">
        <f t="shared" si="164"/>
        <v>-0.19517714285714283</v>
      </c>
      <c r="H185" s="391">
        <v>189002517.96000001</v>
      </c>
      <c r="I185" s="395">
        <v>14.45</v>
      </c>
      <c r="J185" s="25">
        <f t="shared" si="165"/>
        <v>2.6225820331528916E-2</v>
      </c>
      <c r="K185" s="25">
        <f t="shared" si="166"/>
        <v>2.5957797279259238E-2</v>
      </c>
      <c r="L185" s="391">
        <v>189763518.83000001</v>
      </c>
      <c r="M185" s="395">
        <v>14.53</v>
      </c>
      <c r="N185" s="25">
        <f t="shared" si="167"/>
        <v>4.0264059876761061E-3</v>
      </c>
      <c r="O185" s="25">
        <f t="shared" si="168"/>
        <v>5.5363321799308009E-3</v>
      </c>
      <c r="P185" s="391">
        <v>192784493.38</v>
      </c>
      <c r="Q185" s="395">
        <v>17.5</v>
      </c>
      <c r="R185" s="25">
        <f t="shared" si="169"/>
        <v>1.5919680287475736E-2</v>
      </c>
      <c r="S185" s="25">
        <f t="shared" si="170"/>
        <v>0.2044046799724708</v>
      </c>
      <c r="T185" s="391">
        <v>193700593.5</v>
      </c>
      <c r="U185" s="395">
        <v>17.5</v>
      </c>
      <c r="V185" s="25">
        <f t="shared" si="171"/>
        <v>4.7519388304445628E-3</v>
      </c>
      <c r="W185" s="25">
        <f t="shared" si="172"/>
        <v>0</v>
      </c>
      <c r="X185" s="391">
        <v>195763260.58000001</v>
      </c>
      <c r="Y185" s="395">
        <v>17.5</v>
      </c>
      <c r="Z185" s="25">
        <f t="shared" si="173"/>
        <v>1.0648739080915686E-2</v>
      </c>
      <c r="AA185" s="25">
        <f t="shared" si="174"/>
        <v>0</v>
      </c>
      <c r="AB185" s="391">
        <v>191830417.69</v>
      </c>
      <c r="AC185" s="395">
        <v>17.5</v>
      </c>
      <c r="AD185" s="25">
        <f t="shared" si="175"/>
        <v>-2.0089790486467873E-2</v>
      </c>
      <c r="AE185" s="25">
        <f t="shared" si="176"/>
        <v>0</v>
      </c>
      <c r="AF185" s="391">
        <v>191944395.91999999</v>
      </c>
      <c r="AG185" s="395">
        <v>17.5</v>
      </c>
      <c r="AH185" s="25">
        <f t="shared" si="177"/>
        <v>5.941614024120998E-4</v>
      </c>
      <c r="AI185" s="25">
        <f t="shared" si="178"/>
        <v>0</v>
      </c>
      <c r="AJ185" s="26">
        <f t="shared" si="185"/>
        <v>6.6655784010469701E-3</v>
      </c>
      <c r="AK185" s="26">
        <f t="shared" si="186"/>
        <v>5.0902083218147508E-3</v>
      </c>
      <c r="AL185" s="27">
        <f t="shared" si="187"/>
        <v>4.2199317168513717E-2</v>
      </c>
      <c r="AM185" s="27">
        <f t="shared" si="188"/>
        <v>0.24250944307176731</v>
      </c>
      <c r="AN185" s="28">
        <f t="shared" si="189"/>
        <v>1.3461276371763895E-2</v>
      </c>
      <c r="AO185" s="85">
        <f t="shared" si="190"/>
        <v>0.10715313923542699</v>
      </c>
    </row>
    <row r="186" spans="1:41" ht="15.75" thickBot="1">
      <c r="A186" s="219" t="s">
        <v>37</v>
      </c>
      <c r="B186" s="83">
        <f>SUM(B174:B185)</f>
        <v>7030554304.0600014</v>
      </c>
      <c r="C186" s="337"/>
      <c r="D186" s="83">
        <f>SUM(D174:D185)</f>
        <v>7127915981.8214836</v>
      </c>
      <c r="E186" s="337"/>
      <c r="F186" s="25">
        <f>((D186-B186)/B186)</f>
        <v>1.3848364375090291E-2</v>
      </c>
      <c r="G186" s="225"/>
      <c r="H186" s="83">
        <f>SUM(H174:H185)</f>
        <v>7105569433.0799999</v>
      </c>
      <c r="I186" s="337"/>
      <c r="J186" s="25">
        <f>((H186-D186)/D186)</f>
        <v>-3.1350746555479461E-3</v>
      </c>
      <c r="K186" s="225"/>
      <c r="L186" s="83">
        <f>SUM(L174:L185)</f>
        <v>7215263147.7200003</v>
      </c>
      <c r="M186" s="337"/>
      <c r="N186" s="25">
        <f>((L186-H186)/H186)</f>
        <v>1.5437709204461633E-2</v>
      </c>
      <c r="O186" s="225"/>
      <c r="P186" s="83">
        <f>SUM(P174:P185)</f>
        <v>7567675949.3500004</v>
      </c>
      <c r="Q186" s="337"/>
      <c r="R186" s="25">
        <f>((P186-L186)/L186)</f>
        <v>4.8842681744928652E-2</v>
      </c>
      <c r="S186" s="225"/>
      <c r="T186" s="83">
        <f>SUM(T174:T185)</f>
        <v>7480476595.2300005</v>
      </c>
      <c r="U186" s="337"/>
      <c r="V186" s="25">
        <f>((T186-P186)/P186)</f>
        <v>-1.152260676905564E-2</v>
      </c>
      <c r="W186" s="225"/>
      <c r="X186" s="83">
        <f>SUM(X174:X185)</f>
        <v>7479400530.9599991</v>
      </c>
      <c r="Y186" s="337"/>
      <c r="Z186" s="25">
        <f>((X186-T186)/T186)</f>
        <v>-1.4384969410740145E-4</v>
      </c>
      <c r="AA186" s="225"/>
      <c r="AB186" s="83">
        <f>SUM(AB174:AB185)</f>
        <v>7537010574.9499979</v>
      </c>
      <c r="AC186" s="337"/>
      <c r="AD186" s="25">
        <f>((AB186-X186)/X186)</f>
        <v>7.7024948391959469E-3</v>
      </c>
      <c r="AE186" s="225"/>
      <c r="AF186" s="83">
        <f>SUM(AF174:AF185)</f>
        <v>7837434944.6095772</v>
      </c>
      <c r="AG186" s="337"/>
      <c r="AH186" s="25">
        <f>((AF186-AB186)/AB186)</f>
        <v>3.9859884323112063E-2</v>
      </c>
      <c r="AI186" s="225"/>
      <c r="AJ186" s="26">
        <f t="shared" si="185"/>
        <v>1.3861200421009702E-2</v>
      </c>
      <c r="AK186" s="26"/>
      <c r="AL186" s="27">
        <f t="shared" si="187"/>
        <v>9.9540870655265706E-2</v>
      </c>
      <c r="AM186" s="27"/>
      <c r="AN186" s="28">
        <f t="shared" si="189"/>
        <v>2.0940061611576487E-2</v>
      </c>
      <c r="AO186" s="85"/>
    </row>
    <row r="187" spans="1:41" ht="15.75" thickBot="1">
      <c r="A187" s="65" t="s">
        <v>47</v>
      </c>
      <c r="B187" s="240">
        <f>SUM(B164,B171,B186)</f>
        <v>1481900819585.8945</v>
      </c>
      <c r="C187" s="338"/>
      <c r="D187" s="240">
        <f>SUM(D164,D171,D186)</f>
        <v>1477514993769.4717</v>
      </c>
      <c r="E187" s="338"/>
      <c r="F187" s="225">
        <f>((D187-B187)/B187)</f>
        <v>-2.9595947032733513E-3</v>
      </c>
      <c r="G187" s="336"/>
      <c r="H187" s="240">
        <f>SUM(H164,H171,H186)</f>
        <v>1490208961438.8147</v>
      </c>
      <c r="I187" s="338"/>
      <c r="J187" s="225">
        <f>((H187-D187)/D187)</f>
        <v>8.5914306946949237E-3</v>
      </c>
      <c r="K187" s="336"/>
      <c r="L187" s="240">
        <f>SUM(L164,L171,L186)</f>
        <v>1518171723181.5208</v>
      </c>
      <c r="M187" s="338"/>
      <c r="N187" s="225">
        <f>((L187-H187)/H187)</f>
        <v>1.8764322632785452E-2</v>
      </c>
      <c r="O187" s="336"/>
      <c r="P187" s="240">
        <f>SUM(P164,P171,P186)</f>
        <v>1530621200656.0273</v>
      </c>
      <c r="Q187" s="338"/>
      <c r="R187" s="225">
        <f>((P187-L187)/L187)</f>
        <v>8.200309151073594E-3</v>
      </c>
      <c r="S187" s="336"/>
      <c r="T187" s="240">
        <f>SUM(T164,T171,T186)</f>
        <v>1545510531193.4009</v>
      </c>
      <c r="U187" s="338"/>
      <c r="V187" s="225">
        <f>((T187-P187)/P187)</f>
        <v>9.7276390337412925E-3</v>
      </c>
      <c r="W187" s="336"/>
      <c r="X187" s="240">
        <f>SUM(X164,X171,X186)</f>
        <v>1557107223980.0454</v>
      </c>
      <c r="Y187" s="338"/>
      <c r="Z187" s="225">
        <f>((X187-T187)/T187)</f>
        <v>7.5034705701357354E-3</v>
      </c>
      <c r="AA187" s="336"/>
      <c r="AB187" s="240">
        <f>SUM(AB164,AB171,AB186)</f>
        <v>1577813599129.8181</v>
      </c>
      <c r="AC187" s="338"/>
      <c r="AD187" s="225">
        <f>((AB187-X187)/X187)</f>
        <v>1.3297976421203773E-2</v>
      </c>
      <c r="AE187" s="336"/>
      <c r="AF187" s="240">
        <f>SUM(AF164,AF171,AF186)</f>
        <v>1615711565535.3123</v>
      </c>
      <c r="AG187" s="338"/>
      <c r="AH187" s="225">
        <f>((AF187-AB187)/AB187)</f>
        <v>2.4019292536453796E-2</v>
      </c>
      <c r="AI187" s="336"/>
      <c r="AJ187" s="26">
        <f t="shared" si="185"/>
        <v>1.0893105792101902E-2</v>
      </c>
      <c r="AK187" s="26"/>
      <c r="AL187" s="27">
        <f t="shared" si="187"/>
        <v>9.3533109544472484E-2</v>
      </c>
      <c r="AM187" s="27"/>
      <c r="AN187" s="28">
        <f t="shared" si="189"/>
        <v>8.0828773913461244E-3</v>
      </c>
      <c r="AO187" s="85"/>
    </row>
  </sheetData>
  <protectedRanges>
    <protectedRange password="CADF" sqref="B18" name="Fund Name_1_1_1_3_1_1_9"/>
    <protectedRange password="CADF" sqref="C18" name="Fund Name_1_1_1_1_1_1_9"/>
    <protectedRange password="CADF" sqref="B46" name="Yield_2_1_2_3_1_8"/>
    <protectedRange password="CADF" sqref="B51" name="Yield_2_1_2_4_1_8"/>
    <protectedRange password="CADF" sqref="B76" name="Yield_2_1_2_1_1_6"/>
    <protectedRange password="CADF" sqref="C76" name="Fund Name_2_2_1_1_9"/>
    <protectedRange password="CADF" sqref="C75" name="BidOffer Prices_2_1_1_1_1_1_1_1_1_1_9"/>
    <protectedRange password="CADF" sqref="B139:B141" name="Fund Name_1_1_1_2_9"/>
    <protectedRange password="CADF" sqref="C139:C141" name="Fund Name_1_1_1_1_2_9"/>
    <protectedRange password="CADF" sqref="D18" name="Fund Name_1_1_1_3_1_1_1"/>
    <protectedRange password="CADF" sqref="E18" name="Fund Name_1_1_1_1_1_1_1"/>
    <protectedRange password="CADF" sqref="D76" name="Yield_2_1_2_1_1_1"/>
    <protectedRange password="CADF" sqref="E76" name="Fund Name_2_2_1_1"/>
    <protectedRange password="CADF" sqref="E75" name="BidOffer Prices_2_1_1_1_1_1_1_1_1_1_1"/>
    <protectedRange password="CADF" sqref="D46" name="Yield_2_1_2_3_1_1"/>
    <protectedRange password="CADF" sqref="D51" name="Yield_2_1_2_4_1_1"/>
    <protectedRange password="CADF" sqref="D139:D141" name="Fund Name_1_1_1_2_1"/>
    <protectedRange password="CADF" sqref="E139:E141" name="Fund Name_1_1_1_1_2"/>
    <protectedRange password="CADF" sqref="H18" name="Fund Name_1_1_1_3_1_1_7"/>
    <protectedRange password="CADF" sqref="I18" name="Fund Name_1_1_1_1_1_1_8"/>
    <protectedRange password="CADF" sqref="H46" name="Yield_2_1_2_3_1_7"/>
    <protectedRange password="CADF" sqref="H51" name="Yield_2_1_2_4_1_7"/>
    <protectedRange password="CADF" sqref="H76" name="Yield_2_1_2_1_1_7"/>
    <protectedRange password="CADF" sqref="I76" name="Fund Name_2_2_1_1_1"/>
    <protectedRange password="CADF" sqref="I75" name="BidOffer Prices_2_1_1_1_1_1_1_1_1_1_7"/>
    <protectedRange password="CADF" sqref="H139:H141" name="Fund Name_1_1_1_2_7"/>
    <protectedRange password="CADF" sqref="I139:I141" name="Fund Name_1_1_1_1_2_1"/>
    <protectedRange password="CADF" sqref="L18" name="Fund Name_1_1_1_3_1_1_2"/>
    <protectedRange password="CADF" sqref="M18" name="Fund Name_1_1_1_1_1_1_2"/>
    <protectedRange password="CADF" sqref="L46" name="Yield_2_1_2_3_1"/>
    <protectedRange password="CADF" sqref="L51" name="Yield_2_1_2_4_1"/>
    <protectedRange password="CADF" sqref="L76" name="Yield_2_1_2_1_1"/>
    <protectedRange password="CADF" sqref="M76" name="Fund Name_2_2_1_1_2"/>
    <protectedRange password="CADF" sqref="M75" name="BidOffer Prices_2_1_1_1_1_1_1_1_1_1_2"/>
    <protectedRange password="CADF" sqref="L139:L141" name="Fund Name_1_1_1_2_2"/>
    <protectedRange password="CADF" sqref="M139:M141" name="Fund Name_1_1_1_1_2_2"/>
    <protectedRange password="CADF" sqref="P18" name="Fund Name_1_1_1_3_1_1_8"/>
    <protectedRange password="CADF" sqref="Q18" name="Fund Name_1_1_1_1_1_1_7"/>
    <protectedRange password="CADF" sqref="P46" name="Yield_2_1_2_3_1_9"/>
    <protectedRange password="CADF" sqref="P51" name="Yield_2_1_2_4_1_9"/>
    <protectedRange password="CADF" sqref="P76" name="Yield_2_1_2_1_1_8"/>
    <protectedRange password="CADF" sqref="Q76" name="Fund Name_2_2_1_1_8"/>
    <protectedRange password="CADF" sqref="Q75" name="BidOffer Prices_2_1_1_1_1_1_1_1_1_1_8"/>
    <protectedRange password="CADF" sqref="P139:P141" name="Fund Name_1_1_1_2_8"/>
    <protectedRange password="CADF" sqref="Q139:Q141" name="Fund Name_1_1_1_1_2_8"/>
    <protectedRange password="CADF" sqref="T18" name="Fund Name_1_1_1_3_1_1_3"/>
    <protectedRange password="CADF" sqref="U18" name="Fund Name_1_1_1_1_1_1_3"/>
    <protectedRange password="CADF" sqref="T46" name="Yield_2_1_2_3_1_2"/>
    <protectedRange password="CADF" sqref="T51" name="Yield_2_1_2_4_1_2"/>
    <protectedRange password="CADF" sqref="T139:T141" name="Fund Name_1_1_1_2_3"/>
    <protectedRange password="CADF" sqref="U139:U141" name="Fund Name_1_1_1_1_2_3"/>
    <protectedRange password="CADF" sqref="T76" name="Yield_2_1_2_1_1_10"/>
    <protectedRange password="CADF" sqref="U76" name="Fund Name_2_2_1_1_10"/>
    <protectedRange password="CADF" sqref="U75" name="BidOffer Prices_2_1_1_1_1_1_1_1_1_1_10"/>
    <protectedRange password="CADF" sqref="X18" name="Fund Name_1_1_1_3_1_1_4"/>
    <protectedRange password="CADF" sqref="Y18" name="Fund Name_1_1_1_1_1_1_4"/>
    <protectedRange password="CADF" sqref="X46" name="Yield_2_1_2_3_1_3"/>
    <protectedRange password="CADF" sqref="X51" name="Yield_2_1_2_4_1_3"/>
    <protectedRange password="CADF" sqref="X76" name="Yield_2_1_2_1_1_2"/>
    <protectedRange password="CADF" sqref="Y76" name="Fund Name_2_2_1_1_3"/>
    <protectedRange password="CADF" sqref="Y75" name="BidOffer Prices_2_1_1_1_1_1_1_1_1_1_3"/>
    <protectedRange password="CADF" sqref="X139:X141" name="Fund Name_1_1_1_2_4"/>
    <protectedRange password="CADF" sqref="Y139:Y141" name="Fund Name_1_1_1_1_2_4"/>
    <protectedRange password="CADF" sqref="AB18" name="Fund Name_1_1_1_3_1_1"/>
    <protectedRange password="CADF" sqref="AC18" name="Fund Name_1_1_1_1_1_1"/>
    <protectedRange password="CADF" sqref="AB46" name="Yield_2_1_2_3_1_4"/>
    <protectedRange password="CADF" sqref="AB51" name="Yield_2_1_2_4_1_4"/>
    <protectedRange password="CADF" sqref="AB76" name="Yield_2_1_2_1_1_3"/>
    <protectedRange password="CADF" sqref="AC76" name="Fund Name_2_2_1_1_4"/>
    <protectedRange password="CADF" sqref="AC75" name="BidOffer Prices_2_1_1_1_1_1_1_1_1_1"/>
    <protectedRange password="CADF" sqref="AB93" name="Yield_2_1_2_6_3"/>
    <protectedRange password="CADF" sqref="AB139:AB141" name="Fund Name_1_1_1_2"/>
    <protectedRange password="CADF" sqref="AC139:AC141" name="Fund Name_1_1_1_1_2_5"/>
    <protectedRange password="CADF" sqref="AF18" name="Fund Name_1_1_1_3_1_1_5"/>
    <protectedRange password="CADF" sqref="AG18" name="Fund Name_1_1_1_1_1_1_5"/>
    <protectedRange password="CADF" sqref="AF46" name="Yield_2_1_2_3_1_5"/>
    <protectedRange password="CADF" sqref="AF51" name="Yield_2_1_2_4_1_5"/>
    <protectedRange password="CADF" sqref="AF76" name="Yield_2_1_2_1_1_4"/>
    <protectedRange password="CADF" sqref="AG76" name="Fund Name_2_2_1_1_5"/>
    <protectedRange password="CADF" sqref="AG75" name="BidOffer Prices_2_1_1_1_1_1_1_1_1_1_4"/>
    <protectedRange password="CADF" sqref="AF93" name="Yield_2_1_2_6_3_1"/>
    <protectedRange password="CADF" sqref="AF139:AF141" name="Fund Name_1_1_1_2_5"/>
    <protectedRange password="CADF" sqref="AG139:AG141" name="Fund Name_1_1_1_1_2_6"/>
  </protectedRanges>
  <mergeCells count="23">
    <mergeCell ref="A1:AO1"/>
    <mergeCell ref="AN2:AO2"/>
    <mergeCell ref="AL2:AM2"/>
    <mergeCell ref="AJ2:AK2"/>
    <mergeCell ref="F2:G2"/>
    <mergeCell ref="D2:E2"/>
    <mergeCell ref="L2:M2"/>
    <mergeCell ref="N2:O2"/>
    <mergeCell ref="V2:W2"/>
    <mergeCell ref="T2:U2"/>
    <mergeCell ref="AQ2:AR2"/>
    <mergeCell ref="AQ124:AR124"/>
    <mergeCell ref="B2:C2"/>
    <mergeCell ref="J2:K2"/>
    <mergeCell ref="H2:I2"/>
    <mergeCell ref="R2:S2"/>
    <mergeCell ref="P2:Q2"/>
    <mergeCell ref="X2:Y2"/>
    <mergeCell ref="Z2:AA2"/>
    <mergeCell ref="AB2:AC2"/>
    <mergeCell ref="AD2:AE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2023-02-13T08:19:07Z</dcterms:modified>
</cp:coreProperties>
</file>