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0" yWindow="0" windowWidth="27660" windowHeight="11880"/>
  </bookViews>
  <sheets>
    <sheet name="September" sheetId="7" r:id="rId1"/>
    <sheet name="NAV Comparison" sheetId="2" r:id="rId2"/>
    <sheet name="Market Share" sheetId="3" r:id="rId3"/>
    <sheet name="Unitholders" sheetId="6" r:id="rId4"/>
  </sheets>
  <externalReferences>
    <externalReference r:id="rId5"/>
  </externalReferences>
  <definedNames>
    <definedName name="_xlnm._FilterDatabase" localSheetId="0" hidden="1">September!$A$1:$V$276</definedName>
    <definedName name="_Hlk34300669" localSheetId="0">September!$K$73</definedName>
    <definedName name="Component">"Group"</definedName>
    <definedName name="FX_RATE">September!$C$271</definedName>
    <definedName name="pbCountingPages">FALSE</definedName>
  </definedNames>
  <calcPr calcId="162913"/>
</workbook>
</file>

<file path=xl/calcChain.xml><?xml version="1.0" encoding="utf-8"?>
<calcChain xmlns="http://schemas.openxmlformats.org/spreadsheetml/2006/main">
  <c r="H55" i="7" l="1"/>
  <c r="K152" i="7" l="1"/>
  <c r="G152" i="7"/>
  <c r="E152" i="7"/>
  <c r="D152" i="7"/>
  <c r="S127" i="7" l="1"/>
  <c r="R127" i="7"/>
  <c r="K127" i="7"/>
  <c r="G127" i="7"/>
  <c r="F127" i="7"/>
  <c r="E127" i="7"/>
  <c r="D127" i="7"/>
  <c r="I269" i="7"/>
  <c r="L247" i="7"/>
  <c r="L248" i="7"/>
  <c r="L249" i="7"/>
  <c r="L250" i="7"/>
  <c r="L251" i="7"/>
  <c r="L252" i="7"/>
  <c r="J247" i="7"/>
  <c r="J248" i="7"/>
  <c r="J249" i="7"/>
  <c r="J250" i="7"/>
  <c r="J251" i="7"/>
  <c r="J252" i="7"/>
  <c r="J240" i="7"/>
  <c r="J241" i="7"/>
  <c r="J242" i="7"/>
  <c r="J223" i="7"/>
  <c r="J224" i="7"/>
  <c r="J225" i="7"/>
  <c r="J226" i="7"/>
  <c r="J227" i="7"/>
  <c r="J228" i="7"/>
  <c r="J229" i="7"/>
  <c r="J230" i="7"/>
  <c r="J231" i="7"/>
  <c r="J232" i="7"/>
  <c r="J233" i="7"/>
  <c r="J234" i="7"/>
  <c r="J235" i="7"/>
  <c r="J236" i="7"/>
  <c r="J219" i="7"/>
  <c r="L212" i="7"/>
  <c r="L213" i="7"/>
  <c r="J212" i="7"/>
  <c r="J213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L169" i="7"/>
  <c r="L170" i="7"/>
  <c r="L171" i="7"/>
  <c r="L172" i="7"/>
  <c r="L173" i="7"/>
  <c r="J169" i="7"/>
  <c r="J170" i="7"/>
  <c r="J171" i="7"/>
  <c r="J172" i="7"/>
  <c r="J173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H69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L257" i="7"/>
  <c r="L258" i="7"/>
  <c r="L259" i="7"/>
  <c r="L260" i="7"/>
  <c r="L261" i="7"/>
  <c r="L262" i="7"/>
  <c r="L263" i="7"/>
  <c r="L264" i="7"/>
  <c r="L265" i="7"/>
  <c r="L266" i="7"/>
  <c r="L267" i="7"/>
  <c r="L256" i="7"/>
  <c r="J257" i="7"/>
  <c r="J258" i="7"/>
  <c r="J259" i="7"/>
  <c r="J260" i="7"/>
  <c r="J261" i="7"/>
  <c r="J262" i="7"/>
  <c r="J263" i="7"/>
  <c r="J264" i="7"/>
  <c r="J265" i="7"/>
  <c r="J266" i="7"/>
  <c r="J267" i="7"/>
  <c r="J256" i="7"/>
  <c r="M257" i="7" l="1"/>
  <c r="N257" i="7"/>
  <c r="O257" i="7"/>
  <c r="P257" i="7"/>
  <c r="Q257" i="7"/>
  <c r="M258" i="7"/>
  <c r="N258" i="7"/>
  <c r="O258" i="7"/>
  <c r="P258" i="7"/>
  <c r="Q258" i="7"/>
  <c r="M259" i="7"/>
  <c r="N259" i="7"/>
  <c r="O259" i="7"/>
  <c r="P259" i="7"/>
  <c r="Q259" i="7"/>
  <c r="M260" i="7"/>
  <c r="N260" i="7"/>
  <c r="O260" i="7"/>
  <c r="P260" i="7"/>
  <c r="Q260" i="7"/>
  <c r="M261" i="7"/>
  <c r="N261" i="7"/>
  <c r="O261" i="7"/>
  <c r="P261" i="7"/>
  <c r="Q261" i="7"/>
  <c r="M262" i="7"/>
  <c r="N262" i="7"/>
  <c r="O262" i="7"/>
  <c r="P262" i="7"/>
  <c r="Q262" i="7"/>
  <c r="M263" i="7"/>
  <c r="N263" i="7"/>
  <c r="O263" i="7"/>
  <c r="P263" i="7"/>
  <c r="Q263" i="7"/>
  <c r="M264" i="7"/>
  <c r="N264" i="7"/>
  <c r="O264" i="7"/>
  <c r="P264" i="7"/>
  <c r="Q264" i="7"/>
  <c r="M265" i="7"/>
  <c r="N265" i="7"/>
  <c r="O265" i="7"/>
  <c r="P265" i="7"/>
  <c r="Q265" i="7"/>
  <c r="M266" i="7"/>
  <c r="N266" i="7"/>
  <c r="O266" i="7"/>
  <c r="P266" i="7"/>
  <c r="Q266" i="7"/>
  <c r="M267" i="7"/>
  <c r="N267" i="7"/>
  <c r="O267" i="7"/>
  <c r="P267" i="7"/>
  <c r="Q267" i="7"/>
  <c r="M247" i="7"/>
  <c r="N247" i="7"/>
  <c r="O247" i="7"/>
  <c r="P247" i="7"/>
  <c r="Q247" i="7"/>
  <c r="M248" i="7"/>
  <c r="N248" i="7"/>
  <c r="O248" i="7"/>
  <c r="P248" i="7"/>
  <c r="Q248" i="7"/>
  <c r="M249" i="7"/>
  <c r="N249" i="7"/>
  <c r="O249" i="7"/>
  <c r="P249" i="7"/>
  <c r="Q249" i="7"/>
  <c r="M250" i="7"/>
  <c r="N250" i="7"/>
  <c r="P250" i="7"/>
  <c r="M251" i="7"/>
  <c r="N251" i="7"/>
  <c r="O251" i="7"/>
  <c r="P251" i="7"/>
  <c r="Q251" i="7"/>
  <c r="M252" i="7"/>
  <c r="N252" i="7"/>
  <c r="O252" i="7"/>
  <c r="P252" i="7"/>
  <c r="Q252" i="7"/>
  <c r="M240" i="7"/>
  <c r="N240" i="7"/>
  <c r="O240" i="7"/>
  <c r="P240" i="7"/>
  <c r="Q240" i="7"/>
  <c r="M241" i="7"/>
  <c r="N241" i="7"/>
  <c r="O241" i="7"/>
  <c r="P241" i="7"/>
  <c r="Q241" i="7"/>
  <c r="M242" i="7"/>
  <c r="N242" i="7"/>
  <c r="O242" i="7"/>
  <c r="P242" i="7"/>
  <c r="Q242" i="7"/>
  <c r="M223" i="7"/>
  <c r="N223" i="7"/>
  <c r="O223" i="7"/>
  <c r="P223" i="7"/>
  <c r="Q223" i="7"/>
  <c r="M224" i="7"/>
  <c r="N224" i="7"/>
  <c r="O224" i="7"/>
  <c r="P224" i="7"/>
  <c r="Q224" i="7"/>
  <c r="M225" i="7"/>
  <c r="N225" i="7"/>
  <c r="O225" i="7"/>
  <c r="P225" i="7"/>
  <c r="Q225" i="7"/>
  <c r="M226" i="7"/>
  <c r="N226" i="7"/>
  <c r="P226" i="7"/>
  <c r="M227" i="7"/>
  <c r="N227" i="7"/>
  <c r="O227" i="7"/>
  <c r="P227" i="7"/>
  <c r="Q227" i="7"/>
  <c r="M228" i="7"/>
  <c r="N228" i="7"/>
  <c r="O228" i="7"/>
  <c r="P228" i="7"/>
  <c r="Q228" i="7"/>
  <c r="M229" i="7"/>
  <c r="N229" i="7"/>
  <c r="O229" i="7"/>
  <c r="P229" i="7"/>
  <c r="Q229" i="7"/>
  <c r="M230" i="7"/>
  <c r="N230" i="7"/>
  <c r="O230" i="7"/>
  <c r="P230" i="7"/>
  <c r="Q230" i="7"/>
  <c r="M231" i="7"/>
  <c r="N231" i="7"/>
  <c r="P231" i="7"/>
  <c r="M232" i="7"/>
  <c r="N232" i="7"/>
  <c r="O232" i="7"/>
  <c r="P232" i="7"/>
  <c r="Q232" i="7"/>
  <c r="M233" i="7"/>
  <c r="N233" i="7"/>
  <c r="O233" i="7"/>
  <c r="P233" i="7"/>
  <c r="Q233" i="7"/>
  <c r="M234" i="7"/>
  <c r="N234" i="7"/>
  <c r="O234" i="7"/>
  <c r="P234" i="7"/>
  <c r="Q234" i="7"/>
  <c r="M235" i="7"/>
  <c r="N235" i="7"/>
  <c r="O235" i="7"/>
  <c r="P235" i="7"/>
  <c r="Q235" i="7"/>
  <c r="M236" i="7"/>
  <c r="N236" i="7"/>
  <c r="O236" i="7"/>
  <c r="P236" i="7"/>
  <c r="Q236" i="7"/>
  <c r="M219" i="7"/>
  <c r="N219" i="7"/>
  <c r="O219" i="7"/>
  <c r="P219" i="7"/>
  <c r="Q219" i="7"/>
  <c r="M212" i="7"/>
  <c r="N212" i="7"/>
  <c r="O212" i="7"/>
  <c r="P212" i="7"/>
  <c r="Q212" i="7"/>
  <c r="M213" i="7"/>
  <c r="N213" i="7"/>
  <c r="O213" i="7"/>
  <c r="P213" i="7"/>
  <c r="Q213" i="7"/>
  <c r="M178" i="7"/>
  <c r="N178" i="7"/>
  <c r="O178" i="7"/>
  <c r="P178" i="7"/>
  <c r="Q178" i="7"/>
  <c r="M179" i="7"/>
  <c r="N179" i="7"/>
  <c r="O179" i="7"/>
  <c r="P179" i="7"/>
  <c r="Q179" i="7"/>
  <c r="M180" i="7"/>
  <c r="N180" i="7"/>
  <c r="O180" i="7"/>
  <c r="P180" i="7"/>
  <c r="Q180" i="7"/>
  <c r="M181" i="7"/>
  <c r="N181" i="7"/>
  <c r="O181" i="7"/>
  <c r="P181" i="7"/>
  <c r="Q181" i="7"/>
  <c r="M182" i="7"/>
  <c r="N182" i="7"/>
  <c r="O182" i="7"/>
  <c r="P182" i="7"/>
  <c r="Q182" i="7"/>
  <c r="M183" i="7"/>
  <c r="N183" i="7"/>
  <c r="O183" i="7"/>
  <c r="P183" i="7"/>
  <c r="Q183" i="7"/>
  <c r="M184" i="7"/>
  <c r="N184" i="7"/>
  <c r="O184" i="7"/>
  <c r="P184" i="7"/>
  <c r="Q184" i="7"/>
  <c r="M185" i="7"/>
  <c r="N185" i="7"/>
  <c r="O185" i="7"/>
  <c r="P185" i="7"/>
  <c r="Q185" i="7"/>
  <c r="M186" i="7"/>
  <c r="N186" i="7"/>
  <c r="O186" i="7"/>
  <c r="P186" i="7"/>
  <c r="Q186" i="7"/>
  <c r="M187" i="7"/>
  <c r="N187" i="7"/>
  <c r="O187" i="7"/>
  <c r="P187" i="7"/>
  <c r="Q187" i="7"/>
  <c r="M188" i="7"/>
  <c r="N188" i="7"/>
  <c r="O188" i="7"/>
  <c r="P188" i="7"/>
  <c r="Q188" i="7"/>
  <c r="M189" i="7"/>
  <c r="N189" i="7"/>
  <c r="O189" i="7"/>
  <c r="P189" i="7"/>
  <c r="Q189" i="7"/>
  <c r="M190" i="7"/>
  <c r="N190" i="7"/>
  <c r="O190" i="7"/>
  <c r="P190" i="7"/>
  <c r="Q190" i="7"/>
  <c r="M191" i="7"/>
  <c r="N191" i="7"/>
  <c r="O191" i="7"/>
  <c r="P191" i="7"/>
  <c r="Q191" i="7"/>
  <c r="M192" i="7"/>
  <c r="N192" i="7"/>
  <c r="O192" i="7"/>
  <c r="P192" i="7"/>
  <c r="Q192" i="7"/>
  <c r="M193" i="7"/>
  <c r="N193" i="7"/>
  <c r="O193" i="7"/>
  <c r="P193" i="7"/>
  <c r="Q193" i="7"/>
  <c r="M194" i="7"/>
  <c r="N194" i="7"/>
  <c r="O194" i="7"/>
  <c r="P194" i="7"/>
  <c r="Q194" i="7"/>
  <c r="M195" i="7"/>
  <c r="N195" i="7"/>
  <c r="O195" i="7"/>
  <c r="P195" i="7"/>
  <c r="Q195" i="7"/>
  <c r="M196" i="7"/>
  <c r="N196" i="7"/>
  <c r="O196" i="7"/>
  <c r="P196" i="7"/>
  <c r="Q196" i="7"/>
  <c r="M197" i="7"/>
  <c r="N197" i="7"/>
  <c r="P197" i="7"/>
  <c r="M198" i="7"/>
  <c r="N198" i="7"/>
  <c r="O198" i="7"/>
  <c r="P198" i="7"/>
  <c r="Q198" i="7"/>
  <c r="M199" i="7"/>
  <c r="N199" i="7"/>
  <c r="O199" i="7"/>
  <c r="P199" i="7"/>
  <c r="Q199" i="7"/>
  <c r="M200" i="7"/>
  <c r="N200" i="7"/>
  <c r="O200" i="7"/>
  <c r="P200" i="7"/>
  <c r="Q200" i="7"/>
  <c r="M201" i="7"/>
  <c r="N201" i="7"/>
  <c r="O201" i="7"/>
  <c r="P201" i="7"/>
  <c r="Q201" i="7"/>
  <c r="M202" i="7"/>
  <c r="N202" i="7"/>
  <c r="O202" i="7"/>
  <c r="P202" i="7"/>
  <c r="Q202" i="7"/>
  <c r="M203" i="7"/>
  <c r="N203" i="7"/>
  <c r="O203" i="7"/>
  <c r="P203" i="7"/>
  <c r="Q203" i="7"/>
  <c r="M204" i="7"/>
  <c r="N204" i="7"/>
  <c r="O204" i="7"/>
  <c r="P204" i="7"/>
  <c r="Q204" i="7"/>
  <c r="M205" i="7"/>
  <c r="N205" i="7"/>
  <c r="O205" i="7"/>
  <c r="P205" i="7"/>
  <c r="Q205" i="7"/>
  <c r="M206" i="7"/>
  <c r="N206" i="7"/>
  <c r="O206" i="7"/>
  <c r="P206" i="7"/>
  <c r="Q206" i="7"/>
  <c r="M207" i="7"/>
  <c r="N207" i="7"/>
  <c r="O207" i="7"/>
  <c r="P207" i="7"/>
  <c r="Q207" i="7"/>
  <c r="M169" i="7"/>
  <c r="N169" i="7"/>
  <c r="O169" i="7"/>
  <c r="P169" i="7"/>
  <c r="Q169" i="7"/>
  <c r="M170" i="7"/>
  <c r="N170" i="7"/>
  <c r="O170" i="7"/>
  <c r="P170" i="7"/>
  <c r="Q170" i="7"/>
  <c r="M171" i="7"/>
  <c r="N171" i="7"/>
  <c r="O171" i="7"/>
  <c r="P171" i="7"/>
  <c r="Q171" i="7"/>
  <c r="M172" i="7"/>
  <c r="N172" i="7"/>
  <c r="O172" i="7"/>
  <c r="P172" i="7"/>
  <c r="Q172" i="7"/>
  <c r="M173" i="7"/>
  <c r="N173" i="7"/>
  <c r="O173" i="7"/>
  <c r="P173" i="7"/>
  <c r="Q173" i="7"/>
  <c r="M145" i="7"/>
  <c r="N145" i="7"/>
  <c r="O145" i="7"/>
  <c r="P145" i="7"/>
  <c r="Q145" i="7"/>
  <c r="M146" i="7"/>
  <c r="N146" i="7"/>
  <c r="O146" i="7"/>
  <c r="P146" i="7"/>
  <c r="Q146" i="7"/>
  <c r="M147" i="7"/>
  <c r="N147" i="7"/>
  <c r="O147" i="7"/>
  <c r="P147" i="7"/>
  <c r="Q147" i="7"/>
  <c r="M148" i="7"/>
  <c r="N148" i="7"/>
  <c r="O148" i="7"/>
  <c r="P148" i="7"/>
  <c r="Q148" i="7"/>
  <c r="M149" i="7"/>
  <c r="N149" i="7"/>
  <c r="O149" i="7"/>
  <c r="P149" i="7"/>
  <c r="Q149" i="7"/>
  <c r="M150" i="7"/>
  <c r="N150" i="7"/>
  <c r="O150" i="7"/>
  <c r="P150" i="7"/>
  <c r="Q150" i="7"/>
  <c r="M151" i="7"/>
  <c r="N151" i="7"/>
  <c r="O151" i="7"/>
  <c r="P151" i="7"/>
  <c r="Q151" i="7"/>
  <c r="M152" i="7"/>
  <c r="N152" i="7"/>
  <c r="P152" i="7"/>
  <c r="M153" i="7"/>
  <c r="N153" i="7"/>
  <c r="O153" i="7"/>
  <c r="P153" i="7"/>
  <c r="Q153" i="7"/>
  <c r="M154" i="7"/>
  <c r="N154" i="7"/>
  <c r="O154" i="7"/>
  <c r="P154" i="7"/>
  <c r="Q154" i="7"/>
  <c r="M155" i="7"/>
  <c r="N155" i="7"/>
  <c r="P155" i="7"/>
  <c r="M156" i="7"/>
  <c r="N156" i="7"/>
  <c r="O156" i="7"/>
  <c r="P156" i="7"/>
  <c r="Q156" i="7"/>
  <c r="M157" i="7"/>
  <c r="N157" i="7"/>
  <c r="P157" i="7"/>
  <c r="M158" i="7"/>
  <c r="N158" i="7"/>
  <c r="O158" i="7"/>
  <c r="P158" i="7"/>
  <c r="Q158" i="7"/>
  <c r="M159" i="7"/>
  <c r="N159" i="7"/>
  <c r="O159" i="7"/>
  <c r="P159" i="7"/>
  <c r="Q159" i="7"/>
  <c r="M160" i="7"/>
  <c r="N160" i="7"/>
  <c r="O160" i="7"/>
  <c r="P160" i="7"/>
  <c r="Q160" i="7"/>
  <c r="M161" i="7"/>
  <c r="N161" i="7"/>
  <c r="O161" i="7"/>
  <c r="P161" i="7"/>
  <c r="Q161" i="7"/>
  <c r="M162" i="7"/>
  <c r="N162" i="7"/>
  <c r="O162" i="7"/>
  <c r="P162" i="7"/>
  <c r="Q162" i="7"/>
  <c r="M163" i="7"/>
  <c r="N163" i="7"/>
  <c r="O163" i="7"/>
  <c r="P163" i="7"/>
  <c r="Q163" i="7"/>
  <c r="M164" i="7"/>
  <c r="N164" i="7"/>
  <c r="O164" i="7"/>
  <c r="P164" i="7"/>
  <c r="Q164" i="7"/>
  <c r="M125" i="7"/>
  <c r="N125" i="7"/>
  <c r="O125" i="7"/>
  <c r="P125" i="7"/>
  <c r="Q125" i="7"/>
  <c r="M126" i="7"/>
  <c r="N126" i="7"/>
  <c r="O126" i="7"/>
  <c r="P126" i="7"/>
  <c r="Q126" i="7"/>
  <c r="M127" i="7"/>
  <c r="N127" i="7"/>
  <c r="P127" i="7"/>
  <c r="M128" i="7"/>
  <c r="N128" i="7"/>
  <c r="O128" i="7"/>
  <c r="P128" i="7"/>
  <c r="Q128" i="7"/>
  <c r="M129" i="7"/>
  <c r="N129" i="7"/>
  <c r="O129" i="7"/>
  <c r="P129" i="7"/>
  <c r="Q129" i="7"/>
  <c r="M130" i="7"/>
  <c r="N130" i="7"/>
  <c r="O130" i="7"/>
  <c r="P130" i="7"/>
  <c r="Q130" i="7"/>
  <c r="M131" i="7"/>
  <c r="N131" i="7"/>
  <c r="O131" i="7"/>
  <c r="P131" i="7"/>
  <c r="Q131" i="7"/>
  <c r="M132" i="7"/>
  <c r="N132" i="7"/>
  <c r="P132" i="7"/>
  <c r="M133" i="7"/>
  <c r="N133" i="7"/>
  <c r="O133" i="7"/>
  <c r="P133" i="7"/>
  <c r="Q133" i="7"/>
  <c r="M134" i="7"/>
  <c r="N134" i="7"/>
  <c r="O134" i="7"/>
  <c r="P134" i="7"/>
  <c r="Q134" i="7"/>
  <c r="M135" i="7"/>
  <c r="N135" i="7"/>
  <c r="O135" i="7"/>
  <c r="P135" i="7"/>
  <c r="Q135" i="7"/>
  <c r="M136" i="7"/>
  <c r="N136" i="7"/>
  <c r="O136" i="7"/>
  <c r="P136" i="7"/>
  <c r="Q136" i="7"/>
  <c r="M137" i="7"/>
  <c r="N137" i="7"/>
  <c r="O137" i="7"/>
  <c r="P137" i="7"/>
  <c r="Q137" i="7"/>
  <c r="M138" i="7"/>
  <c r="N138" i="7"/>
  <c r="O138" i="7"/>
  <c r="P138" i="7"/>
  <c r="Q138" i="7"/>
  <c r="M139" i="7"/>
  <c r="N139" i="7"/>
  <c r="O139" i="7"/>
  <c r="P139" i="7"/>
  <c r="Q139" i="7"/>
  <c r="M140" i="7"/>
  <c r="N140" i="7"/>
  <c r="O140" i="7"/>
  <c r="P140" i="7"/>
  <c r="Q140" i="7"/>
  <c r="M141" i="7"/>
  <c r="N141" i="7"/>
  <c r="O141" i="7"/>
  <c r="P141" i="7"/>
  <c r="Q141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M83" i="7"/>
  <c r="N83" i="7"/>
  <c r="O83" i="7"/>
  <c r="P83" i="7"/>
  <c r="Q83" i="7"/>
  <c r="M84" i="7"/>
  <c r="N84" i="7"/>
  <c r="O84" i="7"/>
  <c r="P84" i="7"/>
  <c r="Q84" i="7"/>
  <c r="M85" i="7"/>
  <c r="N85" i="7"/>
  <c r="O85" i="7"/>
  <c r="P85" i="7"/>
  <c r="Q85" i="7"/>
  <c r="M86" i="7"/>
  <c r="N86" i="7"/>
  <c r="O86" i="7"/>
  <c r="P86" i="7"/>
  <c r="Q86" i="7"/>
  <c r="M87" i="7"/>
  <c r="N87" i="7"/>
  <c r="O87" i="7"/>
  <c r="P87" i="7"/>
  <c r="Q87" i="7"/>
  <c r="M88" i="7"/>
  <c r="N88" i="7"/>
  <c r="O88" i="7"/>
  <c r="P88" i="7"/>
  <c r="Q88" i="7"/>
  <c r="M89" i="7"/>
  <c r="N89" i="7"/>
  <c r="O89" i="7"/>
  <c r="P89" i="7"/>
  <c r="Q89" i="7"/>
  <c r="M90" i="7"/>
  <c r="N90" i="7"/>
  <c r="O90" i="7"/>
  <c r="P90" i="7"/>
  <c r="Q90" i="7"/>
  <c r="M91" i="7"/>
  <c r="N91" i="7"/>
  <c r="O91" i="7"/>
  <c r="P91" i="7"/>
  <c r="Q91" i="7"/>
  <c r="M92" i="7"/>
  <c r="N92" i="7"/>
  <c r="O92" i="7"/>
  <c r="P92" i="7"/>
  <c r="Q92" i="7"/>
  <c r="M93" i="7"/>
  <c r="N93" i="7"/>
  <c r="O93" i="7"/>
  <c r="P93" i="7"/>
  <c r="Q93" i="7"/>
  <c r="M94" i="7"/>
  <c r="N94" i="7"/>
  <c r="O94" i="7"/>
  <c r="P94" i="7"/>
  <c r="Q94" i="7"/>
  <c r="M95" i="7"/>
  <c r="N95" i="7"/>
  <c r="O95" i="7"/>
  <c r="P95" i="7"/>
  <c r="Q95" i="7"/>
  <c r="M96" i="7"/>
  <c r="N96" i="7"/>
  <c r="O96" i="7"/>
  <c r="P96" i="7"/>
  <c r="Q96" i="7"/>
  <c r="M97" i="7"/>
  <c r="N97" i="7"/>
  <c r="O97" i="7"/>
  <c r="P97" i="7"/>
  <c r="Q97" i="7"/>
  <c r="M98" i="7"/>
  <c r="N98" i="7"/>
  <c r="O98" i="7"/>
  <c r="P98" i="7"/>
  <c r="Q98" i="7"/>
  <c r="M99" i="7"/>
  <c r="N99" i="7"/>
  <c r="O99" i="7"/>
  <c r="P99" i="7"/>
  <c r="Q99" i="7"/>
  <c r="M100" i="7"/>
  <c r="N100" i="7"/>
  <c r="O100" i="7"/>
  <c r="P100" i="7"/>
  <c r="Q100" i="7"/>
  <c r="M101" i="7"/>
  <c r="N101" i="7"/>
  <c r="O101" i="7"/>
  <c r="P101" i="7"/>
  <c r="Q101" i="7"/>
  <c r="M102" i="7"/>
  <c r="N102" i="7"/>
  <c r="O102" i="7"/>
  <c r="P102" i="7"/>
  <c r="Q102" i="7"/>
  <c r="M103" i="7"/>
  <c r="N103" i="7"/>
  <c r="O103" i="7"/>
  <c r="P103" i="7"/>
  <c r="Q103" i="7"/>
  <c r="M104" i="7"/>
  <c r="N104" i="7"/>
  <c r="O104" i="7"/>
  <c r="P104" i="7"/>
  <c r="Q104" i="7"/>
  <c r="M105" i="7"/>
  <c r="N105" i="7"/>
  <c r="O105" i="7"/>
  <c r="P105" i="7"/>
  <c r="Q105" i="7"/>
  <c r="M106" i="7"/>
  <c r="N106" i="7"/>
  <c r="O106" i="7"/>
  <c r="P106" i="7"/>
  <c r="Q106" i="7"/>
  <c r="M107" i="7"/>
  <c r="N107" i="7"/>
  <c r="O107" i="7"/>
  <c r="P107" i="7"/>
  <c r="Q107" i="7"/>
  <c r="M108" i="7"/>
  <c r="N108" i="7"/>
  <c r="O108" i="7"/>
  <c r="P108" i="7"/>
  <c r="Q108" i="7"/>
  <c r="M109" i="7"/>
  <c r="N109" i="7"/>
  <c r="O109" i="7"/>
  <c r="P109" i="7"/>
  <c r="Q109" i="7"/>
  <c r="M110" i="7"/>
  <c r="N110" i="7"/>
  <c r="O110" i="7"/>
  <c r="P110" i="7"/>
  <c r="Q110" i="7"/>
  <c r="M111" i="7"/>
  <c r="N111" i="7"/>
  <c r="O111" i="7"/>
  <c r="P111" i="7"/>
  <c r="Q111" i="7"/>
  <c r="M112" i="7"/>
  <c r="N112" i="7"/>
  <c r="O112" i="7"/>
  <c r="P112" i="7"/>
  <c r="Q112" i="7"/>
  <c r="M113" i="7"/>
  <c r="N113" i="7"/>
  <c r="O113" i="7"/>
  <c r="P113" i="7"/>
  <c r="Q113" i="7"/>
  <c r="M114" i="7"/>
  <c r="N114" i="7"/>
  <c r="O114" i="7"/>
  <c r="P114" i="7"/>
  <c r="Q114" i="7"/>
  <c r="M115" i="7"/>
  <c r="N115" i="7"/>
  <c r="O115" i="7"/>
  <c r="P115" i="7"/>
  <c r="Q115" i="7"/>
  <c r="M116" i="7"/>
  <c r="N116" i="7"/>
  <c r="O116" i="7"/>
  <c r="P116" i="7"/>
  <c r="Q116" i="7"/>
  <c r="M117" i="7"/>
  <c r="N117" i="7"/>
  <c r="O117" i="7"/>
  <c r="P117" i="7"/>
  <c r="Q117" i="7"/>
  <c r="M118" i="7"/>
  <c r="N118" i="7"/>
  <c r="P118" i="7"/>
  <c r="M119" i="7"/>
  <c r="N119" i="7"/>
  <c r="O119" i="7"/>
  <c r="P119" i="7"/>
  <c r="Q119" i="7"/>
  <c r="L31" i="7"/>
  <c r="M31" i="7"/>
  <c r="N31" i="7"/>
  <c r="O31" i="7"/>
  <c r="P31" i="7"/>
  <c r="Q31" i="7"/>
  <c r="L32" i="7"/>
  <c r="M32" i="7"/>
  <c r="N32" i="7"/>
  <c r="O32" i="7"/>
  <c r="P32" i="7"/>
  <c r="Q32" i="7"/>
  <c r="L33" i="7"/>
  <c r="M33" i="7"/>
  <c r="N33" i="7"/>
  <c r="O33" i="7"/>
  <c r="P33" i="7"/>
  <c r="Q33" i="7"/>
  <c r="L34" i="7"/>
  <c r="M34" i="7"/>
  <c r="N34" i="7"/>
  <c r="O34" i="7"/>
  <c r="P34" i="7"/>
  <c r="Q34" i="7"/>
  <c r="L35" i="7"/>
  <c r="M35" i="7"/>
  <c r="N35" i="7"/>
  <c r="O35" i="7"/>
  <c r="P35" i="7"/>
  <c r="Q35" i="7"/>
  <c r="L36" i="7"/>
  <c r="M36" i="7"/>
  <c r="N36" i="7"/>
  <c r="O36" i="7"/>
  <c r="P36" i="7"/>
  <c r="Q36" i="7"/>
  <c r="L37" i="7"/>
  <c r="M37" i="7"/>
  <c r="N37" i="7"/>
  <c r="O37" i="7"/>
  <c r="P37" i="7"/>
  <c r="Q37" i="7"/>
  <c r="L38" i="7"/>
  <c r="M38" i="7"/>
  <c r="N38" i="7"/>
  <c r="O38" i="7"/>
  <c r="P38" i="7"/>
  <c r="Q38" i="7"/>
  <c r="L39" i="7"/>
  <c r="M39" i="7"/>
  <c r="N39" i="7"/>
  <c r="O39" i="7"/>
  <c r="P39" i="7"/>
  <c r="Q39" i="7"/>
  <c r="L40" i="7"/>
  <c r="M40" i="7"/>
  <c r="N40" i="7"/>
  <c r="O40" i="7"/>
  <c r="P40" i="7"/>
  <c r="Q40" i="7"/>
  <c r="L41" i="7"/>
  <c r="M41" i="7"/>
  <c r="N41" i="7"/>
  <c r="O41" i="7"/>
  <c r="P41" i="7"/>
  <c r="Q41" i="7"/>
  <c r="L42" i="7"/>
  <c r="M42" i="7"/>
  <c r="N42" i="7"/>
  <c r="O42" i="7"/>
  <c r="P42" i="7"/>
  <c r="Q42" i="7"/>
  <c r="L43" i="7"/>
  <c r="M43" i="7"/>
  <c r="N43" i="7"/>
  <c r="O43" i="7"/>
  <c r="P43" i="7"/>
  <c r="Q43" i="7"/>
  <c r="L44" i="7"/>
  <c r="M44" i="7"/>
  <c r="N44" i="7"/>
  <c r="O44" i="7"/>
  <c r="P44" i="7"/>
  <c r="Q44" i="7"/>
  <c r="L45" i="7"/>
  <c r="M45" i="7"/>
  <c r="N45" i="7"/>
  <c r="O45" i="7"/>
  <c r="P45" i="7"/>
  <c r="Q45" i="7"/>
  <c r="L46" i="7"/>
  <c r="M46" i="7"/>
  <c r="N46" i="7"/>
  <c r="O46" i="7"/>
  <c r="P46" i="7"/>
  <c r="Q46" i="7"/>
  <c r="L47" i="7"/>
  <c r="M47" i="7"/>
  <c r="N47" i="7"/>
  <c r="O47" i="7"/>
  <c r="P47" i="7"/>
  <c r="Q47" i="7"/>
  <c r="L48" i="7"/>
  <c r="M48" i="7"/>
  <c r="N48" i="7"/>
  <c r="O48" i="7"/>
  <c r="P48" i="7"/>
  <c r="Q48" i="7"/>
  <c r="L49" i="7"/>
  <c r="M49" i="7"/>
  <c r="N49" i="7"/>
  <c r="O49" i="7"/>
  <c r="P49" i="7"/>
  <c r="Q49" i="7"/>
  <c r="L50" i="7"/>
  <c r="M50" i="7"/>
  <c r="N50" i="7"/>
  <c r="O50" i="7"/>
  <c r="P50" i="7"/>
  <c r="Q50" i="7"/>
  <c r="L51" i="7"/>
  <c r="M51" i="7"/>
  <c r="N51" i="7"/>
  <c r="O51" i="7"/>
  <c r="P51" i="7"/>
  <c r="Q51" i="7"/>
  <c r="L52" i="7"/>
  <c r="M52" i="7"/>
  <c r="N52" i="7"/>
  <c r="O52" i="7"/>
  <c r="P52" i="7"/>
  <c r="Q52" i="7"/>
  <c r="L53" i="7"/>
  <c r="M53" i="7"/>
  <c r="N53" i="7"/>
  <c r="O53" i="7"/>
  <c r="P53" i="7"/>
  <c r="Q53" i="7"/>
  <c r="L54" i="7"/>
  <c r="M54" i="7"/>
  <c r="N54" i="7"/>
  <c r="O54" i="7"/>
  <c r="P54" i="7"/>
  <c r="Q54" i="7"/>
  <c r="L55" i="7"/>
  <c r="M55" i="7"/>
  <c r="N55" i="7"/>
  <c r="O55" i="7"/>
  <c r="P55" i="7"/>
  <c r="Q55" i="7"/>
  <c r="L56" i="7"/>
  <c r="M56" i="7"/>
  <c r="N56" i="7"/>
  <c r="O56" i="7"/>
  <c r="P56" i="7"/>
  <c r="Q56" i="7"/>
  <c r="L57" i="7"/>
  <c r="M57" i="7"/>
  <c r="N57" i="7"/>
  <c r="O57" i="7"/>
  <c r="P57" i="7"/>
  <c r="Q57" i="7"/>
  <c r="L58" i="7"/>
  <c r="M58" i="7"/>
  <c r="N58" i="7"/>
  <c r="O58" i="7"/>
  <c r="P58" i="7"/>
  <c r="Q58" i="7"/>
  <c r="L59" i="7"/>
  <c r="M59" i="7"/>
  <c r="N59" i="7"/>
  <c r="O59" i="7"/>
  <c r="P59" i="7"/>
  <c r="Q59" i="7"/>
  <c r="L60" i="7"/>
  <c r="M60" i="7"/>
  <c r="N60" i="7"/>
  <c r="O60" i="7"/>
  <c r="P60" i="7"/>
  <c r="Q60" i="7"/>
  <c r="L61" i="7"/>
  <c r="M61" i="7"/>
  <c r="N61" i="7"/>
  <c r="O61" i="7"/>
  <c r="P61" i="7"/>
  <c r="Q61" i="7"/>
  <c r="L62" i="7"/>
  <c r="M62" i="7"/>
  <c r="N62" i="7"/>
  <c r="O62" i="7"/>
  <c r="P62" i="7"/>
  <c r="Q62" i="7"/>
  <c r="L63" i="7"/>
  <c r="M63" i="7"/>
  <c r="N63" i="7"/>
  <c r="O63" i="7"/>
  <c r="P63" i="7"/>
  <c r="Q63" i="7"/>
  <c r="L64" i="7"/>
  <c r="M64" i="7"/>
  <c r="N64" i="7"/>
  <c r="O64" i="7"/>
  <c r="P64" i="7"/>
  <c r="Q64" i="7"/>
  <c r="L65" i="7"/>
  <c r="M65" i="7"/>
  <c r="N65" i="7"/>
  <c r="O65" i="7"/>
  <c r="P65" i="7"/>
  <c r="Q65" i="7"/>
  <c r="L66" i="7"/>
  <c r="M66" i="7"/>
  <c r="N66" i="7"/>
  <c r="O66" i="7"/>
  <c r="P66" i="7"/>
  <c r="Q66" i="7"/>
  <c r="L67" i="7"/>
  <c r="M67" i="7"/>
  <c r="N67" i="7"/>
  <c r="O67" i="7"/>
  <c r="P67" i="7"/>
  <c r="Q67" i="7"/>
  <c r="L68" i="7"/>
  <c r="M68" i="7"/>
  <c r="N68" i="7"/>
  <c r="O68" i="7"/>
  <c r="P68" i="7"/>
  <c r="Q68" i="7"/>
  <c r="L69" i="7"/>
  <c r="M69" i="7"/>
  <c r="N69" i="7"/>
  <c r="O69" i="7"/>
  <c r="P69" i="7"/>
  <c r="Q69" i="7"/>
  <c r="L70" i="7"/>
  <c r="M70" i="7"/>
  <c r="N70" i="7"/>
  <c r="O70" i="7"/>
  <c r="P70" i="7"/>
  <c r="Q70" i="7"/>
  <c r="L71" i="7"/>
  <c r="M71" i="7"/>
  <c r="N71" i="7"/>
  <c r="O71" i="7"/>
  <c r="P71" i="7"/>
  <c r="Q71" i="7"/>
  <c r="L72" i="7"/>
  <c r="M72" i="7"/>
  <c r="N72" i="7"/>
  <c r="O72" i="7"/>
  <c r="P72" i="7"/>
  <c r="Q72" i="7"/>
  <c r="L73" i="7"/>
  <c r="M73" i="7"/>
  <c r="N73" i="7"/>
  <c r="O73" i="7"/>
  <c r="P73" i="7"/>
  <c r="Q73" i="7"/>
  <c r="L74" i="7"/>
  <c r="M74" i="7"/>
  <c r="N74" i="7"/>
  <c r="O74" i="7"/>
  <c r="P74" i="7"/>
  <c r="Q74" i="7"/>
  <c r="L75" i="7"/>
  <c r="M75" i="7"/>
  <c r="N75" i="7"/>
  <c r="O75" i="7"/>
  <c r="P75" i="7"/>
  <c r="Q75" i="7"/>
  <c r="L76" i="7"/>
  <c r="M76" i="7"/>
  <c r="N76" i="7"/>
  <c r="O76" i="7"/>
  <c r="P76" i="7"/>
  <c r="Q76" i="7"/>
  <c r="L77" i="7"/>
  <c r="M77" i="7"/>
  <c r="N77" i="7"/>
  <c r="P77" i="7"/>
  <c r="L78" i="7"/>
  <c r="M78" i="7"/>
  <c r="N78" i="7"/>
  <c r="O78" i="7"/>
  <c r="P78" i="7"/>
  <c r="Q78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M6" i="7"/>
  <c r="N6" i="7"/>
  <c r="O6" i="7"/>
  <c r="P6" i="7"/>
  <c r="Q6" i="7"/>
  <c r="M7" i="7"/>
  <c r="N7" i="7"/>
  <c r="O7" i="7"/>
  <c r="P7" i="7"/>
  <c r="Q7" i="7"/>
  <c r="M8" i="7"/>
  <c r="N8" i="7"/>
  <c r="O8" i="7"/>
  <c r="P8" i="7"/>
  <c r="Q8" i="7"/>
  <c r="M9" i="7"/>
  <c r="N9" i="7"/>
  <c r="O9" i="7"/>
  <c r="P9" i="7"/>
  <c r="Q9" i="7"/>
  <c r="M10" i="7"/>
  <c r="N10" i="7"/>
  <c r="O10" i="7"/>
  <c r="P10" i="7"/>
  <c r="Q10" i="7"/>
  <c r="M11" i="7"/>
  <c r="N11" i="7"/>
  <c r="O11" i="7"/>
  <c r="P11" i="7"/>
  <c r="Q11" i="7"/>
  <c r="M12" i="7"/>
  <c r="N12" i="7"/>
  <c r="P12" i="7"/>
  <c r="M13" i="7"/>
  <c r="N13" i="7"/>
  <c r="O13" i="7"/>
  <c r="P13" i="7"/>
  <c r="Q13" i="7"/>
  <c r="M14" i="7"/>
  <c r="N14" i="7"/>
  <c r="O14" i="7"/>
  <c r="P14" i="7"/>
  <c r="Q14" i="7"/>
  <c r="M15" i="7"/>
  <c r="N15" i="7"/>
  <c r="O15" i="7"/>
  <c r="P15" i="7"/>
  <c r="Q15" i="7"/>
  <c r="M16" i="7"/>
  <c r="N16" i="7"/>
  <c r="O16" i="7"/>
  <c r="P16" i="7"/>
  <c r="Q16" i="7"/>
  <c r="M17" i="7"/>
  <c r="N17" i="7"/>
  <c r="O17" i="7"/>
  <c r="P17" i="7"/>
  <c r="Q17" i="7"/>
  <c r="M18" i="7"/>
  <c r="N18" i="7"/>
  <c r="O18" i="7"/>
  <c r="P18" i="7"/>
  <c r="Q18" i="7"/>
  <c r="M19" i="7"/>
  <c r="N19" i="7"/>
  <c r="O19" i="7"/>
  <c r="P19" i="7"/>
  <c r="Q19" i="7"/>
  <c r="M20" i="7"/>
  <c r="N20" i="7"/>
  <c r="O20" i="7"/>
  <c r="P20" i="7"/>
  <c r="Q20" i="7"/>
  <c r="M21" i="7"/>
  <c r="N21" i="7"/>
  <c r="O21" i="7"/>
  <c r="P21" i="7"/>
  <c r="Q21" i="7"/>
  <c r="M22" i="7"/>
  <c r="N22" i="7"/>
  <c r="O22" i="7"/>
  <c r="P22" i="7"/>
  <c r="Q22" i="7"/>
  <c r="M23" i="7"/>
  <c r="N23" i="7"/>
  <c r="O23" i="7"/>
  <c r="P23" i="7"/>
  <c r="Q23" i="7"/>
  <c r="M24" i="7"/>
  <c r="N24" i="7"/>
  <c r="O24" i="7"/>
  <c r="P24" i="7"/>
  <c r="Q24" i="7"/>
  <c r="M25" i="7"/>
  <c r="N25" i="7"/>
  <c r="P25" i="7"/>
  <c r="M26" i="7"/>
  <c r="N26" i="7"/>
  <c r="O26" i="7"/>
  <c r="P26" i="7"/>
  <c r="Q26" i="7"/>
  <c r="H6" i="7"/>
  <c r="H7" i="7"/>
  <c r="H8" i="7"/>
  <c r="H9" i="7"/>
  <c r="H10" i="7"/>
  <c r="H11" i="7"/>
  <c r="H12" i="7"/>
  <c r="O12" i="7" s="1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O25" i="7" s="1"/>
  <c r="H26" i="7"/>
  <c r="H151" i="7"/>
  <c r="H133" i="7"/>
  <c r="Q25" i="7" l="1"/>
  <c r="Q12" i="7"/>
  <c r="B14" i="6"/>
  <c r="B15" i="6"/>
  <c r="C13" i="2"/>
  <c r="C12" i="2"/>
  <c r="C11" i="2"/>
  <c r="C10" i="2"/>
  <c r="C9" i="2"/>
  <c r="C8" i="2"/>
  <c r="C7" i="2"/>
  <c r="C6" i="2"/>
  <c r="C5" i="2"/>
  <c r="H179" i="7"/>
  <c r="H161" i="7" l="1"/>
  <c r="B12" i="6" l="1"/>
  <c r="B10" i="6"/>
  <c r="B8" i="6"/>
  <c r="B7" i="6"/>
  <c r="B6" i="6"/>
  <c r="B10" i="3"/>
  <c r="B8" i="3"/>
  <c r="B7" i="3"/>
  <c r="B6" i="3"/>
  <c r="B4" i="3"/>
  <c r="B3" i="3"/>
  <c r="B2" i="3"/>
  <c r="D13" i="2"/>
  <c r="D12" i="2"/>
  <c r="D9" i="2"/>
  <c r="D7" i="2"/>
  <c r="D6" i="2"/>
  <c r="T268" i="7"/>
  <c r="K268" i="7"/>
  <c r="I268" i="7"/>
  <c r="H267" i="7"/>
  <c r="H266" i="7"/>
  <c r="H265" i="7"/>
  <c r="H264" i="7"/>
  <c r="H263" i="7"/>
  <c r="H262" i="7"/>
  <c r="H261" i="7"/>
  <c r="H260" i="7"/>
  <c r="H259" i="7"/>
  <c r="H258" i="7"/>
  <c r="H257" i="7"/>
  <c r="Q256" i="7"/>
  <c r="P256" i="7"/>
  <c r="O256" i="7"/>
  <c r="N256" i="7"/>
  <c r="M256" i="7"/>
  <c r="H256" i="7"/>
  <c r="T253" i="7"/>
  <c r="K253" i="7"/>
  <c r="I253" i="7"/>
  <c r="S252" i="7"/>
  <c r="R252" i="7"/>
  <c r="K252" i="7"/>
  <c r="H252" i="7"/>
  <c r="G252" i="7"/>
  <c r="F252" i="7"/>
  <c r="E252" i="7"/>
  <c r="D252" i="7"/>
  <c r="H251" i="7"/>
  <c r="H250" i="7"/>
  <c r="S249" i="7"/>
  <c r="R249" i="7"/>
  <c r="H249" i="7"/>
  <c r="H248" i="7"/>
  <c r="H247" i="7"/>
  <c r="S246" i="7"/>
  <c r="R246" i="7"/>
  <c r="Q246" i="7"/>
  <c r="P246" i="7"/>
  <c r="O246" i="7"/>
  <c r="N246" i="7"/>
  <c r="M246" i="7"/>
  <c r="L246" i="7"/>
  <c r="K246" i="7"/>
  <c r="H246" i="7"/>
  <c r="G246" i="7"/>
  <c r="F246" i="7"/>
  <c r="E246" i="7"/>
  <c r="D246" i="7"/>
  <c r="T243" i="7"/>
  <c r="B13" i="6" s="1"/>
  <c r="K243" i="7"/>
  <c r="I243" i="7"/>
  <c r="H242" i="7"/>
  <c r="H241" i="7"/>
  <c r="H240" i="7"/>
  <c r="Q239" i="7"/>
  <c r="P239" i="7"/>
  <c r="O239" i="7"/>
  <c r="N239" i="7"/>
  <c r="M239" i="7"/>
  <c r="H239" i="7"/>
  <c r="H236" i="7"/>
  <c r="H235" i="7"/>
  <c r="H234" i="7"/>
  <c r="H233" i="7"/>
  <c r="H232" i="7"/>
  <c r="H231" i="7"/>
  <c r="H230" i="7"/>
  <c r="H229" i="7"/>
  <c r="H228" i="7"/>
  <c r="H227" i="7"/>
  <c r="H226" i="7"/>
  <c r="H225" i="7"/>
  <c r="H224" i="7"/>
  <c r="H223" i="7"/>
  <c r="P222" i="7"/>
  <c r="N222" i="7"/>
  <c r="M222" i="7"/>
  <c r="L222" i="7"/>
  <c r="H222" i="7"/>
  <c r="Q222" i="7" s="1"/>
  <c r="H219" i="7"/>
  <c r="Q218" i="7"/>
  <c r="P218" i="7"/>
  <c r="O218" i="7"/>
  <c r="N218" i="7"/>
  <c r="M218" i="7"/>
  <c r="L218" i="7"/>
  <c r="H218" i="7"/>
  <c r="T214" i="7"/>
  <c r="K214" i="7"/>
  <c r="I214" i="7"/>
  <c r="H213" i="7"/>
  <c r="H212" i="7"/>
  <c r="Q211" i="7"/>
  <c r="P211" i="7"/>
  <c r="O211" i="7"/>
  <c r="N211" i="7"/>
  <c r="M211" i="7"/>
  <c r="J211" i="7"/>
  <c r="H211" i="7"/>
  <c r="T208" i="7"/>
  <c r="B11" i="6" s="1"/>
  <c r="K208" i="7"/>
  <c r="I208" i="7"/>
  <c r="M208" i="7" s="1"/>
  <c r="H207" i="7"/>
  <c r="H206" i="7"/>
  <c r="H205" i="7"/>
  <c r="H204" i="7"/>
  <c r="H203" i="7"/>
  <c r="H202" i="7"/>
  <c r="H201" i="7"/>
  <c r="H200" i="7"/>
  <c r="H199" i="7"/>
  <c r="H198" i="7"/>
  <c r="H197" i="7"/>
  <c r="H196" i="7"/>
  <c r="H195" i="7"/>
  <c r="H194" i="7"/>
  <c r="H193" i="7"/>
  <c r="H192" i="7"/>
  <c r="H191" i="7"/>
  <c r="H190" i="7"/>
  <c r="H189" i="7"/>
  <c r="H188" i="7"/>
  <c r="H187" i="7"/>
  <c r="H186" i="7"/>
  <c r="H185" i="7"/>
  <c r="H184" i="7"/>
  <c r="H183" i="7"/>
  <c r="H182" i="7"/>
  <c r="H181" i="7"/>
  <c r="H180" i="7"/>
  <c r="H178" i="7"/>
  <c r="P177" i="7"/>
  <c r="N177" i="7"/>
  <c r="M177" i="7"/>
  <c r="H177" i="7"/>
  <c r="Q177" i="7" s="1"/>
  <c r="T174" i="7"/>
  <c r="K174" i="7"/>
  <c r="I174" i="7"/>
  <c r="H173" i="7"/>
  <c r="H172" i="7"/>
  <c r="H171" i="7"/>
  <c r="H170" i="7"/>
  <c r="H169" i="7"/>
  <c r="Q168" i="7"/>
  <c r="P168" i="7"/>
  <c r="O168" i="7"/>
  <c r="N168" i="7"/>
  <c r="M168" i="7"/>
  <c r="L168" i="7"/>
  <c r="H168" i="7"/>
  <c r="T165" i="7"/>
  <c r="T269" i="7" s="1"/>
  <c r="K165" i="7"/>
  <c r="D8" i="2" s="1"/>
  <c r="I165" i="7"/>
  <c r="S164" i="7"/>
  <c r="R164" i="7"/>
  <c r="K164" i="7"/>
  <c r="H164" i="7"/>
  <c r="G164" i="7"/>
  <c r="E164" i="7"/>
  <c r="D164" i="7"/>
  <c r="S163" i="7"/>
  <c r="R163" i="7"/>
  <c r="K163" i="7"/>
  <c r="H163" i="7"/>
  <c r="G163" i="7"/>
  <c r="F163" i="7"/>
  <c r="E163" i="7"/>
  <c r="D163" i="7"/>
  <c r="S162" i="7"/>
  <c r="R162" i="7"/>
  <c r="K162" i="7"/>
  <c r="H162" i="7"/>
  <c r="G162" i="7"/>
  <c r="E162" i="7"/>
  <c r="D162" i="7"/>
  <c r="S161" i="7"/>
  <c r="R161" i="7"/>
  <c r="K161" i="7"/>
  <c r="G161" i="7"/>
  <c r="E161" i="7"/>
  <c r="D161" i="7"/>
  <c r="H160" i="7"/>
  <c r="S159" i="7"/>
  <c r="R159" i="7"/>
  <c r="K159" i="7"/>
  <c r="H159" i="7"/>
  <c r="G159" i="7"/>
  <c r="E159" i="7"/>
  <c r="D159" i="7"/>
  <c r="S158" i="7"/>
  <c r="R158" i="7"/>
  <c r="K158" i="7"/>
  <c r="H158" i="7"/>
  <c r="G158" i="7"/>
  <c r="E158" i="7"/>
  <c r="D158" i="7"/>
  <c r="S157" i="7"/>
  <c r="R157" i="7"/>
  <c r="K157" i="7"/>
  <c r="H157" i="7"/>
  <c r="G157" i="7"/>
  <c r="E157" i="7"/>
  <c r="D157" i="7"/>
  <c r="S156" i="7"/>
  <c r="R156" i="7"/>
  <c r="K156" i="7"/>
  <c r="H156" i="7"/>
  <c r="G156" i="7"/>
  <c r="F156" i="7"/>
  <c r="E156" i="7"/>
  <c r="D156" i="7"/>
  <c r="S155" i="7"/>
  <c r="R155" i="7"/>
  <c r="K155" i="7"/>
  <c r="H155" i="7"/>
  <c r="G155" i="7"/>
  <c r="E155" i="7"/>
  <c r="D155" i="7"/>
  <c r="S154" i="7"/>
  <c r="R154" i="7"/>
  <c r="K154" i="7"/>
  <c r="H154" i="7"/>
  <c r="G154" i="7"/>
  <c r="E154" i="7"/>
  <c r="D154" i="7"/>
  <c r="S153" i="7"/>
  <c r="R153" i="7"/>
  <c r="K153" i="7"/>
  <c r="H153" i="7"/>
  <c r="G153" i="7"/>
  <c r="E153" i="7"/>
  <c r="D153" i="7"/>
  <c r="S152" i="7"/>
  <c r="R152" i="7"/>
  <c r="H152" i="7"/>
  <c r="S151" i="7"/>
  <c r="R151" i="7"/>
  <c r="K151" i="7"/>
  <c r="G151" i="7"/>
  <c r="E151" i="7"/>
  <c r="D151" i="7"/>
  <c r="S150" i="7"/>
  <c r="R150" i="7"/>
  <c r="K150" i="7"/>
  <c r="H150" i="7"/>
  <c r="G150" i="7"/>
  <c r="E150" i="7"/>
  <c r="D150" i="7"/>
  <c r="H149" i="7"/>
  <c r="S148" i="7"/>
  <c r="R148" i="7"/>
  <c r="K148" i="7"/>
  <c r="H148" i="7"/>
  <c r="G148" i="7"/>
  <c r="E148" i="7"/>
  <c r="D148" i="7"/>
  <c r="S147" i="7"/>
  <c r="R147" i="7"/>
  <c r="K147" i="7"/>
  <c r="H147" i="7"/>
  <c r="G147" i="7"/>
  <c r="E147" i="7"/>
  <c r="D147" i="7"/>
  <c r="S146" i="7"/>
  <c r="R146" i="7"/>
  <c r="K146" i="7"/>
  <c r="H146" i="7"/>
  <c r="G146" i="7"/>
  <c r="E146" i="7"/>
  <c r="D146" i="7"/>
  <c r="S145" i="7"/>
  <c r="R145" i="7"/>
  <c r="K145" i="7"/>
  <c r="H145" i="7"/>
  <c r="G145" i="7"/>
  <c r="E145" i="7"/>
  <c r="D145" i="7"/>
  <c r="S144" i="7"/>
  <c r="R144" i="7"/>
  <c r="Q144" i="7"/>
  <c r="P144" i="7"/>
  <c r="O144" i="7"/>
  <c r="N144" i="7"/>
  <c r="M144" i="7"/>
  <c r="L144" i="7"/>
  <c r="K144" i="7"/>
  <c r="H144" i="7"/>
  <c r="G144" i="7"/>
  <c r="E144" i="7"/>
  <c r="D144" i="7"/>
  <c r="S141" i="7"/>
  <c r="R141" i="7"/>
  <c r="K141" i="7"/>
  <c r="H141" i="7"/>
  <c r="G141" i="7"/>
  <c r="E141" i="7"/>
  <c r="D141" i="7"/>
  <c r="S140" i="7"/>
  <c r="R140" i="7"/>
  <c r="K140" i="7"/>
  <c r="H140" i="7"/>
  <c r="G140" i="7"/>
  <c r="E140" i="7"/>
  <c r="D140" i="7"/>
  <c r="H139" i="7"/>
  <c r="S138" i="7"/>
  <c r="R138" i="7"/>
  <c r="K138" i="7"/>
  <c r="H138" i="7"/>
  <c r="G138" i="7"/>
  <c r="E138" i="7"/>
  <c r="D138" i="7"/>
  <c r="S137" i="7"/>
  <c r="R137" i="7"/>
  <c r="K137" i="7"/>
  <c r="H137" i="7"/>
  <c r="G137" i="7"/>
  <c r="E137" i="7"/>
  <c r="D137" i="7"/>
  <c r="S136" i="7"/>
  <c r="R136" i="7"/>
  <c r="K136" i="7"/>
  <c r="H136" i="7"/>
  <c r="G136" i="7"/>
  <c r="E136" i="7"/>
  <c r="D136" i="7"/>
  <c r="S135" i="7"/>
  <c r="R135" i="7"/>
  <c r="H135" i="7"/>
  <c r="S134" i="7"/>
  <c r="R134" i="7"/>
  <c r="H134" i="7"/>
  <c r="S133" i="7"/>
  <c r="R133" i="7"/>
  <c r="K133" i="7"/>
  <c r="G133" i="7"/>
  <c r="E133" i="7"/>
  <c r="D133" i="7"/>
  <c r="S132" i="7"/>
  <c r="R132" i="7"/>
  <c r="K132" i="7"/>
  <c r="H132" i="7"/>
  <c r="G132" i="7"/>
  <c r="E132" i="7"/>
  <c r="D132" i="7"/>
  <c r="S131" i="7"/>
  <c r="R131" i="7"/>
  <c r="K131" i="7"/>
  <c r="H131" i="7"/>
  <c r="G131" i="7"/>
  <c r="E131" i="7"/>
  <c r="D131" i="7"/>
  <c r="S130" i="7"/>
  <c r="R130" i="7"/>
  <c r="K130" i="7"/>
  <c r="H130" i="7"/>
  <c r="G130" i="7"/>
  <c r="E130" i="7"/>
  <c r="D130" i="7"/>
  <c r="S129" i="7"/>
  <c r="R129" i="7"/>
  <c r="K129" i="7"/>
  <c r="H129" i="7"/>
  <c r="G129" i="7"/>
  <c r="E129" i="7"/>
  <c r="D129" i="7"/>
  <c r="S128" i="7"/>
  <c r="R128" i="7"/>
  <c r="K128" i="7"/>
  <c r="H128" i="7"/>
  <c r="G128" i="7"/>
  <c r="F128" i="7"/>
  <c r="E128" i="7"/>
  <c r="D128" i="7"/>
  <c r="H127" i="7"/>
  <c r="S126" i="7"/>
  <c r="R126" i="7"/>
  <c r="K126" i="7"/>
  <c r="H126" i="7"/>
  <c r="G126" i="7"/>
  <c r="F126" i="7"/>
  <c r="E126" i="7"/>
  <c r="D126" i="7"/>
  <c r="S125" i="7"/>
  <c r="R125" i="7"/>
  <c r="K125" i="7"/>
  <c r="H125" i="7"/>
  <c r="G125" i="7"/>
  <c r="E125" i="7"/>
  <c r="D125" i="7"/>
  <c r="S124" i="7"/>
  <c r="R124" i="7"/>
  <c r="Q124" i="7"/>
  <c r="P124" i="7"/>
  <c r="O124" i="7"/>
  <c r="N124" i="7"/>
  <c r="M124" i="7"/>
  <c r="H124" i="7"/>
  <c r="T120" i="7"/>
  <c r="K120" i="7"/>
  <c r="I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Q82" i="7"/>
  <c r="P82" i="7"/>
  <c r="O82" i="7"/>
  <c r="N82" i="7"/>
  <c r="M82" i="7"/>
  <c r="L82" i="7"/>
  <c r="J82" i="7"/>
  <c r="H82" i="7"/>
  <c r="T79" i="7"/>
  <c r="K79" i="7"/>
  <c r="I79" i="7"/>
  <c r="H78" i="7"/>
  <c r="H77" i="7"/>
  <c r="H76" i="7"/>
  <c r="H75" i="7"/>
  <c r="H74" i="7"/>
  <c r="H73" i="7"/>
  <c r="H72" i="7"/>
  <c r="H71" i="7"/>
  <c r="H70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Q30" i="7"/>
  <c r="P30" i="7"/>
  <c r="O30" i="7"/>
  <c r="N30" i="7"/>
  <c r="M30" i="7"/>
  <c r="L30" i="7"/>
  <c r="H30" i="7"/>
  <c r="T27" i="7"/>
  <c r="K27" i="7"/>
  <c r="I27" i="7"/>
  <c r="Q5" i="7"/>
  <c r="P5" i="7"/>
  <c r="O5" i="7"/>
  <c r="N5" i="7"/>
  <c r="M5" i="7"/>
  <c r="H5" i="7"/>
  <c r="O155" i="7" l="1"/>
  <c r="Q155" i="7"/>
  <c r="O132" i="7"/>
  <c r="Q132" i="7"/>
  <c r="O118" i="7"/>
  <c r="Q118" i="7"/>
  <c r="O250" i="7"/>
  <c r="Q250" i="7"/>
  <c r="O226" i="7"/>
  <c r="Q226" i="7"/>
  <c r="O197" i="7"/>
  <c r="Q197" i="7"/>
  <c r="Q157" i="7"/>
  <c r="O157" i="7"/>
  <c r="O77" i="7"/>
  <c r="Q77" i="7"/>
  <c r="B9" i="3"/>
  <c r="Q152" i="7"/>
  <c r="O152" i="7"/>
  <c r="O222" i="7"/>
  <c r="L233" i="7"/>
  <c r="L234" i="7"/>
  <c r="L223" i="7"/>
  <c r="L235" i="7"/>
  <c r="L224" i="7"/>
  <c r="L236" i="7"/>
  <c r="L225" i="7"/>
  <c r="L226" i="7"/>
  <c r="L227" i="7"/>
  <c r="L219" i="7"/>
  <c r="L228" i="7"/>
  <c r="L240" i="7"/>
  <c r="L229" i="7"/>
  <c r="L241" i="7"/>
  <c r="L230" i="7"/>
  <c r="L242" i="7"/>
  <c r="L231" i="7"/>
  <c r="L232" i="7"/>
  <c r="M243" i="7"/>
  <c r="L239" i="7"/>
  <c r="Q231" i="7"/>
  <c r="O231" i="7"/>
  <c r="L178" i="7"/>
  <c r="L190" i="7"/>
  <c r="L202" i="7"/>
  <c r="L180" i="7"/>
  <c r="L204" i="7"/>
  <c r="L193" i="7"/>
  <c r="L205" i="7"/>
  <c r="L194" i="7"/>
  <c r="L206" i="7"/>
  <c r="L195" i="7"/>
  <c r="L207" i="7"/>
  <c r="L196" i="7"/>
  <c r="L185" i="7"/>
  <c r="L186" i="7"/>
  <c r="L199" i="7"/>
  <c r="L188" i="7"/>
  <c r="L189" i="7"/>
  <c r="L179" i="7"/>
  <c r="L191" i="7"/>
  <c r="L203" i="7"/>
  <c r="L192" i="7"/>
  <c r="L181" i="7"/>
  <c r="L182" i="7"/>
  <c r="L183" i="7"/>
  <c r="L184" i="7"/>
  <c r="L197" i="7"/>
  <c r="L198" i="7"/>
  <c r="L187" i="7"/>
  <c r="L200" i="7"/>
  <c r="L201" i="7"/>
  <c r="L177" i="7"/>
  <c r="D10" i="2"/>
  <c r="O177" i="7"/>
  <c r="B9" i="6"/>
  <c r="L148" i="7"/>
  <c r="L160" i="7"/>
  <c r="L150" i="7"/>
  <c r="L151" i="7"/>
  <c r="L164" i="7"/>
  <c r="L153" i="7"/>
  <c r="L155" i="7"/>
  <c r="L145" i="7"/>
  <c r="L146" i="7"/>
  <c r="L147" i="7"/>
  <c r="L149" i="7"/>
  <c r="L161" i="7"/>
  <c r="L162" i="7"/>
  <c r="L163" i="7"/>
  <c r="L152" i="7"/>
  <c r="L154" i="7"/>
  <c r="L156" i="7"/>
  <c r="L157" i="7"/>
  <c r="L158" i="7"/>
  <c r="L159" i="7"/>
  <c r="L129" i="7"/>
  <c r="L131" i="7"/>
  <c r="L133" i="7"/>
  <c r="L135" i="7"/>
  <c r="L137" i="7"/>
  <c r="L139" i="7"/>
  <c r="L141" i="7"/>
  <c r="L125" i="7"/>
  <c r="L127" i="7"/>
  <c r="L128" i="7"/>
  <c r="L130" i="7"/>
  <c r="L132" i="7"/>
  <c r="L134" i="7"/>
  <c r="L136" i="7"/>
  <c r="L138" i="7"/>
  <c r="L140" i="7"/>
  <c r="L126" i="7"/>
  <c r="M165" i="7"/>
  <c r="L124" i="7"/>
  <c r="O127" i="7"/>
  <c r="Q127" i="7"/>
  <c r="L6" i="7"/>
  <c r="L18" i="7"/>
  <c r="L10" i="7"/>
  <c r="L24" i="7"/>
  <c r="L25" i="7"/>
  <c r="L14" i="7"/>
  <c r="L17" i="7"/>
  <c r="K269" i="7"/>
  <c r="L7" i="7"/>
  <c r="L19" i="7"/>
  <c r="L8" i="7"/>
  <c r="L20" i="7"/>
  <c r="L9" i="7"/>
  <c r="L21" i="7"/>
  <c r="L22" i="7"/>
  <c r="L11" i="7"/>
  <c r="L23" i="7"/>
  <c r="L12" i="7"/>
  <c r="L13" i="7"/>
  <c r="L26" i="7"/>
  <c r="L15" i="7"/>
  <c r="L16" i="7"/>
  <c r="B5" i="3"/>
  <c r="L5" i="7"/>
  <c r="D5" i="2"/>
  <c r="B11" i="3"/>
  <c r="D14" i="2"/>
  <c r="J246" i="7"/>
  <c r="J239" i="7"/>
  <c r="J222" i="7"/>
  <c r="J218" i="7"/>
  <c r="L211" i="7"/>
  <c r="M214" i="7"/>
  <c r="D11" i="2"/>
  <c r="J177" i="7"/>
  <c r="J168" i="7"/>
  <c r="M174" i="7"/>
  <c r="J124" i="7"/>
  <c r="J144" i="7"/>
  <c r="M120" i="7"/>
  <c r="M79" i="7"/>
  <c r="J30" i="7"/>
  <c r="J5" i="7"/>
  <c r="M27" i="7"/>
  <c r="L79" i="7" l="1"/>
  <c r="L208" i="7"/>
  <c r="L174" i="7"/>
  <c r="L243" i="7"/>
  <c r="L165" i="7"/>
  <c r="L120" i="7"/>
  <c r="L268" i="7"/>
  <c r="L27" i="7"/>
  <c r="L253" i="7"/>
  <c r="L214" i="7"/>
  <c r="J79" i="7"/>
  <c r="J253" i="7"/>
  <c r="J214" i="7"/>
  <c r="J174" i="7"/>
  <c r="J120" i="7"/>
  <c r="J243" i="7"/>
  <c r="J208" i="7"/>
  <c r="J165" i="7"/>
  <c r="J268" i="7"/>
  <c r="J27" i="7"/>
</calcChain>
</file>

<file path=xl/sharedStrings.xml><?xml version="1.0" encoding="utf-8"?>
<sst xmlns="http://schemas.openxmlformats.org/spreadsheetml/2006/main" count="546" uniqueCount="356">
  <si>
    <t>MONTHLY UPDATE ON REGISTERED MUTUAL FUNDS AS AT 30TH SEPTEMBER, 2026</t>
  </si>
  <si>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</si>
  <si>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</si>
  <si>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</si>
  <si>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</si>
  <si>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</si>
  <si>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</si>
  <si>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</si>
  <si>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</si>
  <si>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NET ASSET VALUE (N) PREVIOUS - AUGUST</t>
  </si>
  <si>
    <t>% ON TOTAL</t>
  </si>
  <si>
    <t>NET ASSET VALUE (N)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</si>
  <si>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</si>
  <si>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</si>
  <si>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</si>
  <si>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</si>
  <si>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</si>
  <si>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</si>
  <si>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</si>
  <si>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</si>
  <si>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</si>
  <si>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</si>
  <si>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</si>
  <si>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</si>
  <si>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</si>
  <si>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</si>
  <si>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</si>
  <si>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</si>
  <si>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</si>
  <si>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</si>
  <si>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</si>
  <si>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</si>
  <si>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</si>
  <si>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</si>
  <si>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</si>
  <si>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</si>
  <si>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</si>
  <si>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</si>
  <si>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First Asset Nigeria Smart Beta Equity Fund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</si>
  <si>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</si>
  <si>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</si>
  <si>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</si>
  <si>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</si>
  <si>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</si>
  <si>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 Limited</t>
  </si>
  <si>
    <t>Halo Equity Fund</t>
  </si>
  <si>
    <t>Halo Nigeria Capital Management Limited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</si>
  <si>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</si>
  <si>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</si>
  <si>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</si>
  <si>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</si>
  <si>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</si>
  <si>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</si>
  <si>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Parthian Equity Fund</t>
  </si>
  <si>
    <t>Parthian Capital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</si>
  <si>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</si>
  <si>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</si>
  <si>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</si>
  <si>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</si>
  <si>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</si>
  <si>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</si>
  <si>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</si>
  <si>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</si>
  <si>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</si>
  <si>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 Total</t>
  </si>
  <si>
    <t>MONEY MARKET FUNDS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</si>
  <si>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</si>
  <si>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</si>
  <si>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</si>
  <si>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</si>
  <si>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</si>
  <si>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</si>
  <si>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</si>
  <si>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</si>
  <si>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</si>
  <si>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</si>
  <si>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</si>
  <si>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</si>
  <si>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</si>
  <si>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</si>
  <si>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</si>
  <si>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</si>
  <si>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</si>
  <si>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</si>
  <si>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</si>
  <si>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</si>
  <si>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</si>
  <si>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</si>
  <si>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</si>
  <si>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</si>
  <si>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</si>
  <si>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</si>
  <si>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</si>
  <si>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</si>
  <si>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FCMBAM Money Market Fund</t>
  </si>
  <si>
    <t>First Ally Money Market Fund</t>
  </si>
  <si>
    <t>First Ally Asset Management Limited</t>
  </si>
  <si>
    <t>First Asset Money Market Fund</t>
  </si>
  <si>
    <t>FSL Money Market Fund</t>
  </si>
  <si>
    <t>FSL  Asset Management Limited</t>
  </si>
  <si>
    <t>Fundvine Money Market Fund</t>
  </si>
  <si>
    <t>Fundvine Berkshire Asset Management Limited</t>
  </si>
  <si>
    <t>-</t>
  </si>
  <si>
    <t>GDL Money Market Fund</t>
  </si>
  <si>
    <t>Growth and Development Asset Management Limited</t>
  </si>
  <si>
    <t>Greenwich Plus Money Market</t>
  </si>
  <si>
    <t>Greenwich Asst Management Ltd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</si>
  <si>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</si>
  <si>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</si>
  <si>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</si>
  <si>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</si>
  <si>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Maket Fund</t>
  </si>
  <si>
    <t>Mango Asset Management Limited</t>
  </si>
  <si>
    <t>Meristem Money Market Fund</t>
  </si>
  <si>
    <t>Myrtle Nest(MyNest Money Market Fund)</t>
  </si>
  <si>
    <t>Myrtle Asset Management and Trust Limited</t>
  </si>
  <si>
    <t>Norrenberger Money Market Fund</t>
  </si>
  <si>
    <t>Norrenberger Investment and Capital Mgt Limited</t>
  </si>
  <si>
    <t>NOVA Prime Money Market Fund</t>
  </si>
  <si>
    <t>NOVAMBL Asset Management Limited</t>
  </si>
  <si>
    <t>PACAM Money Market Fund</t>
  </si>
  <si>
    <t>Page Money Market Fund</t>
  </si>
  <si>
    <t>Page Asset Management Limited</t>
  </si>
  <si>
    <t>Parthian Money Market Fund</t>
  </si>
  <si>
    <t>Parthian Capital Ltd.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</si>
  <si>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</si>
  <si>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</si>
  <si>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</si>
  <si>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</si>
  <si>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</si>
  <si>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Samtl Money Market Income Fund</t>
  </si>
  <si>
    <t>Samtl Fund Managers Limited</t>
  </si>
  <si>
    <t>SCM Capital Money Market Fund</t>
  </si>
  <si>
    <t>Stanbic IBTC Money Market Fund</t>
  </si>
  <si>
    <t>STL Money Market Fund</t>
  </si>
  <si>
    <t>STL Asset Mgt.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</si>
  <si>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</si>
  <si>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</si>
  <si>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</si>
  <si>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</si>
  <si>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</si>
  <si>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</si>
  <si>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</si>
  <si>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Zedcrest Money Market Fund</t>
  </si>
  <si>
    <t>Zenith Money Market Fund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</si>
  <si>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</si>
  <si>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</si>
  <si>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</si>
  <si>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</si>
  <si>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</si>
  <si>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</si>
  <si>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GAM Fixed Income Naira Fund</t>
  </si>
  <si>
    <t>CardinalStone Fixed Income Alpha Fund</t>
  </si>
  <si>
    <t>CEAT Fixed Income Fund</t>
  </si>
  <si>
    <t>Capital Express Assset &amp; Trust Limited</t>
  </si>
  <si>
    <t>CFG AM Fixed Income Naira Fund</t>
  </si>
  <si>
    <t>CFG Assset Management Limited</t>
  </si>
  <si>
    <t>Chapel Hill Denham Nigeria Bond Fund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</si>
  <si>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</si>
  <si>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</si>
  <si>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</si>
  <si>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</si>
  <si>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</si>
  <si>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</si>
  <si>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</si>
  <si>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Nigeria Fixed Income Fund</t>
  </si>
  <si>
    <t>Emerging Africa Bond Fund</t>
  </si>
  <si>
    <t>FCMBAM Debt Fund</t>
  </si>
  <si>
    <t>FCMB Asset Management Limited</t>
  </si>
  <si>
    <t>First Asset Bond Fund</t>
  </si>
  <si>
    <t>First Asset Management Limited</t>
  </si>
  <si>
    <t>GDL Income Fund</t>
  </si>
  <si>
    <t>Guaranty Trust Fixed Income Fund</t>
  </si>
  <si>
    <t>Lead Fixed Income Fund</t>
  </si>
  <si>
    <t>Lead Asset Mgt Ltd</t>
  </si>
  <si>
    <t>Meristem Fixed Income Fund</t>
  </si>
  <si>
    <t>Nigeria International Debt Fund</t>
  </si>
  <si>
    <t>Norrenberger Turbo Fixed Income Fund</t>
  </si>
  <si>
    <t>Norrenberger Investment &amp; Capital Mgt. Ltd.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</si>
  <si>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</si>
  <si>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</si>
  <si>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</si>
  <si>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</si>
  <si>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</si>
  <si>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</si>
  <si>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</si>
  <si>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</si>
  <si>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</si>
  <si>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Trustbanc Aset Management Limited</t>
  </si>
  <si>
    <t>United Capital Fixed Income Fund</t>
  </si>
  <si>
    <t>United Capital Stable Fixed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</si>
  <si>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</si>
  <si>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</si>
  <si>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</si>
  <si>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</si>
  <si>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</si>
  <si>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</si>
  <si>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</si>
  <si>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</si>
  <si>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</si>
  <si>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</si>
  <si>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</si>
  <si>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</si>
  <si>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</si>
  <si>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</si>
  <si>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EDC Fund Management Limited</t>
  </si>
  <si>
    <t>Emerging Africa Eurobond Fund</t>
  </si>
  <si>
    <t>FCMBAM USD Bond Fund</t>
  </si>
  <si>
    <t>First Asset Dollar Fund</t>
  </si>
  <si>
    <t>First Asset Specialized Dollar Fund</t>
  </si>
  <si>
    <t>FSL Eurobond Fund</t>
  </si>
  <si>
    <t>FSL Asset Management Limited</t>
  </si>
  <si>
    <t>Futureview Dollar Fund</t>
  </si>
  <si>
    <t>Myrtle Dollar Shield Fund</t>
  </si>
  <si>
    <t>Myrtle asset Management Limited</t>
  </si>
  <si>
    <t>Norrenberger Dollar Fund</t>
  </si>
  <si>
    <t>Norrenberger Investment &amp; Capital Management Limited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</si>
  <si>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</si>
  <si>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</si>
  <si>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</si>
  <si>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</si>
  <si>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</si>
  <si>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</si>
  <si>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</si>
  <si>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</si>
  <si>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</si>
  <si>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</si>
  <si>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FSDH Global Fixed Opportunity Income Fund</t>
  </si>
  <si>
    <t>Greenwich Fixed Income Dollar Fund</t>
  </si>
  <si>
    <t>Guaranty Trust Dollar Fund</t>
  </si>
  <si>
    <t>Lead Dollar Fixed Income Fund</t>
  </si>
  <si>
    <t>Lead Asset Management Limited</t>
  </si>
  <si>
    <t>Meristem Dollar Fund</t>
  </si>
  <si>
    <t>Nigeria Dollar Income Fund</t>
  </si>
  <si>
    <t>NOVA Dollar Fixed Income Fund</t>
  </si>
  <si>
    <t>Parthian Dollar Fixed Income Fund</t>
  </si>
  <si>
    <t>Stanbic IBTC Dollar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</si>
  <si>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</si>
  <si>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</si>
  <si>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</si>
  <si>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</si>
  <si>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</si>
  <si>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FUNDS</t>
  </si>
  <si>
    <t>Housing Solution Fund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</si>
  <si>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</si>
  <si>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</si>
  <si>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</si>
  <si>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</si>
  <si>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Fund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</si>
  <si>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</si>
  <si>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</si>
  <si>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</si>
  <si>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</si>
  <si>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</si>
  <si>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>Apel Wealth Managemenet Limited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</si>
  <si>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</si>
  <si>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</si>
  <si>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</si>
  <si>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</si>
  <si>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</si>
  <si>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</si>
  <si>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>Cowry Balanced Fund</t>
  </si>
  <si>
    <t>EDC Balanced Fund</t>
  </si>
  <si>
    <t>Emerging Africa Balanced-Diversity Fund</t>
  </si>
  <si>
    <t>First Asset Balanced Fund</t>
  </si>
  <si>
    <t>GDL Canary Balanced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</si>
  <si>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</si>
  <si>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</si>
  <si>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</si>
  <si>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</si>
  <si>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</si>
  <si>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</si>
  <si>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</si>
  <si>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</si>
  <si>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</si>
  <si>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</si>
  <si>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</si>
  <si>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</si>
  <si>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</si>
  <si>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</si>
  <si>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</si>
  <si>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</si>
  <si>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</si>
  <si>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</si>
  <si>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</si>
  <si>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</si>
  <si>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CFG Asset Management Limited</t>
  </si>
  <si>
    <t>Stanbic IBTC Ethical Fund</t>
  </si>
  <si>
    <t>Zenith ESG Impact Fund</t>
  </si>
  <si>
    <t>SHARI'AH COMPLIANT FUNDS</t>
  </si>
  <si>
    <t>EQUITIES</t>
  </si>
  <si>
    <t>Lotus Halal Investment  Fund</t>
  </si>
  <si>
    <t>Lotus Capital Limited</t>
  </si>
  <si>
    <t>Stanbic IBTC Imaan Fund</t>
  </si>
  <si>
    <t>Alpha10 Halal Fund</t>
  </si>
  <si>
    <t>ARM Sharia Compliant Fixed Income Fund</t>
  </si>
  <si>
    <t>Capital Trust Halal Fixed Income Fund</t>
  </si>
  <si>
    <t>Capital Trust Investments &amp; Asset Mgt. Ltd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</si>
  <si>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</si>
  <si>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</si>
  <si>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</si>
  <si>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</si>
  <si>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</si>
  <si>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</si>
  <si>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</si>
  <si>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Lotus Halal Fixed Income Fund</t>
  </si>
  <si>
    <t>Marble Halal Commodities Fund</t>
  </si>
  <si>
    <t>Marble Capital Limited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</si>
  <si>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</si>
  <si>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</si>
  <si>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</si>
  <si>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</si>
  <si>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</si>
  <si>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</si>
  <si>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Afrinvest Asset Mgt Ltd.</t>
  </si>
  <si>
    <t>ARM Halal Balanced Fund</t>
  </si>
  <si>
    <t>Lotus Waqf (Endowment) Fund</t>
  </si>
  <si>
    <t>One17 Halal Fund</t>
  </si>
  <si>
    <t>One17 Capital Limited</t>
  </si>
  <si>
    <t>SPECIALISED FUNDS</t>
  </si>
  <si>
    <t>ARM Specialized Dollar Fund</t>
  </si>
  <si>
    <t>Clean Energy Fund</t>
  </si>
  <si>
    <t>Fundco Capital Managers Limited</t>
  </si>
  <si>
    <t>FCMB-TLG Private Debt Fund</t>
  </si>
  <si>
    <t>First Asset Blended Dollar Fund</t>
  </si>
  <si>
    <t>Meristem Commodities Fund</t>
  </si>
  <si>
    <t>United Capital Children Investment Fund</t>
  </si>
  <si>
    <t>ValuAlliance Specialized Dollar Fund</t>
  </si>
  <si>
    <t>EXCHANGE  TRADED FUNDS (ETFs)</t>
  </si>
  <si>
    <t>Greenwich ALPHA ETF</t>
  </si>
  <si>
    <t>Greenwich Asset Management Limited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</si>
  <si>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</si>
  <si>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</si>
  <si>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</si>
  <si>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</si>
  <si>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</si>
  <si>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</si>
  <si>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</si>
  <si>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</si>
  <si>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</si>
  <si>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VETBANK ETF</t>
  </si>
  <si>
    <t>Vetiva S &amp; P Nig. Sovereign Bond ETF</t>
  </si>
  <si>
    <t>VG 30 ETF</t>
  </si>
  <si>
    <t>VI ETF</t>
  </si>
  <si>
    <t>Grand Total</t>
  </si>
  <si>
    <t>Note:</t>
  </si>
  <si>
    <r>
      <rPr>
        <sz val="9"/>
        <color theme="0"/>
        <rFont val="Times New Roman"/>
        <family val="1"/>
      </rPr>
      <t>US$/NG</t>
    </r>
    <r>
      <rPr>
        <strike/>
        <sz val="9"/>
        <color theme="0"/>
        <rFont val="Times New Roman"/>
        <family val="1"/>
      </rPr>
      <t>N</t>
    </r>
    <r>
      <rPr>
        <sz val="9"/>
        <color theme="0"/>
        <rFont val="Times New Roman"/>
        <family val="1"/>
      </rPr>
      <t xml:space="preserve"> I&amp;E as at 30th September, 2026 = N1329.1600</t>
    </r>
  </si>
  <si>
    <t>FUNDS</t>
  </si>
  <si>
    <t>Jul 2026</t>
  </si>
  <si>
    <t>Aug 2026</t>
  </si>
  <si>
    <t>BONDS/FIXED INCOME FUNDS</t>
  </si>
  <si>
    <t>REAL ESTATE INVESTMENT TRUST</t>
  </si>
  <si>
    <t>SHARI'AH COMPLAINT FUNDS</t>
  </si>
  <si>
    <t>UNIT HOLDERS</t>
  </si>
  <si>
    <t>Sep 2026</t>
  </si>
  <si>
    <t>EXCHANGE TRADED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</si>
</sst>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_-* #,##0_-;\-* #,##0_-;_-* &quot;-&quot;??_-;_-@_-"/>
    <numFmt numFmtId="173" formatCode="&quot; &quot;* #,##0.00&quot; &quot;;&quot;-&quot;* #,##0.00&quot; &quot;;&quot; &quot;* &quot;-&quot;??&quot; &quot;"/>
    <numFmt numFmtId="174" formatCode="&quot; &quot;* #,##0&quot; &quot;;&quot;-&quot;* #,##0&quot; &quot;;&quot; &quot;* &quot;-&quot;??&quot; &quot;"/>
    <numFmt numFmtId="175" formatCode="&quot; &quot;* #,##0.00&quot; &quot;;&quot; &quot;* \(#,##0.00\);&quot; &quot;* &quot;-&quot;??&quot; &quot;"/>
  </numFmts>
  <fonts count="5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 Narrow"/>
      <family val="2"/>
    </font>
    <font>
      <sz val="8"/>
      <name val="Century Gothic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b/>
      <sz val="12"/>
      <name val="Arial Narrow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28"/>
      <color theme="0"/>
      <name val="Segoe UI Black"/>
      <family val="2"/>
    </font>
    <font>
      <b/>
      <sz val="9"/>
      <color theme="0"/>
      <name val="Segoe UI Black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b/>
      <sz val="8"/>
      <name val="Century Gothic"/>
      <family val="2"/>
    </font>
    <font>
      <sz val="7.1"/>
      <color rgb="FF000000"/>
      <name val="Calibri"/>
      <family val="2"/>
      <scheme val="minor"/>
    </font>
    <font>
      <sz val="7.3"/>
      <color rgb="FF000000"/>
      <name val="Calibri"/>
      <family val="2"/>
      <scheme val="minor"/>
    </font>
    <font>
      <b/>
      <sz val="10"/>
      <name val="Calibri"/>
      <family val="2"/>
    </font>
    <font>
      <b/>
      <sz val="9"/>
      <name val="Calibri"/>
      <family val="2"/>
    </font>
    <font>
      <b/>
      <sz val="9"/>
      <color rgb="FFFF0000"/>
      <name val="Calibri"/>
      <family val="2"/>
    </font>
    <font>
      <b/>
      <sz val="8"/>
      <color theme="0"/>
      <name val="Times New Roman"/>
      <family val="1"/>
    </font>
    <font>
      <sz val="9"/>
      <color theme="0"/>
      <name val="Times New Roman"/>
      <family val="1"/>
    </font>
    <font>
      <sz val="9"/>
      <color theme="0"/>
      <name val="Arial Narrow"/>
      <family val="2"/>
    </font>
    <font>
      <sz val="8"/>
      <color rgb="FF424242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charset val="134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trike/>
      <sz val="9"/>
      <color theme="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b/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8"/>
      <color rgb="FF000000"/>
      <name val="Tahoma-Bold-Identity-H"/>
      <charset val="134"/>
    </font>
    <font>
      <sz val="8"/>
      <color theme="1"/>
      <name val="Century Gothic"/>
      <family val="2"/>
    </font>
    <font>
      <sz val="8"/>
      <color rgb="FF000000"/>
      <name val="Calibri"/>
      <family val="2"/>
      <scheme val="minor"/>
    </font>
    <font>
      <sz val="8"/>
      <color rgb="FF000000"/>
      <name val="Tahoma Bold"/>
      <charset val="134"/>
    </font>
    <font>
      <sz val="11"/>
      <name val="Calibri"/>
      <family val="2"/>
      <scheme val="minor"/>
    </font>
    <font>
      <sz val="8"/>
      <name val="Arial Narrow"/>
      <family val="2"/>
    </font>
    <font>
      <sz val="10"/>
      <name val="Century Gothic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8"/>
      <color theme="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890133365886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9" tint="0.3997009186071352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7">
    <xf numFmtId="0" fontId="0" fillId="0" borderId="0"/>
    <xf numFmtId="16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165" fontId="31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7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5" fontId="33" fillId="0" borderId="0" applyFont="0" applyFill="0" applyBorder="0" applyAlignment="0" applyProtection="0"/>
    <xf numFmtId="5" fontId="33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0" fontId="34" fillId="11" borderId="0" applyNumberFormat="0" applyBorder="0" applyAlignment="0" applyProtection="0"/>
    <xf numFmtId="170" fontId="3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49" fontId="32" fillId="0" borderId="0"/>
    <xf numFmtId="49" fontId="32" fillId="0" borderId="0"/>
    <xf numFmtId="49" fontId="32" fillId="0" borderId="0"/>
    <xf numFmtId="49" fontId="32" fillId="0" borderId="0"/>
    <xf numFmtId="0" fontId="32" fillId="0" borderId="0"/>
    <xf numFmtId="37" fontId="3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0" fontId="40" fillId="10" borderId="3" applyNumberFormat="0" applyFont="0" applyAlignment="0" applyProtection="0"/>
    <xf numFmtId="9" fontId="3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201" applyFont="1" applyBorder="1"/>
    <xf numFmtId="4" fontId="4" fillId="2" borderId="0" xfId="0" applyNumberFormat="1" applyFont="1" applyFill="1"/>
    <xf numFmtId="173" fontId="5" fillId="2" borderId="0" xfId="0" applyNumberFormat="1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wrapText="1"/>
    </xf>
    <xf numFmtId="0" fontId="10" fillId="0" borderId="0" xfId="0" applyFont="1" applyAlignment="1">
      <alignment horizontal="right"/>
    </xf>
    <xf numFmtId="4" fontId="6" fillId="2" borderId="0" xfId="0" applyNumberFormat="1" applyFont="1" applyFill="1"/>
    <xf numFmtId="164" fontId="6" fillId="2" borderId="0" xfId="1" applyFont="1" applyFill="1" applyBorder="1" applyAlignment="1">
      <alignment horizontal="right" vertical="top" wrapText="1"/>
    </xf>
    <xf numFmtId="0" fontId="11" fillId="3" borderId="0" xfId="0" applyFont="1" applyFill="1"/>
    <xf numFmtId="0" fontId="11" fillId="2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/>
    <xf numFmtId="0" fontId="15" fillId="4" borderId="0" xfId="0" applyFont="1" applyFill="1" applyAlignment="1">
      <alignment horizontal="center"/>
    </xf>
    <xf numFmtId="49" fontId="17" fillId="5" borderId="2" xfId="0" applyNumberFormat="1" applyFont="1" applyFill="1" applyBorder="1" applyAlignment="1">
      <alignment horizontal="center" vertical="top" wrapText="1"/>
    </xf>
    <xf numFmtId="49" fontId="18" fillId="5" borderId="2" xfId="0" applyNumberFormat="1" applyFont="1" applyFill="1" applyBorder="1" applyAlignment="1">
      <alignment horizontal="center" vertical="top" wrapText="1"/>
    </xf>
    <xf numFmtId="164" fontId="17" fillId="5" borderId="2" xfId="1" applyFont="1" applyFill="1" applyBorder="1" applyAlignment="1">
      <alignment horizontal="center" vertical="top" wrapText="1"/>
    </xf>
    <xf numFmtId="49" fontId="17" fillId="5" borderId="0" xfId="0" applyNumberFormat="1" applyFont="1" applyFill="1" applyAlignment="1">
      <alignment horizontal="center" vertical="top" wrapText="1"/>
    </xf>
    <xf numFmtId="49" fontId="17" fillId="2" borderId="0" xfId="0" applyNumberFormat="1" applyFont="1" applyFill="1" applyAlignment="1">
      <alignment horizontal="center" vertical="top" wrapText="1"/>
    </xf>
    <xf numFmtId="164" fontId="19" fillId="2" borderId="0" xfId="1" applyNumberFormat="1" applyFont="1" applyFill="1"/>
    <xf numFmtId="164" fontId="19" fillId="0" borderId="0" xfId="1" applyNumberFormat="1" applyFont="1"/>
    <xf numFmtId="164" fontId="19" fillId="2" borderId="0" xfId="1" applyFont="1" applyFill="1"/>
    <xf numFmtId="164" fontId="17" fillId="2" borderId="0" xfId="1" applyFont="1" applyFill="1"/>
    <xf numFmtId="174" fontId="20" fillId="2" borderId="0" xfId="0" applyNumberFormat="1" applyFont="1" applyFill="1" applyAlignment="1">
      <alignment horizontal="center"/>
    </xf>
    <xf numFmtId="164" fontId="5" fillId="0" borderId="0" xfId="1" applyNumberFormat="1" applyFont="1" applyFill="1"/>
    <xf numFmtId="164" fontId="5" fillId="0" borderId="0" xfId="1" applyFont="1" applyFill="1"/>
    <xf numFmtId="164" fontId="20" fillId="2" borderId="0" xfId="1" applyFont="1" applyFill="1"/>
    <xf numFmtId="49" fontId="20" fillId="2" borderId="0" xfId="0" applyNumberFormat="1" applyFont="1" applyFill="1" applyAlignment="1">
      <alignment horizontal="center" wrapText="1"/>
    </xf>
    <xf numFmtId="164" fontId="5" fillId="2" borderId="0" xfId="1" applyNumberFormat="1" applyFont="1" applyFill="1"/>
    <xf numFmtId="164" fontId="5" fillId="2" borderId="0" xfId="1" applyFont="1" applyFill="1"/>
    <xf numFmtId="4" fontId="21" fillId="0" borderId="0" xfId="0" applyNumberFormat="1" applyFont="1"/>
    <xf numFmtId="173" fontId="18" fillId="2" borderId="0" xfId="0" applyNumberFormat="1" applyFont="1" applyFill="1" applyAlignment="1">
      <alignment horizontal="center" wrapText="1"/>
    </xf>
    <xf numFmtId="174" fontId="5" fillId="2" borderId="0" xfId="0" applyNumberFormat="1" applyFont="1" applyFill="1" applyAlignment="1">
      <alignment horizontal="center" wrapText="1"/>
    </xf>
    <xf numFmtId="164" fontId="5" fillId="0" borderId="0" xfId="1" applyFont="1"/>
    <xf numFmtId="164" fontId="5" fillId="0" borderId="0" xfId="1" applyNumberFormat="1" applyFont="1"/>
    <xf numFmtId="174" fontId="20" fillId="2" borderId="0" xfId="0" applyNumberFormat="1" applyFont="1" applyFill="1" applyAlignment="1">
      <alignment horizontal="center" wrapText="1"/>
    </xf>
    <xf numFmtId="164" fontId="5" fillId="2" borderId="0" xfId="1" applyFont="1" applyFill="1" applyAlignment="1">
      <alignment horizontal="right" vertical="top" wrapText="1"/>
    </xf>
    <xf numFmtId="164" fontId="5" fillId="2" borderId="0" xfId="1" applyNumberFormat="1" applyFont="1" applyFill="1" applyAlignment="1">
      <alignment horizontal="right" vertical="top" wrapText="1"/>
    </xf>
    <xf numFmtId="4" fontId="22" fillId="0" borderId="0" xfId="0" applyNumberFormat="1" applyFont="1"/>
    <xf numFmtId="164" fontId="20" fillId="2" borderId="0" xfId="1" applyFont="1" applyFill="1" applyAlignment="1">
      <alignment wrapText="1"/>
    </xf>
    <xf numFmtId="0" fontId="18" fillId="2" borderId="0" xfId="0" applyFont="1" applyFill="1" applyAlignment="1">
      <alignment horizontal="center" wrapText="1"/>
    </xf>
    <xf numFmtId="2" fontId="18" fillId="2" borderId="0" xfId="0" applyNumberFormat="1" applyFont="1" applyFill="1" applyAlignment="1">
      <alignment horizontal="center" wrapText="1"/>
    </xf>
    <xf numFmtId="164" fontId="5" fillId="0" borderId="0" xfId="1" applyNumberFormat="1" applyFont="1" applyFill="1" applyAlignment="1" applyProtection="1"/>
    <xf numFmtId="164" fontId="5" fillId="0" borderId="0" xfId="1" applyFont="1" applyFill="1" applyAlignment="1" applyProtection="1"/>
    <xf numFmtId="174" fontId="5" fillId="2" borderId="0" xfId="0" applyNumberFormat="1" applyFont="1" applyFill="1"/>
    <xf numFmtId="164" fontId="5" fillId="2" borderId="0" xfId="1" applyNumberFormat="1" applyFont="1" applyFill="1" applyAlignment="1">
      <alignment horizontal="center" wrapText="1"/>
    </xf>
    <xf numFmtId="49" fontId="17" fillId="2" borderId="0" xfId="0" applyNumberFormat="1" applyFont="1" applyFill="1" applyAlignment="1">
      <alignment horizontal="center"/>
    </xf>
    <xf numFmtId="164" fontId="19" fillId="8" borderId="0" xfId="1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164" fontId="11" fillId="2" borderId="0" xfId="1" applyFont="1" applyFill="1" applyBorder="1" applyAlignment="1"/>
    <xf numFmtId="0" fontId="26" fillId="9" borderId="0" xfId="0" applyFont="1" applyFill="1" applyAlignment="1">
      <alignment horizontal="right" vertical="center"/>
    </xf>
    <xf numFmtId="0" fontId="27" fillId="9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0" fontId="29" fillId="0" borderId="0" xfId="0" applyFont="1"/>
    <xf numFmtId="173" fontId="30" fillId="2" borderId="0" xfId="0" applyNumberFormat="1" applyFont="1" applyFill="1"/>
    <xf numFmtId="175" fontId="30" fillId="2" borderId="0" xfId="0" applyNumberFormat="1" applyFont="1" applyFill="1"/>
    <xf numFmtId="164" fontId="13" fillId="0" borderId="0" xfId="1" applyFont="1"/>
    <xf numFmtId="4" fontId="13" fillId="0" borderId="0" xfId="0" applyNumberFormat="1" applyFont="1"/>
    <xf numFmtId="49" fontId="43" fillId="2" borderId="2" xfId="0" applyNumberFormat="1" applyFont="1" applyFill="1" applyBorder="1" applyAlignment="1">
      <alignment wrapText="1"/>
    </xf>
    <xf numFmtId="164" fontId="43" fillId="2" borderId="2" xfId="1" applyNumberFormat="1" applyFont="1" applyFill="1" applyBorder="1"/>
    <xf numFmtId="164" fontId="43" fillId="2" borderId="2" xfId="1" applyFont="1" applyFill="1" applyBorder="1" applyAlignment="1"/>
    <xf numFmtId="164" fontId="43" fillId="2" borderId="2" xfId="1" applyFont="1" applyFill="1" applyBorder="1" applyAlignment="1">
      <alignment horizontal="left"/>
    </xf>
    <xf numFmtId="10" fontId="43" fillId="2" borderId="2" xfId="0" applyNumberFormat="1" applyFont="1" applyFill="1" applyBorder="1" applyAlignment="1">
      <alignment horizontal="center"/>
    </xf>
    <xf numFmtId="164" fontId="43" fillId="2" borderId="2" xfId="1" applyNumberFormat="1" applyFont="1" applyFill="1" applyBorder="1" applyAlignment="1">
      <alignment horizontal="left"/>
    </xf>
    <xf numFmtId="10" fontId="44" fillId="6" borderId="2" xfId="0" applyNumberFormat="1" applyFont="1" applyFill="1" applyBorder="1" applyAlignment="1">
      <alignment horizontal="center" vertical="center"/>
    </xf>
    <xf numFmtId="10" fontId="43" fillId="6" borderId="2" xfId="0" applyNumberFormat="1" applyFont="1" applyFill="1" applyBorder="1" applyAlignment="1">
      <alignment horizontal="center" vertical="center"/>
    </xf>
    <xf numFmtId="173" fontId="43" fillId="6" borderId="2" xfId="0" applyNumberFormat="1" applyFont="1" applyFill="1" applyBorder="1" applyAlignment="1">
      <alignment horizontal="right" vertical="center"/>
    </xf>
    <xf numFmtId="164" fontId="43" fillId="2" borderId="2" xfId="1" applyFont="1" applyFill="1" applyBorder="1"/>
    <xf numFmtId="49" fontId="43" fillId="2" borderId="2" xfId="0" applyNumberFormat="1" applyFont="1" applyFill="1" applyBorder="1"/>
    <xf numFmtId="49" fontId="43" fillId="2" borderId="2" xfId="0" applyNumberFormat="1" applyFont="1" applyFill="1" applyBorder="1" applyAlignment="1">
      <alignment vertical="center" wrapText="1"/>
    </xf>
    <xf numFmtId="4" fontId="43" fillId="2" borderId="2" xfId="0" applyNumberFormat="1" applyFont="1" applyFill="1" applyBorder="1" applyAlignment="1">
      <alignment wrapText="1"/>
    </xf>
    <xf numFmtId="0" fontId="43" fillId="2" borderId="2" xfId="0" applyFont="1" applyFill="1" applyBorder="1" applyAlignment="1">
      <alignment wrapText="1"/>
    </xf>
    <xf numFmtId="164" fontId="43" fillId="0" borderId="2" xfId="1" applyFont="1" applyBorder="1"/>
    <xf numFmtId="164" fontId="43" fillId="0" borderId="2" xfId="1" applyNumberFormat="1" applyFont="1" applyBorder="1"/>
    <xf numFmtId="164" fontId="44" fillId="2" borderId="2" xfId="1" applyFont="1" applyFill="1" applyBorder="1" applyAlignment="1">
      <alignment horizontal="left"/>
    </xf>
    <xf numFmtId="10" fontId="44" fillId="2" borderId="2" xfId="0" applyNumberFormat="1" applyFont="1" applyFill="1" applyBorder="1" applyAlignment="1">
      <alignment horizontal="center"/>
    </xf>
    <xf numFmtId="173" fontId="44" fillId="6" borderId="2" xfId="0" applyNumberFormat="1" applyFont="1" applyFill="1" applyBorder="1" applyAlignment="1">
      <alignment horizontal="right" vertical="center"/>
    </xf>
    <xf numFmtId="164" fontId="44" fillId="2" borderId="2" xfId="1" applyFont="1" applyFill="1" applyBorder="1"/>
    <xf numFmtId="164" fontId="43" fillId="7" borderId="2" xfId="1" applyFont="1" applyFill="1" applyBorder="1"/>
    <xf numFmtId="164" fontId="43" fillId="7" borderId="2" xfId="1" applyNumberFormat="1" applyFont="1" applyFill="1" applyBorder="1"/>
    <xf numFmtId="173" fontId="43" fillId="6" borderId="2" xfId="0" applyNumberFormat="1" applyFont="1" applyFill="1" applyBorder="1" applyAlignment="1">
      <alignment horizontal="center" vertical="center"/>
    </xf>
    <xf numFmtId="164" fontId="43" fillId="0" borderId="2" xfId="1" applyNumberFormat="1" applyFont="1" applyFill="1" applyBorder="1"/>
    <xf numFmtId="164" fontId="43" fillId="0" borderId="2" xfId="1" applyFont="1" applyFill="1" applyBorder="1"/>
    <xf numFmtId="164" fontId="43" fillId="2" borderId="2" xfId="1" applyFont="1" applyFill="1" applyBorder="1" applyAlignment="1">
      <alignment wrapText="1"/>
    </xf>
    <xf numFmtId="164" fontId="43" fillId="2" borderId="2" xfId="1" applyNumberFormat="1" applyFont="1" applyFill="1" applyBorder="1" applyAlignment="1">
      <alignment horizontal="right"/>
    </xf>
    <xf numFmtId="174" fontId="46" fillId="2" borderId="2" xfId="0" applyNumberFormat="1" applyFont="1" applyFill="1" applyBorder="1" applyAlignment="1">
      <alignment horizontal="center" wrapText="1"/>
    </xf>
    <xf numFmtId="49" fontId="46" fillId="2" borderId="2" xfId="0" applyNumberFormat="1" applyFont="1" applyFill="1" applyBorder="1" applyAlignment="1">
      <alignment wrapText="1"/>
    </xf>
    <xf numFmtId="49" fontId="43" fillId="2" borderId="2" xfId="0" applyNumberFormat="1" applyFont="1" applyFill="1" applyBorder="1" applyAlignment="1">
      <alignment vertical="top" wrapText="1"/>
    </xf>
    <xf numFmtId="173" fontId="44" fillId="2" borderId="2" xfId="0" applyNumberFormat="1" applyFont="1" applyFill="1" applyBorder="1"/>
    <xf numFmtId="173" fontId="44" fillId="6" borderId="2" xfId="0" applyNumberFormat="1" applyFont="1" applyFill="1" applyBorder="1" applyAlignment="1">
      <alignment horizontal="center" vertical="center"/>
    </xf>
    <xf numFmtId="164" fontId="43" fillId="2" borderId="2" xfId="1" applyFont="1" applyFill="1" applyBorder="1" applyAlignment="1">
      <alignment horizontal="right"/>
    </xf>
    <xf numFmtId="174" fontId="43" fillId="2" borderId="2" xfId="0" applyNumberFormat="1" applyFont="1" applyFill="1" applyBorder="1" applyAlignment="1">
      <alignment horizontal="right" wrapText="1"/>
    </xf>
    <xf numFmtId="164" fontId="43" fillId="0" borderId="2" xfId="1" applyFont="1" applyFill="1" applyBorder="1" applyAlignment="1">
      <alignment horizontal="right"/>
    </xf>
    <xf numFmtId="172" fontId="43" fillId="2" borderId="2" xfId="1" applyNumberFormat="1" applyFont="1" applyFill="1" applyBorder="1" applyAlignment="1">
      <alignment horizontal="center" wrapText="1"/>
    </xf>
    <xf numFmtId="164" fontId="43" fillId="0" borderId="2" xfId="1" applyFont="1" applyBorder="1" applyAlignment="1"/>
    <xf numFmtId="164" fontId="43" fillId="0" borderId="2" xfId="1" applyNumberFormat="1" applyFont="1" applyBorder="1" applyAlignment="1"/>
    <xf numFmtId="164" fontId="44" fillId="2" borderId="2" xfId="1" applyFont="1" applyFill="1" applyBorder="1" applyAlignment="1"/>
    <xf numFmtId="164" fontId="43" fillId="2" borderId="2" xfId="1" applyFont="1" applyFill="1" applyBorder="1" applyAlignment="1">
      <alignment horizontal="left" vertical="top" wrapText="1"/>
    </xf>
    <xf numFmtId="164" fontId="43" fillId="2" borderId="2" xfId="1" applyNumberFormat="1" applyFont="1" applyFill="1" applyBorder="1" applyAlignment="1">
      <alignment horizontal="right" vertical="top" wrapText="1"/>
    </xf>
    <xf numFmtId="164" fontId="43" fillId="2" borderId="2" xfId="1" applyFont="1" applyFill="1" applyBorder="1" applyAlignment="1">
      <alignment horizontal="right" vertical="top" wrapText="1"/>
    </xf>
    <xf numFmtId="164" fontId="43" fillId="2" borderId="2" xfId="1" applyNumberFormat="1" applyFont="1" applyFill="1" applyBorder="1" applyAlignment="1">
      <alignment horizontal="center" vertical="top" wrapText="1"/>
    </xf>
    <xf numFmtId="172" fontId="46" fillId="2" borderId="2" xfId="1" applyNumberFormat="1" applyFont="1" applyFill="1" applyBorder="1" applyAlignment="1">
      <alignment horizontal="center" wrapText="1"/>
    </xf>
    <xf numFmtId="164" fontId="46" fillId="2" borderId="2" xfId="1" applyFont="1" applyFill="1" applyBorder="1"/>
    <xf numFmtId="164" fontId="46" fillId="2" borderId="2" xfId="1" applyFont="1" applyFill="1" applyBorder="1" applyAlignment="1">
      <alignment wrapText="1"/>
    </xf>
    <xf numFmtId="164" fontId="43" fillId="2" borderId="2" xfId="1" applyNumberFormat="1" applyFont="1" applyFill="1" applyBorder="1" applyAlignment="1"/>
    <xf numFmtId="164" fontId="43" fillId="2" borderId="2" xfId="1" applyFont="1" applyFill="1" applyBorder="1" applyAlignment="1">
      <alignment vertical="top" wrapText="1"/>
    </xf>
    <xf numFmtId="164" fontId="44" fillId="2" borderId="2" xfId="1" applyFont="1" applyFill="1" applyBorder="1" applyAlignment="1">
      <alignment wrapText="1"/>
    </xf>
    <xf numFmtId="164" fontId="43" fillId="2" borderId="2" xfId="1" applyNumberFormat="1" applyFont="1" applyFill="1" applyBorder="1" applyAlignment="1">
      <alignment wrapText="1"/>
    </xf>
    <xf numFmtId="10" fontId="44" fillId="6" borderId="2" xfId="0" applyNumberFormat="1" applyFont="1" applyFill="1" applyBorder="1" applyAlignment="1">
      <alignment horizontal="right" vertical="center"/>
    </xf>
    <xf numFmtId="164" fontId="43" fillId="2" borderId="2" xfId="1" applyNumberFormat="1" applyFont="1" applyFill="1" applyBorder="1" applyAlignment="1">
      <alignment horizontal="right" wrapText="1"/>
    </xf>
    <xf numFmtId="0" fontId="43" fillId="2" borderId="2" xfId="0" applyFont="1" applyFill="1" applyBorder="1" applyAlignment="1">
      <alignment horizontal="right" wrapText="1"/>
    </xf>
    <xf numFmtId="2" fontId="43" fillId="2" borderId="2" xfId="0" applyNumberFormat="1" applyFont="1" applyFill="1" applyBorder="1"/>
    <xf numFmtId="2" fontId="43" fillId="2" borderId="2" xfId="0" applyNumberFormat="1" applyFont="1" applyFill="1" applyBorder="1" applyAlignment="1">
      <alignment wrapText="1"/>
    </xf>
    <xf numFmtId="164" fontId="43" fillId="0" borderId="2" xfId="1" applyNumberFormat="1" applyFont="1" applyFill="1" applyBorder="1" applyAlignment="1" applyProtection="1"/>
    <xf numFmtId="164" fontId="43" fillId="0" borderId="2" xfId="1" applyFont="1" applyFill="1" applyBorder="1" applyAlignment="1" applyProtection="1"/>
    <xf numFmtId="2" fontId="43" fillId="2" borderId="2" xfId="414" applyNumberFormat="1" applyFont="1" applyFill="1" applyBorder="1" applyAlignment="1">
      <alignment wrapText="1"/>
    </xf>
    <xf numFmtId="173" fontId="43" fillId="2" borderId="2" xfId="0" applyNumberFormat="1" applyFont="1" applyFill="1" applyBorder="1" applyAlignment="1">
      <alignment horizontal="right"/>
    </xf>
    <xf numFmtId="171" fontId="43" fillId="0" borderId="2" xfId="0" applyNumberFormat="1" applyFont="1" applyBorder="1"/>
    <xf numFmtId="173" fontId="43" fillId="2" borderId="2" xfId="0" applyNumberFormat="1" applyFont="1" applyFill="1" applyBorder="1"/>
    <xf numFmtId="172" fontId="43" fillId="0" borderId="2" xfId="0" applyNumberFormat="1" applyFont="1" applyBorder="1"/>
    <xf numFmtId="174" fontId="43" fillId="2" borderId="2" xfId="0" applyNumberFormat="1" applyFont="1" applyFill="1" applyBorder="1"/>
    <xf numFmtId="164" fontId="43" fillId="2" borderId="2" xfId="1" applyFont="1" applyFill="1" applyBorder="1" applyAlignment="1">
      <alignment horizontal="center" wrapText="1"/>
    </xf>
    <xf numFmtId="10" fontId="43" fillId="2" borderId="2" xfId="2" applyNumberFormat="1" applyFont="1" applyFill="1" applyBorder="1" applyAlignment="1">
      <alignment horizontal="center" wrapText="1"/>
    </xf>
    <xf numFmtId="164" fontId="43" fillId="2" borderId="2" xfId="1" applyNumberFormat="1" applyFont="1" applyFill="1" applyBorder="1" applyAlignment="1">
      <alignment horizontal="center" wrapText="1"/>
    </xf>
    <xf numFmtId="172" fontId="43" fillId="2" borderId="2" xfId="1" applyNumberFormat="1" applyFont="1" applyFill="1" applyBorder="1" applyAlignment="1">
      <alignment horizontal="right" wrapText="1"/>
    </xf>
    <xf numFmtId="172" fontId="43" fillId="2" borderId="2" xfId="1" applyNumberFormat="1" applyFont="1" applyFill="1" applyBorder="1" applyAlignment="1">
      <alignment horizontal="right" vertical="center" wrapText="1"/>
    </xf>
    <xf numFmtId="49" fontId="44" fillId="2" borderId="2" xfId="0" applyNumberFormat="1" applyFont="1" applyFill="1" applyBorder="1" applyAlignment="1">
      <alignment horizontal="right"/>
    </xf>
    <xf numFmtId="10" fontId="44" fillId="2" borderId="2" xfId="0" applyNumberFormat="1" applyFont="1" applyFill="1" applyBorder="1"/>
    <xf numFmtId="10" fontId="44" fillId="2" borderId="2" xfId="0" applyNumberFormat="1" applyFont="1" applyFill="1" applyBorder="1" applyAlignment="1">
      <alignment horizontal="right" vertical="center"/>
    </xf>
    <xf numFmtId="173" fontId="44" fillId="2" borderId="2" xfId="0" applyNumberFormat="1" applyFont="1" applyFill="1" applyBorder="1" applyAlignment="1">
      <alignment horizontal="right" vertical="center"/>
    </xf>
    <xf numFmtId="172" fontId="43" fillId="2" borderId="2" xfId="1" applyNumberFormat="1" applyFont="1" applyFill="1" applyBorder="1" applyAlignment="1">
      <alignment horizontal="right"/>
    </xf>
    <xf numFmtId="0" fontId="49" fillId="0" borderId="0" xfId="0" applyFont="1"/>
    <xf numFmtId="43" fontId="49" fillId="0" borderId="0" xfId="201" applyFont="1" applyBorder="1"/>
    <xf numFmtId="4" fontId="50" fillId="2" borderId="0" xfId="0" applyNumberFormat="1" applyFont="1" applyFill="1"/>
    <xf numFmtId="4" fontId="50" fillId="2" borderId="0" xfId="0" applyNumberFormat="1" applyFont="1" applyFill="1" applyAlignment="1">
      <alignment horizontal="right"/>
    </xf>
    <xf numFmtId="0" fontId="53" fillId="0" borderId="1" xfId="0" applyFont="1" applyBorder="1" applyAlignment="1">
      <alignment horizontal="right"/>
    </xf>
    <xf numFmtId="0" fontId="52" fillId="0" borderId="0" xfId="0" applyFont="1" applyAlignment="1">
      <alignment horizontal="right"/>
    </xf>
    <xf numFmtId="0" fontId="54" fillId="0" borderId="1" xfId="0" applyFont="1" applyBorder="1" applyAlignment="1">
      <alignment horizontal="right"/>
    </xf>
    <xf numFmtId="171" fontId="3" fillId="0" borderId="0" xfId="201" applyNumberFormat="1" applyFont="1"/>
    <xf numFmtId="0" fontId="54" fillId="0" borderId="0" xfId="0" applyFont="1" applyAlignment="1">
      <alignment horizontal="right"/>
    </xf>
    <xf numFmtId="172" fontId="3" fillId="0" borderId="0" xfId="1" applyNumberFormat="1" applyFont="1"/>
    <xf numFmtId="0" fontId="55" fillId="0" borderId="2" xfId="0" applyFont="1" applyBorder="1" applyAlignment="1">
      <alignment horizontal="right"/>
    </xf>
    <xf numFmtId="16" fontId="55" fillId="2" borderId="2" xfId="0" quotePrefix="1" applyNumberFormat="1" applyFont="1" applyFill="1" applyBorder="1" applyAlignment="1">
      <alignment horizontal="right"/>
    </xf>
    <xf numFmtId="164" fontId="56" fillId="2" borderId="2" xfId="1" applyFont="1" applyFill="1" applyBorder="1" applyAlignment="1">
      <alignment horizontal="right" vertical="top" wrapText="1"/>
    </xf>
    <xf numFmtId="164" fontId="56" fillId="2" borderId="2" xfId="1" applyFont="1" applyFill="1" applyBorder="1"/>
    <xf numFmtId="4" fontId="56" fillId="2" borderId="2" xfId="0" applyNumberFormat="1" applyFont="1" applyFill="1" applyBorder="1"/>
    <xf numFmtId="4" fontId="56" fillId="2" borderId="2" xfId="0" applyNumberFormat="1" applyFont="1" applyFill="1" applyBorder="1" applyAlignment="1">
      <alignment horizontal="right"/>
    </xf>
    <xf numFmtId="164" fontId="57" fillId="2" borderId="0" xfId="1" applyFont="1" applyFill="1" applyBorder="1"/>
    <xf numFmtId="43" fontId="3" fillId="0" borderId="0" xfId="201" applyFont="1" applyBorder="1"/>
    <xf numFmtId="0" fontId="56" fillId="0" borderId="0" xfId="0" applyFont="1"/>
    <xf numFmtId="0" fontId="55" fillId="2" borderId="0" xfId="0" applyFont="1" applyFill="1" applyAlignment="1">
      <alignment horizontal="right"/>
    </xf>
    <xf numFmtId="16" fontId="55" fillId="2" borderId="0" xfId="0" quotePrefix="1" applyNumberFormat="1" applyFont="1" applyFill="1" applyAlignment="1">
      <alignment horizontal="right" wrapText="1"/>
    </xf>
    <xf numFmtId="0" fontId="55" fillId="2" borderId="0" xfId="0" applyFont="1" applyFill="1" applyAlignment="1">
      <alignment horizontal="right" wrapText="1"/>
    </xf>
    <xf numFmtId="2" fontId="56" fillId="0" borderId="0" xfId="0" applyNumberFormat="1" applyFont="1"/>
    <xf numFmtId="0" fontId="55" fillId="0" borderId="0" xfId="0" applyFont="1" applyAlignment="1">
      <alignment horizontal="right"/>
    </xf>
    <xf numFmtId="16" fontId="55" fillId="2" borderId="0" xfId="0" applyNumberFormat="1" applyFont="1" applyFill="1"/>
    <xf numFmtId="164" fontId="56" fillId="0" borderId="0" xfId="1" applyFont="1" applyBorder="1"/>
    <xf numFmtId="4" fontId="56" fillId="2" borderId="0" xfId="0" applyNumberFormat="1" applyFont="1" applyFill="1"/>
    <xf numFmtId="164" fontId="44" fillId="2" borderId="2" xfId="1" applyFont="1" applyFill="1" applyBorder="1" applyAlignment="1">
      <alignment horizontal="right"/>
    </xf>
    <xf numFmtId="174" fontId="43" fillId="2" borderId="2" xfId="0" applyNumberFormat="1" applyFont="1" applyFill="1" applyBorder="1" applyAlignment="1">
      <alignment horizontal="center" wrapText="1"/>
    </xf>
    <xf numFmtId="49" fontId="15" fillId="4" borderId="2" xfId="0" applyNumberFormat="1" applyFont="1" applyFill="1" applyBorder="1" applyAlignment="1">
      <alignment horizontal="center"/>
    </xf>
    <xf numFmtId="49" fontId="16" fillId="4" borderId="2" xfId="0" applyNumberFormat="1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49" fontId="17" fillId="2" borderId="2" xfId="0" applyNumberFormat="1" applyFont="1" applyFill="1" applyBorder="1" applyAlignment="1">
      <alignment horizontal="center" vertical="top" wrapText="1"/>
    </xf>
    <xf numFmtId="49" fontId="18" fillId="2" borderId="2" xfId="0" applyNumberFormat="1" applyFont="1" applyFill="1" applyBorder="1" applyAlignment="1">
      <alignment horizontal="center" vertical="top" wrapText="1"/>
    </xf>
    <xf numFmtId="49" fontId="41" fillId="2" borderId="2" xfId="0" applyNumberFormat="1" applyFont="1" applyFill="1" applyBorder="1" applyAlignment="1">
      <alignment horizontal="center" vertical="top" wrapText="1"/>
    </xf>
    <xf numFmtId="164" fontId="44" fillId="2" borderId="2" xfId="1" applyFont="1" applyFill="1" applyBorder="1" applyAlignment="1">
      <alignment horizontal="right"/>
    </xf>
    <xf numFmtId="174" fontId="20" fillId="2" borderId="2" xfId="0" applyNumberFormat="1" applyFont="1" applyFill="1" applyBorder="1" applyAlignment="1">
      <alignment horizontal="center"/>
    </xf>
    <xf numFmtId="174" fontId="18" fillId="2" borderId="2" xfId="0" applyNumberFormat="1" applyFont="1" applyFill="1" applyBorder="1" applyAlignment="1">
      <alignment horizontal="center"/>
    </xf>
    <xf numFmtId="49" fontId="44" fillId="2" borderId="2" xfId="0" applyNumberFormat="1" applyFont="1" applyFill="1" applyBorder="1" applyAlignment="1">
      <alignment horizontal="center" wrapText="1"/>
    </xf>
    <xf numFmtId="173" fontId="42" fillId="2" borderId="2" xfId="0" applyNumberFormat="1" applyFont="1" applyFill="1" applyBorder="1" applyAlignment="1">
      <alignment horizontal="center" wrapText="1"/>
    </xf>
    <xf numFmtId="174" fontId="43" fillId="2" borderId="2" xfId="0" applyNumberFormat="1" applyFont="1" applyFill="1" applyBorder="1" applyAlignment="1">
      <alignment horizontal="center" wrapText="1"/>
    </xf>
    <xf numFmtId="174" fontId="44" fillId="2" borderId="2" xfId="0" applyNumberFormat="1" applyFont="1" applyFill="1" applyBorder="1" applyAlignment="1">
      <alignment horizontal="center" wrapText="1"/>
    </xf>
    <xf numFmtId="0" fontId="42" fillId="2" borderId="2" xfId="0" applyFont="1" applyFill="1" applyBorder="1" applyAlignment="1">
      <alignment horizontal="center" wrapText="1"/>
    </xf>
    <xf numFmtId="2" fontId="42" fillId="2" borderId="2" xfId="0" applyNumberFormat="1" applyFont="1" applyFill="1" applyBorder="1" applyAlignment="1">
      <alignment horizontal="center" wrapText="1"/>
    </xf>
    <xf numFmtId="164" fontId="41" fillId="8" borderId="2" xfId="1" applyFont="1" applyFill="1" applyBorder="1" applyAlignment="1">
      <alignment horizontal="right"/>
    </xf>
    <xf numFmtId="49" fontId="41" fillId="2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 wrapText="1"/>
    </xf>
    <xf numFmtId="172" fontId="5" fillId="2" borderId="2" xfId="1" applyNumberFormat="1" applyFont="1" applyFill="1" applyBorder="1" applyAlignment="1">
      <alignment horizontal="center" wrapText="1"/>
    </xf>
    <xf numFmtId="164" fontId="5" fillId="2" borderId="2" xfId="1" applyFont="1" applyFill="1" applyBorder="1" applyAlignment="1">
      <alignment wrapText="1"/>
    </xf>
    <xf numFmtId="4" fontId="45" fillId="0" borderId="2" xfId="0" applyNumberFormat="1" applyFont="1" applyBorder="1"/>
    <xf numFmtId="4" fontId="47" fillId="0" borderId="2" xfId="0" applyNumberFormat="1" applyFont="1" applyBorder="1"/>
    <xf numFmtId="0" fontId="48" fillId="0" borderId="2" xfId="0" applyFont="1" applyBorder="1"/>
    <xf numFmtId="0" fontId="43" fillId="2" borderId="2" xfId="0" applyFont="1" applyFill="1" applyBorder="1" applyAlignment="1">
      <alignment horizontal="center"/>
    </xf>
    <xf numFmtId="164" fontId="41" fillId="8" borderId="2" xfId="1" applyFont="1" applyFill="1" applyBorder="1"/>
    <xf numFmtId="0" fontId="51" fillId="8" borderId="2" xfId="0" applyFont="1" applyFill="1" applyBorder="1"/>
    <xf numFmtId="164" fontId="51" fillId="8" borderId="2" xfId="1" applyFont="1" applyFill="1" applyBorder="1"/>
    <xf numFmtId="174" fontId="5" fillId="2" borderId="2" xfId="0" applyNumberFormat="1" applyFont="1" applyFill="1" applyBorder="1" applyAlignment="1">
      <alignment horizontal="center" wrapText="1"/>
    </xf>
    <xf numFmtId="4" fontId="5" fillId="2" borderId="2" xfId="0" applyNumberFormat="1" applyFont="1" applyFill="1" applyBorder="1" applyAlignment="1">
      <alignment wrapText="1"/>
    </xf>
  </cellXfs>
  <cellStyles count="467">
    <cellStyle name="20% - Accent1 2" xfId="3"/>
    <cellStyle name="20% - Accent1 2 2" xfId="4"/>
    <cellStyle name="20% - Accent1 2 3" xfId="5"/>
    <cellStyle name="20% - Accent1 3" xfId="6"/>
    <cellStyle name="20% - Accent1 3 2" xfId="7"/>
    <cellStyle name="20% - Accent1 3 3" xfId="8"/>
    <cellStyle name="20% - Accent1 4" xfId="9"/>
    <cellStyle name="20% - Accent1 4 2" xfId="10"/>
    <cellStyle name="20% - Accent1 5" xfId="11"/>
    <cellStyle name="20% - Accent1 6" xfId="12"/>
    <cellStyle name="20% - Accent2 2" xfId="13"/>
    <cellStyle name="20% - Accent2 2 2" xfId="14"/>
    <cellStyle name="20% - Accent2 2 3" xfId="15"/>
    <cellStyle name="20% - Accent2 3" xfId="16"/>
    <cellStyle name="20% - Accent2 3 2" xfId="17"/>
    <cellStyle name="20% - Accent2 3 3" xfId="18"/>
    <cellStyle name="20% - Accent2 4" xfId="19"/>
    <cellStyle name="20% - Accent2 4 2" xfId="20"/>
    <cellStyle name="20% - Accent2 5" xfId="21"/>
    <cellStyle name="20% - Accent2 6" xfId="22"/>
    <cellStyle name="20% - Accent3 2" xfId="23"/>
    <cellStyle name="20% - Accent3 2 2" xfId="24"/>
    <cellStyle name="20% - Accent3 2 3" xfId="25"/>
    <cellStyle name="20% - Accent3 3" xfId="26"/>
    <cellStyle name="20% - Accent3 3 2" xfId="27"/>
    <cellStyle name="20% - Accent3 3 3" xfId="28"/>
    <cellStyle name="20% - Accent3 4" xfId="29"/>
    <cellStyle name="20% - Accent3 4 2" xfId="30"/>
    <cellStyle name="20% - Accent3 5" xfId="31"/>
    <cellStyle name="20% - Accent3 6" xfId="32"/>
    <cellStyle name="20% - Accent4 2" xfId="33"/>
    <cellStyle name="20% - Accent4 2 2" xfId="34"/>
    <cellStyle name="20% - Accent4 2 3" xfId="35"/>
    <cellStyle name="20% - Accent4 3" xfId="36"/>
    <cellStyle name="20% - Accent4 3 2" xfId="37"/>
    <cellStyle name="20% - Accent4 3 3" xfId="38"/>
    <cellStyle name="20% - Accent4 4" xfId="39"/>
    <cellStyle name="20% - Accent4 4 2" xfId="40"/>
    <cellStyle name="20% - Accent4 5" xfId="41"/>
    <cellStyle name="20% - Accent4 6" xfId="42"/>
    <cellStyle name="20% - Accent5 2" xfId="43"/>
    <cellStyle name="20% - Accent5 2 2" xfId="44"/>
    <cellStyle name="20% - Accent5 2 3" xfId="45"/>
    <cellStyle name="20% - Accent5 3" xfId="46"/>
    <cellStyle name="20% - Accent5 3 2" xfId="47"/>
    <cellStyle name="20% - Accent5 3 3" xfId="48"/>
    <cellStyle name="20% - Accent5 4" xfId="49"/>
    <cellStyle name="20% - Accent5 4 2" xfId="50"/>
    <cellStyle name="20% - Accent5 5" xfId="51"/>
    <cellStyle name="20% - Accent5 6" xfId="52"/>
    <cellStyle name="20% - Accent6 2" xfId="53"/>
    <cellStyle name="20% - Accent6 2 2" xfId="54"/>
    <cellStyle name="20% - Accent6 2 3" xfId="55"/>
    <cellStyle name="20% - Accent6 3" xfId="56"/>
    <cellStyle name="20% - Accent6 3 2" xfId="57"/>
    <cellStyle name="20% - Accent6 3 3" xfId="58"/>
    <cellStyle name="20% - Accent6 4" xfId="59"/>
    <cellStyle name="20% - Accent6 4 2" xfId="60"/>
    <cellStyle name="20% - Accent6 5" xfId="61"/>
    <cellStyle name="20% - Accent6 6" xfId="62"/>
    <cellStyle name="40% - Accent1 2" xfId="63"/>
    <cellStyle name="40% - Accent1 2 2" xfId="64"/>
    <cellStyle name="40% - Accent1 2 3" xfId="65"/>
    <cellStyle name="40% - Accent1 3" xfId="66"/>
    <cellStyle name="40% - Accent1 3 2" xfId="67"/>
    <cellStyle name="40% - Accent1 3 3" xfId="68"/>
    <cellStyle name="40% - Accent1 4" xfId="69"/>
    <cellStyle name="40% - Accent1 4 2" xfId="70"/>
    <cellStyle name="40% - Accent1 5" xfId="71"/>
    <cellStyle name="40% - Accent1 6" xfId="72"/>
    <cellStyle name="40% - Accent2 2" xfId="73"/>
    <cellStyle name="40% - Accent2 2 2" xfId="74"/>
    <cellStyle name="40% - Accent2 2 3" xfId="75"/>
    <cellStyle name="40% - Accent2 3" xfId="76"/>
    <cellStyle name="40% - Accent2 3 2" xfId="77"/>
    <cellStyle name="40% - Accent2 3 3" xfId="78"/>
    <cellStyle name="40% - Accent2 4" xfId="79"/>
    <cellStyle name="40% - Accent2 4 2" xfId="80"/>
    <cellStyle name="40% - Accent2 5" xfId="81"/>
    <cellStyle name="40% - Accent2 6" xfId="82"/>
    <cellStyle name="40% - Accent3 2" xfId="83"/>
    <cellStyle name="40% - Accent3 2 2" xfId="84"/>
    <cellStyle name="40% - Accent3 2 3" xfId="85"/>
    <cellStyle name="40% - Accent3 3" xfId="86"/>
    <cellStyle name="40% - Accent3 3 2" xfId="87"/>
    <cellStyle name="40% - Accent3 3 3" xfId="88"/>
    <cellStyle name="40% - Accent3 4" xfId="89"/>
    <cellStyle name="40% - Accent3 4 2" xfId="90"/>
    <cellStyle name="40% - Accent3 5" xfId="91"/>
    <cellStyle name="40% - Accent3 6" xfId="92"/>
    <cellStyle name="40% - Accent4 2" xfId="93"/>
    <cellStyle name="40% - Accent4 2 2" xfId="94"/>
    <cellStyle name="40% - Accent4 2 3" xfId="95"/>
    <cellStyle name="40% - Accent4 3" xfId="96"/>
    <cellStyle name="40% - Accent4 3 2" xfId="97"/>
    <cellStyle name="40% - Accent4 3 3" xfId="98"/>
    <cellStyle name="40% - Accent4 4" xfId="99"/>
    <cellStyle name="40% - Accent4 4 2" xfId="100"/>
    <cellStyle name="40% - Accent4 5" xfId="101"/>
    <cellStyle name="40% - Accent4 6" xfId="102"/>
    <cellStyle name="40% - Accent5 2" xfId="103"/>
    <cellStyle name="40% - Accent5 2 2" xfId="104"/>
    <cellStyle name="40% - Accent5 2 3" xfId="105"/>
    <cellStyle name="40% - Accent5 3" xfId="106"/>
    <cellStyle name="40% - Accent5 3 2" xfId="107"/>
    <cellStyle name="40% - Accent5 3 3" xfId="108"/>
    <cellStyle name="40% - Accent5 4" xfId="109"/>
    <cellStyle name="40% - Accent5 4 2" xfId="110"/>
    <cellStyle name="40% - Accent5 5" xfId="111"/>
    <cellStyle name="40% - Accent5 6" xfId="112"/>
    <cellStyle name="40% - Accent6 2" xfId="113"/>
    <cellStyle name="40% - Accent6 2 2" xfId="114"/>
    <cellStyle name="40% - Accent6 2 3" xfId="115"/>
    <cellStyle name="40% - Accent6 3" xfId="116"/>
    <cellStyle name="40% - Accent6 3 2" xfId="117"/>
    <cellStyle name="40% - Accent6 3 3" xfId="118"/>
    <cellStyle name="40% - Accent6 4" xfId="119"/>
    <cellStyle name="40% - Accent6 4 2" xfId="120"/>
    <cellStyle name="40% - Accent6 5" xfId="121"/>
    <cellStyle name="40% - Accent6 6" xfId="122"/>
    <cellStyle name="60% - Accent1 2" xfId="123"/>
    <cellStyle name="60% - Accent1 2 2" xfId="124"/>
    <cellStyle name="60% - Accent1 2 3" xfId="125"/>
    <cellStyle name="60% - Accent1 3" xfId="126"/>
    <cellStyle name="60% - Accent1 3 2" xfId="127"/>
    <cellStyle name="60% - Accent1 3 3" xfId="128"/>
    <cellStyle name="60% - Accent1 4" xfId="129"/>
    <cellStyle name="60% - Accent1 4 2" xfId="130"/>
    <cellStyle name="60% - Accent1 5" xfId="131"/>
    <cellStyle name="60% - Accent1 6" xfId="132"/>
    <cellStyle name="60% - Accent2 2" xfId="133"/>
    <cellStyle name="60% - Accent2 2 2" xfId="134"/>
    <cellStyle name="60% - Accent2 2 3" xfId="135"/>
    <cellStyle name="60% - Accent2 3" xfId="136"/>
    <cellStyle name="60% - Accent2 3 2" xfId="137"/>
    <cellStyle name="60% - Accent2 3 3" xfId="138"/>
    <cellStyle name="60% - Accent2 4" xfId="139"/>
    <cellStyle name="60% - Accent2 4 2" xfId="140"/>
    <cellStyle name="60% - Accent2 5" xfId="141"/>
    <cellStyle name="60% - Accent2 6" xfId="142"/>
    <cellStyle name="60% - Accent3 2" xfId="143"/>
    <cellStyle name="60% - Accent3 2 2" xfId="144"/>
    <cellStyle name="60% - Accent3 2 3" xfId="145"/>
    <cellStyle name="60% - Accent3 3" xfId="146"/>
    <cellStyle name="60% - Accent3 3 2" xfId="147"/>
    <cellStyle name="60% - Accent3 3 3" xfId="148"/>
    <cellStyle name="60% - Accent3 4" xfId="149"/>
    <cellStyle name="60% - Accent3 4 2" xfId="150"/>
    <cellStyle name="60% - Accent3 5" xfId="151"/>
    <cellStyle name="60% - Accent3 6" xfId="152"/>
    <cellStyle name="60% - Accent4 2" xfId="153"/>
    <cellStyle name="60% - Accent4 2 2" xfId="154"/>
    <cellStyle name="60% - Accent4 2 3" xfId="155"/>
    <cellStyle name="60% - Accent4 3" xfId="156"/>
    <cellStyle name="60% - Accent4 3 2" xfId="157"/>
    <cellStyle name="60% - Accent4 3 3" xfId="158"/>
    <cellStyle name="60% - Accent4 4" xfId="159"/>
    <cellStyle name="60% - Accent4 4 2" xfId="160"/>
    <cellStyle name="60% - Accent4 5" xfId="161"/>
    <cellStyle name="60% - Accent4 6" xfId="162"/>
    <cellStyle name="60% - Accent5 2" xfId="163"/>
    <cellStyle name="60% - Accent5 2 2" xfId="164"/>
    <cellStyle name="60% - Accent5 2 3" xfId="165"/>
    <cellStyle name="60% - Accent5 3" xfId="166"/>
    <cellStyle name="60% - Accent5 3 2" xfId="167"/>
    <cellStyle name="60% - Accent5 3 3" xfId="168"/>
    <cellStyle name="60% - Accent5 4" xfId="169"/>
    <cellStyle name="60% - Accent5 4 2" xfId="170"/>
    <cellStyle name="60% - Accent5 5" xfId="171"/>
    <cellStyle name="60% - Accent5 6" xfId="172"/>
    <cellStyle name="60% - Accent6 2" xfId="173"/>
    <cellStyle name="60% - Accent6 2 2" xfId="174"/>
    <cellStyle name="60% - Accent6 2 3" xfId="175"/>
    <cellStyle name="60% - Accent6 3" xfId="176"/>
    <cellStyle name="60% - Accent6 3 2" xfId="177"/>
    <cellStyle name="60% - Accent6 3 3" xfId="178"/>
    <cellStyle name="60% - Accent6 4" xfId="179"/>
    <cellStyle name="60% - Accent6 4 2" xfId="180"/>
    <cellStyle name="60% - Accent6 5" xfId="181"/>
    <cellStyle name="60% - Accent6 6" xfId="182"/>
    <cellStyle name="Comma" xfId="1" builtinId="3"/>
    <cellStyle name="Comma 10" xfId="183"/>
    <cellStyle name="Comma 10 13" xfId="184"/>
    <cellStyle name="Comma 11" xfId="185"/>
    <cellStyle name="Comma 12" xfId="186"/>
    <cellStyle name="Comma 12 2" xfId="187"/>
    <cellStyle name="Comma 12 3" xfId="188"/>
    <cellStyle name="Comma 13" xfId="189"/>
    <cellStyle name="Comma 13 2" xfId="190"/>
    <cellStyle name="Comma 13 3" xfId="191"/>
    <cellStyle name="Comma 14" xfId="192"/>
    <cellStyle name="Comma 15" xfId="193"/>
    <cellStyle name="Comma 15 2" xfId="194"/>
    <cellStyle name="Comma 15 3" xfId="195"/>
    <cellStyle name="Comma 16" xfId="196"/>
    <cellStyle name="Comma 16 2" xfId="197"/>
    <cellStyle name="Comma 16 3" xfId="198"/>
    <cellStyle name="Comma 17" xfId="199"/>
    <cellStyle name="Comma 18" xfId="200"/>
    <cellStyle name="Comma 19" xfId="465"/>
    <cellStyle name="Comma 2" xfId="201"/>
    <cellStyle name="Comma 2 10" xfId="202"/>
    <cellStyle name="Comma 2 10 2" xfId="203"/>
    <cellStyle name="Comma 2 11" xfId="204"/>
    <cellStyle name="Comma 2 11 2" xfId="205"/>
    <cellStyle name="Comma 2 12" xfId="206"/>
    <cellStyle name="Comma 2 13" xfId="207"/>
    <cellStyle name="Comma 2 2" xfId="208"/>
    <cellStyle name="Comma 2 2 2" xfId="209"/>
    <cellStyle name="Comma 2 2 2 2" xfId="210"/>
    <cellStyle name="Comma 2 2 2 2 2" xfId="211"/>
    <cellStyle name="Comma 2 2 2 2 3" xfId="212"/>
    <cellStyle name="Comma 2 2 2 3" xfId="213"/>
    <cellStyle name="Comma 2 3" xfId="214"/>
    <cellStyle name="Comma 2 3 2" xfId="215"/>
    <cellStyle name="Comma 2 4" xfId="216"/>
    <cellStyle name="Comma 2 4 2" xfId="217"/>
    <cellStyle name="Comma 2 5" xfId="218"/>
    <cellStyle name="Comma 2 5 2" xfId="219"/>
    <cellStyle name="Comma 2 6" xfId="220"/>
    <cellStyle name="Comma 2 6 2" xfId="221"/>
    <cellStyle name="Comma 2 7" xfId="222"/>
    <cellStyle name="Comma 2 7 2" xfId="223"/>
    <cellStyle name="Comma 2 8" xfId="224"/>
    <cellStyle name="Comma 2 8 2" xfId="225"/>
    <cellStyle name="Comma 2 9" xfId="226"/>
    <cellStyle name="Comma 2 9 2" xfId="227"/>
    <cellStyle name="Comma 3" xfId="228"/>
    <cellStyle name="Comma 3 2" xfId="229"/>
    <cellStyle name="Comma 3 2 2" xfId="230"/>
    <cellStyle name="Comma 3 3" xfId="231"/>
    <cellStyle name="Comma 3 4" xfId="232"/>
    <cellStyle name="Comma 3 4 3" xfId="233"/>
    <cellStyle name="Comma 3 4 4" xfId="234"/>
    <cellStyle name="Comma 4" xfId="235"/>
    <cellStyle name="Comma 4 2" xfId="236"/>
    <cellStyle name="Comma 4 3" xfId="237"/>
    <cellStyle name="Comma 5" xfId="238"/>
    <cellStyle name="Comma 6" xfId="239"/>
    <cellStyle name="Comma 7" xfId="240"/>
    <cellStyle name="Comma 8" xfId="241"/>
    <cellStyle name="Comma 8 2" xfId="242"/>
    <cellStyle name="Comma 9" xfId="243"/>
    <cellStyle name="Neutral 2" xfId="244"/>
    <cellStyle name="Normal" xfId="0" builtinId="0"/>
    <cellStyle name="Normal - Style1" xfId="245"/>
    <cellStyle name="Normal 10" xfId="246"/>
    <cellStyle name="Normal 10 2" xfId="247"/>
    <cellStyle name="Normal 10 3" xfId="248"/>
    <cellStyle name="Normal 11" xfId="249"/>
    <cellStyle name="Normal 11 2" xfId="250"/>
    <cellStyle name="Normal 11 3" xfId="251"/>
    <cellStyle name="Normal 12" xfId="252"/>
    <cellStyle name="Normal 12 2" xfId="253"/>
    <cellStyle name="Normal 12 2 2" xfId="254"/>
    <cellStyle name="Normal 12 2 3" xfId="255"/>
    <cellStyle name="Normal 12 3" xfId="256"/>
    <cellStyle name="Normal 12 4" xfId="257"/>
    <cellStyle name="Normal 13" xfId="258"/>
    <cellStyle name="Normal 13 2" xfId="259"/>
    <cellStyle name="Normal 13 3" xfId="260"/>
    <cellStyle name="Normal 14" xfId="261"/>
    <cellStyle name="Normal 14 2" xfId="262"/>
    <cellStyle name="Normal 15" xfId="263"/>
    <cellStyle name="Normal 15 2" xfId="264"/>
    <cellStyle name="Normal 15 3" xfId="265"/>
    <cellStyle name="Normal 16" xfId="266"/>
    <cellStyle name="Normal 16 2" xfId="267"/>
    <cellStyle name="Normal 16 3" xfId="268"/>
    <cellStyle name="Normal 17" xfId="269"/>
    <cellStyle name="Normal 17 2" xfId="270"/>
    <cellStyle name="Normal 17 3" xfId="271"/>
    <cellStyle name="Normal 18" xfId="272"/>
    <cellStyle name="Normal 18 2" xfId="273"/>
    <cellStyle name="Normal 18 3" xfId="274"/>
    <cellStyle name="Normal 19" xfId="275"/>
    <cellStyle name="Normal 19 2" xfId="276"/>
    <cellStyle name="Normal 19 3" xfId="277"/>
    <cellStyle name="Normal 2" xfId="278"/>
    <cellStyle name="Normal 2 2" xfId="279"/>
    <cellStyle name="Normal 2 2 2" xfId="280"/>
    <cellStyle name="Normal 2 3" xfId="281"/>
    <cellStyle name="Normal 2 4" xfId="282"/>
    <cellStyle name="Normal 2 5" xfId="283"/>
    <cellStyle name="Normal 2 6" xfId="284"/>
    <cellStyle name="Normal 20" xfId="285"/>
    <cellStyle name="Normal 20 2" xfId="286"/>
    <cellStyle name="Normal 20 3" xfId="287"/>
    <cellStyle name="Normal 21" xfId="288"/>
    <cellStyle name="Normal 21 2" xfId="289"/>
    <cellStyle name="Normal 21 3" xfId="290"/>
    <cellStyle name="Normal 22" xfId="291"/>
    <cellStyle name="Normal 22 2" xfId="292"/>
    <cellStyle name="Normal 22 3" xfId="293"/>
    <cellStyle name="Normal 23" xfId="294"/>
    <cellStyle name="Normal 23 2" xfId="295"/>
    <cellStyle name="Normal 23 3" xfId="296"/>
    <cellStyle name="Normal 24" xfId="297"/>
    <cellStyle name="Normal 24 2" xfId="298"/>
    <cellStyle name="Normal 24 3" xfId="299"/>
    <cellStyle name="Normal 25" xfId="300"/>
    <cellStyle name="Normal 25 2" xfId="301"/>
    <cellStyle name="Normal 25 3" xfId="302"/>
    <cellStyle name="Normal 26" xfId="303"/>
    <cellStyle name="Normal 26 2" xfId="304"/>
    <cellStyle name="Normal 26 3" xfId="305"/>
    <cellStyle name="Normal 27" xfId="306"/>
    <cellStyle name="Normal 27 2" xfId="307"/>
    <cellStyle name="Normal 27 2 2" xfId="308"/>
    <cellStyle name="Normal 27 3" xfId="309"/>
    <cellStyle name="Normal 28" xfId="310"/>
    <cellStyle name="Normal 28 2" xfId="311"/>
    <cellStyle name="Normal 29" xfId="312"/>
    <cellStyle name="Normal 29 2" xfId="313"/>
    <cellStyle name="Normal 3" xfId="314"/>
    <cellStyle name="Normal 3 2" xfId="315"/>
    <cellStyle name="Normal 3 2 2" xfId="316"/>
    <cellStyle name="Normal 3 2 3" xfId="317"/>
    <cellStyle name="Normal 3 3" xfId="318"/>
    <cellStyle name="Normal 3 4" xfId="319"/>
    <cellStyle name="Normal 30" xfId="320"/>
    <cellStyle name="Normal 30 2" xfId="321"/>
    <cellStyle name="Normal 31" xfId="322"/>
    <cellStyle name="Normal 31 2" xfId="323"/>
    <cellStyle name="Normal 32" xfId="324"/>
    <cellStyle name="Normal 32 2" xfId="325"/>
    <cellStyle name="Normal 33" xfId="326"/>
    <cellStyle name="Normal 33 2" xfId="327"/>
    <cellStyle name="Normal 34" xfId="328"/>
    <cellStyle name="Normal 34 2" xfId="329"/>
    <cellStyle name="Normal 35" xfId="330"/>
    <cellStyle name="Normal 35 2" xfId="331"/>
    <cellStyle name="Normal 36" xfId="332"/>
    <cellStyle name="Normal 36 2" xfId="333"/>
    <cellStyle name="Normal 37" xfId="334"/>
    <cellStyle name="Normal 37 2" xfId="335"/>
    <cellStyle name="Normal 38" xfId="336"/>
    <cellStyle name="Normal 38 2" xfId="337"/>
    <cellStyle name="Normal 39" xfId="338"/>
    <cellStyle name="Normal 39 2" xfId="339"/>
    <cellStyle name="Normal 4" xfId="340"/>
    <cellStyle name="Normal 4 2" xfId="341"/>
    <cellStyle name="Normal 40" xfId="342"/>
    <cellStyle name="Normal 40 2" xfId="343"/>
    <cellStyle name="Normal 41" xfId="344"/>
    <cellStyle name="Normal 41 2" xfId="345"/>
    <cellStyle name="Normal 42" xfId="346"/>
    <cellStyle name="Normal 42 2" xfId="347"/>
    <cellStyle name="Normal 43" xfId="348"/>
    <cellStyle name="Normal 43 2" xfId="349"/>
    <cellStyle name="Normal 44" xfId="350"/>
    <cellStyle name="Normal 44 2" xfId="351"/>
    <cellStyle name="Normal 45" xfId="352"/>
    <cellStyle name="Normal 45 2" xfId="353"/>
    <cellStyle name="Normal 46" xfId="354"/>
    <cellStyle name="Normal 46 2" xfId="355"/>
    <cellStyle name="Normal 47" xfId="356"/>
    <cellStyle name="Normal 47 2" xfId="357"/>
    <cellStyle name="Normal 48" xfId="358"/>
    <cellStyle name="Normal 48 2" xfId="359"/>
    <cellStyle name="Normal 49" xfId="360"/>
    <cellStyle name="Normal 49 2" xfId="361"/>
    <cellStyle name="Normal 5" xfId="362"/>
    <cellStyle name="Normal 50" xfId="363"/>
    <cellStyle name="Normal 50 2" xfId="364"/>
    <cellStyle name="Normal 51" xfId="365"/>
    <cellStyle name="Normal 51 2" xfId="366"/>
    <cellStyle name="Normal 52" xfId="367"/>
    <cellStyle name="Normal 52 2" xfId="368"/>
    <cellStyle name="Normal 53" xfId="369"/>
    <cellStyle name="Normal 53 2" xfId="370"/>
    <cellStyle name="Normal 54" xfId="371"/>
    <cellStyle name="Normal 54 2" xfId="372"/>
    <cellStyle name="Normal 55" xfId="373"/>
    <cellStyle name="Normal 55 2" xfId="374"/>
    <cellStyle name="Normal 56" xfId="375"/>
    <cellStyle name="Normal 56 2" xfId="376"/>
    <cellStyle name="Normal 57" xfId="377"/>
    <cellStyle name="Normal 57 2" xfId="378"/>
    <cellStyle name="Normal 58" xfId="379"/>
    <cellStyle name="Normal 58 2" xfId="380"/>
    <cellStyle name="Normal 59" xfId="381"/>
    <cellStyle name="Normal 59 2" xfId="382"/>
    <cellStyle name="Normal 6" xfId="383"/>
    <cellStyle name="Normal 6 2" xfId="384"/>
    <cellStyle name="Normal 6 3" xfId="385"/>
    <cellStyle name="Normal 60" xfId="386"/>
    <cellStyle name="Normal 60 2" xfId="387"/>
    <cellStyle name="Normal 61" xfId="388"/>
    <cellStyle name="Normal 61 2" xfId="389"/>
    <cellStyle name="Normal 62" xfId="390"/>
    <cellStyle name="Normal 62 2" xfId="391"/>
    <cellStyle name="Normal 63" xfId="392"/>
    <cellStyle name="Normal 63 2" xfId="393"/>
    <cellStyle name="Normal 64" xfId="394"/>
    <cellStyle name="Normal 64 2" xfId="395"/>
    <cellStyle name="Normal 65" xfId="396"/>
    <cellStyle name="Normal 65 2" xfId="397"/>
    <cellStyle name="Normal 66" xfId="398"/>
    <cellStyle name="Normal 66 2" xfId="399"/>
    <cellStyle name="Normal 67" xfId="400"/>
    <cellStyle name="Normal 67 2" xfId="401"/>
    <cellStyle name="Normal 68" xfId="402"/>
    <cellStyle name="Normal 68 2" xfId="403"/>
    <cellStyle name="Normal 69" xfId="404"/>
    <cellStyle name="Normal 69 2" xfId="405"/>
    <cellStyle name="Normal 7" xfId="406"/>
    <cellStyle name="Normal 7 2" xfId="407"/>
    <cellStyle name="Normal 7 3" xfId="408"/>
    <cellStyle name="Normal 70" xfId="409"/>
    <cellStyle name="Normal 71" xfId="410"/>
    <cellStyle name="Normal 72" xfId="411"/>
    <cellStyle name="Normal 73" xfId="412"/>
    <cellStyle name="Normal 74" xfId="413"/>
    <cellStyle name="Normal 75" xfId="414"/>
    <cellStyle name="Normal 8" xfId="415"/>
    <cellStyle name="Normal 8 2" xfId="416"/>
    <cellStyle name="Normal 8 3" xfId="417"/>
    <cellStyle name="Normal 9" xfId="418"/>
    <cellStyle name="Normal 9 2" xfId="419"/>
    <cellStyle name="Normal 9 3" xfId="420"/>
    <cellStyle name="Note 10" xfId="421"/>
    <cellStyle name="Note 10 2" xfId="422"/>
    <cellStyle name="Note 10 3" xfId="423"/>
    <cellStyle name="Note 11" xfId="424"/>
    <cellStyle name="Note 11 2" xfId="425"/>
    <cellStyle name="Note 11 3" xfId="426"/>
    <cellStyle name="Note 12" xfId="427"/>
    <cellStyle name="Note 12 2" xfId="428"/>
    <cellStyle name="Note 12 3" xfId="429"/>
    <cellStyle name="Note 13" xfId="430"/>
    <cellStyle name="Note 13 2" xfId="431"/>
    <cellStyle name="Note 14" xfId="432"/>
    <cellStyle name="Note 14 2" xfId="433"/>
    <cellStyle name="Note 2" xfId="434"/>
    <cellStyle name="Note 2 2" xfId="435"/>
    <cellStyle name="Note 2 3" xfId="436"/>
    <cellStyle name="Note 3" xfId="437"/>
    <cellStyle name="Note 3 2" xfId="438"/>
    <cellStyle name="Note 3 3" xfId="439"/>
    <cellStyle name="Note 4" xfId="440"/>
    <cellStyle name="Note 4 2" xfId="441"/>
    <cellStyle name="Note 4 3" xfId="442"/>
    <cellStyle name="Note 5" xfId="443"/>
    <cellStyle name="Note 5 2" xfId="444"/>
    <cellStyle name="Note 5 3" xfId="445"/>
    <cellStyle name="Note 6" xfId="446"/>
    <cellStyle name="Note 6 2" xfId="447"/>
    <cellStyle name="Note 6 3" xfId="448"/>
    <cellStyle name="Note 7" xfId="449"/>
    <cellStyle name="Note 7 2" xfId="450"/>
    <cellStyle name="Note 7 3" xfId="451"/>
    <cellStyle name="Note 8" xfId="452"/>
    <cellStyle name="Note 8 2" xfId="453"/>
    <cellStyle name="Note 8 3" xfId="454"/>
    <cellStyle name="Note 9" xfId="455"/>
    <cellStyle name="Note 9 2" xfId="456"/>
    <cellStyle name="Note 9 3" xfId="457"/>
    <cellStyle name="Percent" xfId="2" builtinId="5"/>
    <cellStyle name="Percent 2" xfId="458"/>
    <cellStyle name="Percent 2 2" xfId="459"/>
    <cellStyle name="Percent 2 2 2" xfId="460"/>
    <cellStyle name="Percent 3" xfId="461"/>
    <cellStyle name="Percent 4" xfId="462"/>
    <cellStyle name="Percent 5" xfId="466"/>
    <cellStyle name="Title 2" xfId="463"/>
    <cellStyle name="Title 3" xfId="464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 sz="2400" b="1" i="0" baseline="0">
                <a:effectLst/>
              </a:rPr>
              <a:t>NAV BY CLASS OF FUNDS (N'Bn)</a:t>
            </a:r>
            <a:endParaRPr lang="en-US" sz="2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spc="100" baseline="0">
              <a:solidFill>
                <a:sysClr val="window" lastClr="FFFFFF">
                  <a:lumMod val="95000"/>
                </a:sys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line3DChart>
        <c:grouping val="standar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Jul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cat>
            <c:strRef>
              <c:f>'NAV Comparison'!$A$5:$A$14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Comparison'!$B$5:$B$14</c:f>
              <c:numCache>
                <c:formatCode>0.00</c:formatCode>
                <c:ptCount val="10"/>
                <c:pt idx="0">
                  <c:v>241.38586553741001</c:v>
                </c:pt>
                <c:pt idx="1">
                  <c:v>6263.1142898272401</c:v>
                </c:pt>
                <c:pt idx="2">
                  <c:v>232.74981180539999</c:v>
                </c:pt>
                <c:pt idx="3">
                  <c:v>1819.3970402694399</c:v>
                </c:pt>
                <c:pt idx="4">
                  <c:v>519.10571993953999</c:v>
                </c:pt>
                <c:pt idx="5">
                  <c:v>155.82341934322901</c:v>
                </c:pt>
                <c:pt idx="6">
                  <c:v>19.72097813189</c:v>
                </c:pt>
                <c:pt idx="7">
                  <c:v>145.25147190111599</c:v>
                </c:pt>
                <c:pt idx="8">
                  <c:v>52.848095925552201</c:v>
                </c:pt>
                <c:pt idx="9">
                  <c:v>27.933876860290006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8B-4F8F-9F2E-9F3787162C5E}"/>
            </c:ext>
          </c:extLst>
        </c:ser>
        <c:ser>
          <c:idx val="1"/>
          <c:order val="1"/>
          <c:tx>
            <c:strRef>
              <c:f>'NAV Comparison'!$C$4</c:f>
              <c:strCache>
                <c:ptCount val="1"/>
                <c:pt idx="0">
                  <c:v>Aug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cat>
            <c:strRef>
              <c:f>'NAV Comparison'!$A$5:$A$14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Comparison'!$C$5:$C$14</c:f>
              <c:numCache>
                <c:formatCode>0.00</c:formatCode>
                <c:ptCount val="10"/>
                <c:pt idx="0">
                  <c:v>233.72278697153999</c:v>
                </c:pt>
                <c:pt idx="1">
                  <c:v>6448.537446804994</c:v>
                </c:pt>
                <c:pt idx="2">
                  <c:v>235.10587555532999</c:v>
                </c:pt>
                <c:pt idx="3">
                  <c:v>1752.5097771838987</c:v>
                </c:pt>
                <c:pt idx="4">
                  <c:v>522.41815593666001</c:v>
                </c:pt>
                <c:pt idx="5">
                  <c:v>157.7614732001141</c:v>
                </c:pt>
                <c:pt idx="6">
                  <c:v>19.65912200975</c:v>
                </c:pt>
                <c:pt idx="7">
                  <c:v>147.96294521381847</c:v>
                </c:pt>
                <c:pt idx="8">
                  <c:v>53.951383945732594</c:v>
                </c:pt>
                <c:pt idx="9">
                  <c:v>32.074155676369998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8B-4F8F-9F2E-9F3787162C5E}"/>
            </c:ext>
          </c:extLst>
        </c:ser>
        <c:ser>
          <c:idx val="2"/>
          <c:order val="2"/>
          <c:tx>
            <c:strRef>
              <c:f>'NAV Comparison'!$D$4</c:f>
              <c:strCache>
                <c:ptCount val="1"/>
                <c:pt idx="0">
                  <c:v>Sep 2026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cat>
            <c:strRef>
              <c:f>'NAV Comparison'!$A$5:$A$14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Comparison'!$D$5:$D$14</c:f>
              <c:numCache>
                <c:formatCode>0.00</c:formatCode>
                <c:ptCount val="10"/>
                <c:pt idx="0">
                  <c:v>243.56730204527</c:v>
                </c:pt>
                <c:pt idx="1">
                  <c:v>6579.6972072928402</c:v>
                </c:pt>
                <c:pt idx="2">
                  <c:v>234.46569086401999</c:v>
                </c:pt>
                <c:pt idx="3">
                  <c:v>1745.6004688366977</c:v>
                </c:pt>
                <c:pt idx="4">
                  <c:v>523.40201089084007</c:v>
                </c:pt>
                <c:pt idx="5">
                  <c:v>197.84025848705687</c:v>
                </c:pt>
                <c:pt idx="6">
                  <c:v>19.65912200975</c:v>
                </c:pt>
                <c:pt idx="7">
                  <c:v>151.17972714062259</c:v>
                </c:pt>
                <c:pt idx="8">
                  <c:v>54.375339137924399</c:v>
                </c:pt>
                <c:pt idx="9">
                  <c:v>33.270743515779998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8B-4F8F-9F2E-9F3787162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4751456"/>
        <c:axId val="314747712"/>
        <c:axId val="2099271168"/>
      </c:line3DChart>
      <c:catAx>
        <c:axId val="31475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747712"/>
        <c:crosses val="autoZero"/>
        <c:auto val="1"/>
        <c:lblAlgn val="ctr"/>
        <c:lblOffset val="100"/>
        <c:noMultiLvlLbl val="0"/>
      </c:catAx>
      <c:valAx>
        <c:axId val="31474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751456"/>
        <c:crosses val="autoZero"/>
        <c:crossBetween val="between"/>
      </c:valAx>
      <c:serAx>
        <c:axId val="209927116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747712"/>
        <c:crosses val="autoZero"/>
      </c:ser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8"/>
          <c:y val="0.16516634114243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Sep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852-474D-BC9E-9D40A29E6F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852-474D-BC9E-9D40A29E6F9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852-474D-BC9E-9D40A29E6F9D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852-474D-BC9E-9D40A29E6F9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852-474D-BC9E-9D40A29E6F9D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852-474D-BC9E-9D40A29E6F9D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852-474D-BC9E-9D40A29E6F9D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2852-474D-BC9E-9D40A29E6F9D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2852-474D-BC9E-9D40A29E6F9D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852-474D-BC9E-9D40A29E6F9D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852-474D-BC9E-9D40A29E6F9D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852-474D-BC9E-9D40A29E6F9D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852-474D-BC9E-9D40A29E6F9D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852-474D-BC9E-9D40A29E6F9D}"/>
                </c:ext>
              </c:extLst>
            </c:dLbl>
            <c:dLbl>
              <c:idx val="5"/>
              <c:layout>
                <c:manualLayout>
                  <c:x val="2.9649290241234302E-2"/>
                  <c:y val="-0.15207084136351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852-474D-BC9E-9D40A29E6F9D}"/>
                </c:ext>
              </c:extLst>
            </c:dLbl>
            <c:dLbl>
              <c:idx val="6"/>
              <c:layout>
                <c:manualLayout>
                  <c:x val="0.15913713022161299"/>
                  <c:y val="4.05882891525261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852-474D-BC9E-9D40A29E6F9D}"/>
                </c:ext>
              </c:extLst>
            </c:dLbl>
            <c:dLbl>
              <c:idx val="7"/>
              <c:layout>
                <c:manualLayout>
                  <c:x val="0.112169430842536"/>
                  <c:y val="0.1197241205136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2852-474D-BC9E-9D40A29E6F9D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9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2852-474D-BC9E-9D40A29E6F9D}"/>
                </c:ext>
              </c:extLst>
            </c:dLbl>
            <c:dLbl>
              <c:idx val="9"/>
              <c:layout>
                <c:manualLayout>
                  <c:x val="0.12143998735776008"/>
                  <c:y val="0.1187932377075351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F0E-4431-874B-AD9ACB9E8701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804030504040204" pitchFamily="34" charset="0"/>
                    <a:ea typeface="Tahoma" panose="020B0804030504040204" pitchFamily="34" charset="0"/>
                    <a:cs typeface="Tahoma" panose="020B08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Share'!$A$2:$A$11</c:f>
              <c:strCache>
                <c:ptCount val="10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  <c:pt idx="9">
                  <c:v>EXCHANGE TRADED FUNDS</c:v>
                </c:pt>
              </c:strCache>
            </c:strRef>
          </c:cat>
          <c:val>
            <c:numRef>
              <c:f>'Market Share'!$B$2:$B$11</c:f>
              <c:numCache>
                <c:formatCode>_-* #,##0.00_-;\-* #,##0.00_-;_-* "-"??_-;_-@_-</c:formatCode>
                <c:ptCount val="10"/>
                <c:pt idx="0">
                  <c:v>19659122009.75</c:v>
                </c:pt>
                <c:pt idx="1">
                  <c:v>54375339137.9244</c:v>
                </c:pt>
                <c:pt idx="2">
                  <c:v>151179727140.62259</c:v>
                </c:pt>
                <c:pt idx="3" formatCode="#,##0.00">
                  <c:v>243567302045.26999</c:v>
                </c:pt>
                <c:pt idx="4" formatCode="#,##0.00">
                  <c:v>197840258487.05688</c:v>
                </c:pt>
                <c:pt idx="5" formatCode="#,##0.00">
                  <c:v>234465690864.01999</c:v>
                </c:pt>
                <c:pt idx="6" formatCode="#,##0.00">
                  <c:v>523402010890.84003</c:v>
                </c:pt>
                <c:pt idx="7" formatCode="#,##0.00">
                  <c:v>1745600468836.6978</c:v>
                </c:pt>
                <c:pt idx="8" formatCode="#,##0.00">
                  <c:v>6579697207292.8398</c:v>
                </c:pt>
                <c:pt idx="9">
                  <c:v>33270743515.779999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852-474D-BC9E-9D40A29E6F9D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d72fdb7d-1ed2-471c-ac92-45d49fa9d76d}"/>
      </c:ext>
    </c:extLst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Unitholders!$A$6:$A$15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Unitholders!$B$6:$B$15</c:f>
              <c:numCache>
                <c:formatCode>_(* #,##0_);_(* \(#,##0\);_(* "-"??_);_(@_)</c:formatCode>
                <c:ptCount val="10"/>
                <c:pt idx="0">
                  <c:v>120759</c:v>
                </c:pt>
                <c:pt idx="1">
                  <c:v>858516</c:v>
                </c:pt>
                <c:pt idx="2">
                  <c:v>71197</c:v>
                </c:pt>
                <c:pt idx="3">
                  <c:v>32114</c:v>
                </c:pt>
                <c:pt idx="4">
                  <c:v>236675</c:v>
                </c:pt>
                <c:pt idx="5">
                  <c:v>107852</c:v>
                </c:pt>
                <c:pt idx="6">
                  <c:v>20027</c:v>
                </c:pt>
                <c:pt idx="7">
                  <c:v>63991</c:v>
                </c:pt>
                <c:pt idx="8" formatCode="_-* #,##0_-;\-* #,##0_-;_-* &quot;-&quot;??_-;_-@_-">
                  <c:v>308</c:v>
                </c:pt>
                <c:pt idx="9" formatCode="_-* #,##0_-;\-* #,##0_-;_-* &quot;-&quot;??_-;_-@_-">
                  <c:v>52541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2-4526-ADC8-D8D2FFDA58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978094f0-96cf-4234-a22f-cc5dd80dc40f}"/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395</xdr:row>
      <xdr:rowOff>119380</xdr:rowOff>
    </xdr:from>
    <xdr:to>
      <xdr:col>8</xdr:col>
      <xdr:colOff>844550</xdr:colOff>
      <xdr:row>395</xdr:row>
      <xdr:rowOff>119380</xdr:rowOff>
    </xdr:to>
    <xdr:cxnSp macro="">
      <xdr:nvCxnSpPr>
        <xdr:cNvPr id="2" name="AutoShape 245" hidden="1"/>
        <xdr:cNvCxnSpPr>
          <a:cxnSpLocks noChangeShapeType="1"/>
        </xdr:cNvCxnSpPr>
      </xdr:nvCxnSpPr>
      <xdr:spPr>
        <a:xfrm>
          <a:off x="14693900" y="8050466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396</xdr:row>
      <xdr:rowOff>106680</xdr:rowOff>
    </xdr:from>
    <xdr:to>
      <xdr:col>8</xdr:col>
      <xdr:colOff>996950</xdr:colOff>
      <xdr:row>396</xdr:row>
      <xdr:rowOff>106680</xdr:rowOff>
    </xdr:to>
    <xdr:cxnSp macro="">
      <xdr:nvCxnSpPr>
        <xdr:cNvPr id="3" name="AutoShape 245" hidden="1"/>
        <xdr:cNvCxnSpPr>
          <a:cxnSpLocks noChangeShapeType="1"/>
        </xdr:cNvCxnSpPr>
      </xdr:nvCxnSpPr>
      <xdr:spPr>
        <a:xfrm>
          <a:off x="14846300" y="8070532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282</xdr:row>
      <xdr:rowOff>127635</xdr:rowOff>
    </xdr:from>
    <xdr:to>
      <xdr:col>10</xdr:col>
      <xdr:colOff>1416050</xdr:colOff>
      <xdr:row>282</xdr:row>
      <xdr:rowOff>127635</xdr:rowOff>
    </xdr:to>
    <xdr:cxnSp macro="">
      <xdr:nvCxnSpPr>
        <xdr:cNvPr id="4" name="AutoShape 159" hidden="1"/>
        <xdr:cNvCxnSpPr>
          <a:cxnSpLocks noChangeShapeType="1"/>
        </xdr:cNvCxnSpPr>
      </xdr:nvCxnSpPr>
      <xdr:spPr>
        <a:xfrm>
          <a:off x="15859125" y="56403240"/>
          <a:ext cx="393573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251460</xdr:colOff>
      <xdr:row>24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609600</xdr:colOff>
      <xdr:row>22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Update%20on%20Registered%20Mutual%20Funds%20as%20at%20Augu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gust"/>
      <sheetName val="NAV Comparison"/>
      <sheetName val="Market Share"/>
      <sheetName val="Unitholders"/>
    </sheetNames>
    <sheetDataSet>
      <sheetData sheetId="0">
        <row r="25">
          <cell r="K25">
            <v>233722786971.53998</v>
          </cell>
        </row>
        <row r="76">
          <cell r="K76">
            <v>6448537446804.9941</v>
          </cell>
        </row>
        <row r="117">
          <cell r="K117">
            <v>235105875555.32999</v>
          </cell>
        </row>
        <row r="161">
          <cell r="K161">
            <v>1752509777183.8987</v>
          </cell>
        </row>
        <row r="170">
          <cell r="K170">
            <v>522418155936.65997</v>
          </cell>
        </row>
        <row r="203">
          <cell r="K203">
            <v>157761473200.11411</v>
          </cell>
        </row>
        <row r="209">
          <cell r="K209">
            <v>19659122009.75</v>
          </cell>
        </row>
        <row r="237">
          <cell r="K237">
            <v>147962945213.81848</v>
          </cell>
        </row>
        <row r="248">
          <cell r="K248">
            <v>53951383945.732597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B276"/>
  <sheetViews>
    <sheetView tabSelected="1" view="pageBreakPreview" zoomScale="120" zoomScaleNormal="70" workbookViewId="0">
      <pane ySplit="2" topLeftCell="A3" activePane="bottomLeft" state="frozen"/>
      <selection pane="bottomLeft" activeCell="A3" sqref="A3:V3"/>
    </sheetView>
  </sheetViews>
  <sheetFormatPr defaultColWidth="9" defaultRowHeight="14.4"/>
  <cols>
    <col min="1" max="1" width="6.77734375" style="15" customWidth="1"/>
    <col min="2" max="2" width="44.77734375" style="16" customWidth="1"/>
    <col min="3" max="3" width="46.77734375" style="17" customWidth="1"/>
    <col min="4" max="4" width="21.5546875" style="18" customWidth="1"/>
    <col min="5" max="6" width="19.21875" style="18" customWidth="1"/>
    <col min="7" max="7" width="19.77734375" style="18" customWidth="1"/>
    <col min="8" max="8" width="20" style="18" customWidth="1"/>
    <col min="9" max="9" width="22" style="18" customWidth="1"/>
    <col min="10" max="10" width="9" style="18"/>
    <col min="11" max="11" width="22.44140625" style="18" customWidth="1"/>
    <col min="12" max="12" width="9" style="18"/>
    <col min="13" max="13" width="11.5546875" style="18" customWidth="1"/>
    <col min="14" max="14" width="12.21875" style="18" customWidth="1"/>
    <col min="15" max="15" width="12.5546875" style="18" customWidth="1"/>
    <col min="16" max="17" width="12.21875" style="18" customWidth="1"/>
    <col min="18" max="18" width="14.44140625" style="18" customWidth="1"/>
    <col min="19" max="19" width="13.21875" style="18" customWidth="1"/>
    <col min="20" max="20" width="16.44140625" style="18" customWidth="1"/>
    <col min="21" max="23" width="20.21875" style="18" customWidth="1"/>
    <col min="24" max="16350" width="9" style="18"/>
    <col min="16383" max="16384" width="9" style="18"/>
  </cols>
  <sheetData>
    <row r="1" spans="1:23" ht="40.049999999999997" customHeight="1">
      <c r="A1" s="168" t="s">
        <v>0</v>
      </c>
      <c r="B1" s="169"/>
      <c r="C1" s="170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9"/>
    </row>
    <row r="2" spans="1:23" ht="40.200000000000003" customHeight="1">
      <c r="A2" s="20" t="s">
        <v>1</v>
      </c>
      <c r="B2" s="21" t="s">
        <v>2</v>
      </c>
      <c r="C2" s="21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2" t="s">
        <v>8</v>
      </c>
      <c r="I2" s="20" t="s">
        <v>9</v>
      </c>
      <c r="J2" s="20" t="s">
        <v>10</v>
      </c>
      <c r="K2" s="20" t="s">
        <v>11</v>
      </c>
      <c r="L2" s="20" t="s">
        <v>10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16</v>
      </c>
      <c r="R2" s="20" t="s">
        <v>17</v>
      </c>
      <c r="S2" s="20" t="s">
        <v>18</v>
      </c>
      <c r="T2" s="20" t="s">
        <v>19</v>
      </c>
      <c r="U2" s="20" t="s">
        <v>20</v>
      </c>
      <c r="V2" s="20" t="s">
        <v>21</v>
      </c>
      <c r="W2" s="23"/>
    </row>
    <row r="3" spans="1:23" ht="6" customHeight="1">
      <c r="A3" s="172"/>
      <c r="B3" s="173"/>
      <c r="C3" s="173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24"/>
    </row>
    <row r="4" spans="1:23" ht="16.5" customHeight="1">
      <c r="A4" s="174" t="s">
        <v>22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24"/>
    </row>
    <row r="5" spans="1:23" ht="15" customHeight="1">
      <c r="A5" s="167">
        <v>1</v>
      </c>
      <c r="B5" s="66" t="s">
        <v>23</v>
      </c>
      <c r="C5" s="66" t="s">
        <v>24</v>
      </c>
      <c r="D5" s="67">
        <v>11582849255.26</v>
      </c>
      <c r="E5" s="67">
        <v>70049012.260000005</v>
      </c>
      <c r="F5" s="67">
        <v>3838707672.0999999</v>
      </c>
      <c r="G5" s="67">
        <v>19316753.109999999</v>
      </c>
      <c r="H5" s="68">
        <f>(E5+F5)-G5</f>
        <v>3889439931.25</v>
      </c>
      <c r="I5" s="71">
        <v>11849816211.75</v>
      </c>
      <c r="J5" s="70">
        <f t="shared" ref="J5:J26" si="0">(I5/$I$27)</f>
        <v>5.0700303403420105E-2</v>
      </c>
      <c r="K5" s="71">
        <v>11905696423.25</v>
      </c>
      <c r="L5" s="70">
        <f t="shared" ref="L5:L26" si="1">(K5/$K$27)</f>
        <v>4.8880520181798372E-2</v>
      </c>
      <c r="M5" s="70">
        <f t="shared" ref="M5:M27" si="2">((K5-I5)/I5)</f>
        <v>4.7157028009084641E-3</v>
      </c>
      <c r="N5" s="72">
        <f t="shared" ref="N5" si="3">(G5/K5)</f>
        <v>1.62247989729331E-3</v>
      </c>
      <c r="O5" s="73">
        <f t="shared" ref="O5" si="4">H5/K5</f>
        <v>0.32668730941724</v>
      </c>
      <c r="P5" s="74">
        <f t="shared" ref="P5" si="5">K5/V5</f>
        <v>911.93140528986601</v>
      </c>
      <c r="Q5" s="74">
        <f t="shared" ref="Q5" si="6">H5/V5</f>
        <v>297.91641716722899</v>
      </c>
      <c r="R5" s="75">
        <v>911.93</v>
      </c>
      <c r="S5" s="75">
        <v>911.93</v>
      </c>
      <c r="T5" s="75">
        <v>1709</v>
      </c>
      <c r="U5" s="67">
        <v>13409121.210000001</v>
      </c>
      <c r="V5" s="67">
        <v>13055473.640000001</v>
      </c>
      <c r="W5" s="25"/>
    </row>
    <row r="6" spans="1:23">
      <c r="A6" s="167">
        <v>2</v>
      </c>
      <c r="B6" s="66" t="s">
        <v>25</v>
      </c>
      <c r="C6" s="66" t="s">
        <v>26</v>
      </c>
      <c r="D6" s="67">
        <v>2341971235.9000001</v>
      </c>
      <c r="E6" s="189">
        <v>2478868.04</v>
      </c>
      <c r="F6" s="67">
        <v>824596001.79999995</v>
      </c>
      <c r="G6" s="67">
        <v>2908690.7</v>
      </c>
      <c r="H6" s="68">
        <f t="shared" ref="H6:H26" si="7">(E6+F6)-G6</f>
        <v>824166179.13999987</v>
      </c>
      <c r="I6" s="71">
        <v>2232029711.8299999</v>
      </c>
      <c r="J6" s="70">
        <f t="shared" si="0"/>
        <v>9.5499020046418935E-3</v>
      </c>
      <c r="K6" s="71">
        <v>2367259359.0100002</v>
      </c>
      <c r="L6" s="70">
        <f t="shared" si="1"/>
        <v>9.7191180389640964E-3</v>
      </c>
      <c r="M6" s="70">
        <f t="shared" ref="M6:M26" si="8">((K6-I6)/I6)</f>
        <v>6.058595298407924E-2</v>
      </c>
      <c r="N6" s="72">
        <f t="shared" ref="N6:N26" si="9">(G6/K6)</f>
        <v>1.2287165277979635E-3</v>
      </c>
      <c r="O6" s="73">
        <f t="shared" ref="O6:O26" si="10">H6/K6</f>
        <v>0.34815204172840203</v>
      </c>
      <c r="P6" s="74">
        <f t="shared" ref="P6:P26" si="11">K6/V6</f>
        <v>600.98334246286197</v>
      </c>
      <c r="Q6" s="74">
        <f t="shared" ref="Q6:Q26" si="12">H6/V6</f>
        <v>209.23357772320486</v>
      </c>
      <c r="R6" s="75">
        <v>595.25</v>
      </c>
      <c r="S6" s="75">
        <v>603.92999999999995</v>
      </c>
      <c r="T6" s="75">
        <v>692</v>
      </c>
      <c r="U6" s="67">
        <v>3798435.24</v>
      </c>
      <c r="V6" s="67">
        <v>3938976.66</v>
      </c>
      <c r="W6" s="25"/>
    </row>
    <row r="7" spans="1:23">
      <c r="A7" s="167">
        <v>3</v>
      </c>
      <c r="B7" s="66" t="s">
        <v>27</v>
      </c>
      <c r="C7" s="76" t="s">
        <v>28</v>
      </c>
      <c r="D7" s="67">
        <v>16456786245</v>
      </c>
      <c r="E7" s="67">
        <v>142050327</v>
      </c>
      <c r="F7" s="67">
        <v>507674937</v>
      </c>
      <c r="G7" s="67">
        <v>33940681</v>
      </c>
      <c r="H7" s="68">
        <f t="shared" si="7"/>
        <v>615784583</v>
      </c>
      <c r="I7" s="71">
        <v>18153216351</v>
      </c>
      <c r="J7" s="70">
        <f t="shared" si="0"/>
        <v>7.7669860890416664E-2</v>
      </c>
      <c r="K7" s="71">
        <v>18242326781</v>
      </c>
      <c r="L7" s="70">
        <f t="shared" si="1"/>
        <v>7.4896452142042602E-2</v>
      </c>
      <c r="M7" s="70">
        <f t="shared" si="8"/>
        <v>4.9087956798956568E-3</v>
      </c>
      <c r="N7" s="72">
        <f t="shared" si="9"/>
        <v>1.8605456095299403E-3</v>
      </c>
      <c r="O7" s="73">
        <f t="shared" si="10"/>
        <v>3.3755813630164791E-2</v>
      </c>
      <c r="P7" s="74">
        <f t="shared" si="11"/>
        <v>74.048991777429322</v>
      </c>
      <c r="Q7" s="74">
        <f t="shared" si="12"/>
        <v>2.4995839659405097</v>
      </c>
      <c r="R7" s="75">
        <v>73.678799999999995</v>
      </c>
      <c r="S7" s="75">
        <v>75.900199999999998</v>
      </c>
      <c r="T7" s="67">
        <v>13180</v>
      </c>
      <c r="U7" s="67">
        <v>253219323</v>
      </c>
      <c r="V7" s="67">
        <v>246354830</v>
      </c>
      <c r="W7" s="25"/>
    </row>
    <row r="8" spans="1:23">
      <c r="A8" s="167">
        <v>4</v>
      </c>
      <c r="B8" s="77" t="s">
        <v>29</v>
      </c>
      <c r="C8" s="77" t="s">
        <v>30</v>
      </c>
      <c r="D8" s="67">
        <v>2915138844.79</v>
      </c>
      <c r="E8" s="67">
        <v>14274363.550000001</v>
      </c>
      <c r="F8" s="75">
        <v>0</v>
      </c>
      <c r="G8" s="67">
        <v>5127225.6100000003</v>
      </c>
      <c r="H8" s="68">
        <f t="shared" si="7"/>
        <v>9147137.9400000013</v>
      </c>
      <c r="I8" s="71">
        <v>3645411214.7399998</v>
      </c>
      <c r="J8" s="70">
        <f t="shared" si="0"/>
        <v>1.5597157906489859E-2</v>
      </c>
      <c r="K8" s="71">
        <v>3895887232.1399999</v>
      </c>
      <c r="L8" s="70">
        <f t="shared" si="1"/>
        <v>1.5995115926586489E-2</v>
      </c>
      <c r="M8" s="70">
        <f t="shared" si="8"/>
        <v>6.8709948657428674E-2</v>
      </c>
      <c r="N8" s="72">
        <f t="shared" si="9"/>
        <v>1.3160610932733876E-3</v>
      </c>
      <c r="O8" s="73">
        <f t="shared" si="10"/>
        <v>2.3478959720750195E-3</v>
      </c>
      <c r="P8" s="74">
        <f t="shared" si="11"/>
        <v>364.71586186722709</v>
      </c>
      <c r="Q8" s="74">
        <f t="shared" si="12"/>
        <v>0.85631490302993163</v>
      </c>
      <c r="R8" s="75">
        <v>362.89229999999998</v>
      </c>
      <c r="S8" s="75">
        <v>366.5394</v>
      </c>
      <c r="T8" s="75">
        <v>3010</v>
      </c>
      <c r="U8" s="67">
        <v>10271853.720000001</v>
      </c>
      <c r="V8" s="67">
        <v>10681979.15</v>
      </c>
      <c r="W8" s="25"/>
    </row>
    <row r="9" spans="1:23">
      <c r="A9" s="167">
        <v>5</v>
      </c>
      <c r="B9" s="66" t="s">
        <v>31</v>
      </c>
      <c r="C9" s="76" t="s">
        <v>32</v>
      </c>
      <c r="D9" s="67">
        <v>13800512446.299999</v>
      </c>
      <c r="E9" s="67">
        <v>126135370.27</v>
      </c>
      <c r="F9" s="67">
        <v>456234994.43000001</v>
      </c>
      <c r="G9" s="67">
        <v>16246484.93</v>
      </c>
      <c r="H9" s="68">
        <f t="shared" si="7"/>
        <v>566123879.7700001</v>
      </c>
      <c r="I9" s="71">
        <v>12692850116.959999</v>
      </c>
      <c r="J9" s="70">
        <f t="shared" si="0"/>
        <v>5.4307285487339263E-2</v>
      </c>
      <c r="K9" s="71">
        <v>13958399227.309999</v>
      </c>
      <c r="L9" s="70">
        <f t="shared" si="1"/>
        <v>5.7308181804779604E-2</v>
      </c>
      <c r="M9" s="70">
        <f t="shared" si="8"/>
        <v>9.9705668836268094E-2</v>
      </c>
      <c r="N9" s="72">
        <f t="shared" si="9"/>
        <v>1.1639217839688448E-3</v>
      </c>
      <c r="O9" s="73">
        <f t="shared" si="10"/>
        <v>4.0557937235550824E-2</v>
      </c>
      <c r="P9" s="74">
        <f t="shared" si="11"/>
        <v>2.9890712030591775</v>
      </c>
      <c r="Q9" s="74">
        <f t="shared" si="12"/>
        <v>0.12123056224626651</v>
      </c>
      <c r="R9" s="67">
        <v>2.9605000000000001</v>
      </c>
      <c r="S9" s="75">
        <v>3.0004</v>
      </c>
      <c r="T9" s="75">
        <v>3508</v>
      </c>
      <c r="U9" s="67">
        <v>4436882549.5200005</v>
      </c>
      <c r="V9" s="67">
        <v>4669811549.8299999</v>
      </c>
      <c r="W9" s="25"/>
    </row>
    <row r="10" spans="1:23">
      <c r="A10" s="167">
        <v>6</v>
      </c>
      <c r="B10" s="66" t="s">
        <v>33</v>
      </c>
      <c r="C10" s="76" t="s">
        <v>34</v>
      </c>
      <c r="D10" s="67">
        <v>1019470574.17</v>
      </c>
      <c r="E10" s="67">
        <v>1852670.3</v>
      </c>
      <c r="F10" s="67">
        <v>49059128.890000001</v>
      </c>
      <c r="G10" s="67">
        <v>2544200.89</v>
      </c>
      <c r="H10" s="68">
        <f t="shared" si="7"/>
        <v>48367598.299999997</v>
      </c>
      <c r="I10" s="69">
        <v>0</v>
      </c>
      <c r="J10" s="70">
        <f t="shared" si="0"/>
        <v>0</v>
      </c>
      <c r="K10" s="71">
        <v>1021958461.34</v>
      </c>
      <c r="L10" s="70">
        <f t="shared" si="1"/>
        <v>4.1957949723073111E-3</v>
      </c>
      <c r="M10" s="70" t="e">
        <f t="shared" si="8"/>
        <v>#DIV/0!</v>
      </c>
      <c r="N10" s="72">
        <f t="shared" si="9"/>
        <v>2.4895345420047933E-3</v>
      </c>
      <c r="O10" s="73">
        <f t="shared" si="10"/>
        <v>4.7328340759153771E-2</v>
      </c>
      <c r="P10" s="74">
        <f t="shared" si="11"/>
        <v>1.0346078500721467</v>
      </c>
      <c r="Q10" s="74">
        <f t="shared" si="12"/>
        <v>4.8966272880310031E-2</v>
      </c>
      <c r="R10" s="67">
        <v>1.0175000000000001</v>
      </c>
      <c r="S10" s="75">
        <v>1.0456000000000001</v>
      </c>
      <c r="T10" s="75">
        <v>876</v>
      </c>
      <c r="U10" s="67">
        <v>936731223.42999995</v>
      </c>
      <c r="V10" s="67">
        <v>987773735.98000002</v>
      </c>
      <c r="W10" s="25"/>
    </row>
    <row r="11" spans="1:23">
      <c r="A11" s="167">
        <v>7</v>
      </c>
      <c r="B11" s="78" t="s">
        <v>35</v>
      </c>
      <c r="C11" s="79" t="s">
        <v>36</v>
      </c>
      <c r="D11" s="75">
        <v>833955234.28999996</v>
      </c>
      <c r="E11" s="75">
        <v>3170350.16</v>
      </c>
      <c r="F11" s="80">
        <v>238733381.81999999</v>
      </c>
      <c r="G11" s="75">
        <v>1929563.9200007501</v>
      </c>
      <c r="H11" s="68">
        <f t="shared" si="7"/>
        <v>239974168.05999923</v>
      </c>
      <c r="I11" s="80">
        <v>745873360.05999994</v>
      </c>
      <c r="J11" s="70">
        <f t="shared" si="0"/>
        <v>3.1912736011950075E-3</v>
      </c>
      <c r="K11" s="80">
        <v>913804962.16999996</v>
      </c>
      <c r="L11" s="70">
        <f t="shared" si="1"/>
        <v>3.7517554880997861E-3</v>
      </c>
      <c r="M11" s="70">
        <f t="shared" si="8"/>
        <v>0.22514760695634869</v>
      </c>
      <c r="N11" s="72">
        <f t="shared" si="9"/>
        <v>2.1115708492309361E-3</v>
      </c>
      <c r="O11" s="73">
        <f t="shared" si="10"/>
        <v>0.26260983250751441</v>
      </c>
      <c r="P11" s="74">
        <f t="shared" si="11"/>
        <v>353.45430965470365</v>
      </c>
      <c r="Q11" s="74">
        <f t="shared" si="12"/>
        <v>92.820577057480861</v>
      </c>
      <c r="R11" s="75">
        <v>353.45430965470399</v>
      </c>
      <c r="S11" s="75">
        <v>357.70335427440102</v>
      </c>
      <c r="T11" s="75">
        <v>219</v>
      </c>
      <c r="U11" s="67">
        <v>2213898.54</v>
      </c>
      <c r="V11" s="67">
        <v>2585355.27</v>
      </c>
      <c r="W11" s="25"/>
    </row>
    <row r="12" spans="1:23">
      <c r="A12" s="167">
        <v>8</v>
      </c>
      <c r="B12" s="66" t="s">
        <v>37</v>
      </c>
      <c r="C12" s="66" t="s">
        <v>168</v>
      </c>
      <c r="D12" s="67">
        <v>4098639561.77</v>
      </c>
      <c r="E12" s="67">
        <v>33668484.719999999</v>
      </c>
      <c r="F12" s="75">
        <v>0</v>
      </c>
      <c r="G12" s="67">
        <v>7302629.2199999997</v>
      </c>
      <c r="H12" s="68">
        <f t="shared" si="7"/>
        <v>26365855.5</v>
      </c>
      <c r="I12" s="71">
        <v>4246328776.8499999</v>
      </c>
      <c r="J12" s="70">
        <f t="shared" si="0"/>
        <v>1.8168227547992861E-2</v>
      </c>
      <c r="K12" s="71">
        <v>4319000345.0100002</v>
      </c>
      <c r="L12" s="70">
        <f t="shared" si="1"/>
        <v>1.7732266641469225E-2</v>
      </c>
      <c r="M12" s="70">
        <f t="shared" si="8"/>
        <v>1.7113975855140767E-2</v>
      </c>
      <c r="N12" s="72">
        <f t="shared" si="9"/>
        <v>1.6908146878101468E-3</v>
      </c>
      <c r="O12" s="73">
        <f t="shared" si="10"/>
        <v>6.1046199105915912E-3</v>
      </c>
      <c r="P12" s="74">
        <f t="shared" si="11"/>
        <v>8.5189180787247452</v>
      </c>
      <c r="Q12" s="74">
        <f t="shared" si="12"/>
        <v>5.2004756920081746E-2</v>
      </c>
      <c r="R12" s="75">
        <v>8.42</v>
      </c>
      <c r="S12" s="75">
        <v>8.57</v>
      </c>
      <c r="T12" s="75">
        <v>3861</v>
      </c>
      <c r="U12" s="67">
        <v>511964638</v>
      </c>
      <c r="V12" s="67">
        <v>506989303.69999999</v>
      </c>
      <c r="W12" s="25"/>
    </row>
    <row r="13" spans="1:23">
      <c r="A13" s="167">
        <v>9</v>
      </c>
      <c r="B13" s="66" t="s">
        <v>38</v>
      </c>
      <c r="C13" s="66" t="s">
        <v>170</v>
      </c>
      <c r="D13" s="67">
        <v>7063999191.54</v>
      </c>
      <c r="E13" s="67">
        <v>27128766.039999999</v>
      </c>
      <c r="F13" s="67">
        <v>-187774644.09999999</v>
      </c>
      <c r="G13" s="67">
        <v>11266192.77</v>
      </c>
      <c r="H13" s="68">
        <f t="shared" si="7"/>
        <v>-171912070.83000001</v>
      </c>
      <c r="I13" s="71">
        <v>6850378608.0799999</v>
      </c>
      <c r="J13" s="70">
        <f t="shared" si="0"/>
        <v>2.9309844781690707E-2</v>
      </c>
      <c r="K13" s="71">
        <v>6835829098.2200003</v>
      </c>
      <c r="L13" s="70">
        <f t="shared" si="1"/>
        <v>2.8065462978070336E-2</v>
      </c>
      <c r="M13" s="70">
        <f t="shared" si="8"/>
        <v>-2.1238986474176121E-3</v>
      </c>
      <c r="N13" s="72">
        <f t="shared" si="9"/>
        <v>1.6481091917487571E-3</v>
      </c>
      <c r="O13" s="73">
        <f t="shared" si="10"/>
        <v>-2.5148678874193132E-2</v>
      </c>
      <c r="P13" s="74">
        <f t="shared" si="11"/>
        <v>595.73761081226451</v>
      </c>
      <c r="Q13" s="74">
        <f t="shared" si="12"/>
        <v>-14.982013867596686</v>
      </c>
      <c r="R13" s="75">
        <v>595.74</v>
      </c>
      <c r="S13" s="75">
        <v>603.45000000000005</v>
      </c>
      <c r="T13" s="75">
        <v>3115</v>
      </c>
      <c r="U13" s="67">
        <v>11503976.23</v>
      </c>
      <c r="V13" s="67">
        <v>11474563.59</v>
      </c>
      <c r="W13" s="25"/>
    </row>
    <row r="14" spans="1:23">
      <c r="A14" s="167">
        <v>10</v>
      </c>
      <c r="B14" s="66" t="s">
        <v>39</v>
      </c>
      <c r="C14" s="76" t="s">
        <v>40</v>
      </c>
      <c r="D14" s="67">
        <v>710055239.80999994</v>
      </c>
      <c r="E14" s="67">
        <v>7400225.9100000001</v>
      </c>
      <c r="F14" s="67">
        <v>0</v>
      </c>
      <c r="G14" s="67">
        <v>1955355.35</v>
      </c>
      <c r="H14" s="68">
        <f t="shared" si="7"/>
        <v>5444870.5600000005</v>
      </c>
      <c r="I14" s="71">
        <v>636635448.10000002</v>
      </c>
      <c r="J14" s="70">
        <f t="shared" si="0"/>
        <v>2.723891223227293E-3</v>
      </c>
      <c r="K14" s="71">
        <v>675594959.85000002</v>
      </c>
      <c r="L14" s="70">
        <f t="shared" si="1"/>
        <v>2.7737506396668644E-3</v>
      </c>
      <c r="M14" s="70">
        <f t="shared" si="8"/>
        <v>6.1195951099286577E-2</v>
      </c>
      <c r="N14" s="72">
        <f t="shared" si="9"/>
        <v>2.8942716660203338E-3</v>
      </c>
      <c r="O14" s="73">
        <f t="shared" si="10"/>
        <v>8.0593711966248319E-3</v>
      </c>
      <c r="P14" s="74">
        <f t="shared" si="11"/>
        <v>336.63944025053814</v>
      </c>
      <c r="Q14" s="74">
        <f t="shared" si="12"/>
        <v>2.7131022084030936</v>
      </c>
      <c r="R14" s="75">
        <v>336.64</v>
      </c>
      <c r="S14" s="75">
        <v>349.41</v>
      </c>
      <c r="T14" s="75">
        <v>2475</v>
      </c>
      <c r="U14" s="67">
        <v>2006880</v>
      </c>
      <c r="V14" s="67">
        <v>2006880</v>
      </c>
      <c r="W14" s="25"/>
    </row>
    <row r="15" spans="1:23">
      <c r="A15" s="167">
        <v>11</v>
      </c>
      <c r="B15" s="66" t="s">
        <v>41</v>
      </c>
      <c r="C15" s="66" t="s">
        <v>42</v>
      </c>
      <c r="D15" s="67">
        <v>197457389.91</v>
      </c>
      <c r="E15" s="67">
        <v>2390354.63</v>
      </c>
      <c r="F15" s="67">
        <v>39770471.490000002</v>
      </c>
      <c r="G15" s="67">
        <v>4628931.53</v>
      </c>
      <c r="H15" s="68">
        <f t="shared" si="7"/>
        <v>37531894.590000004</v>
      </c>
      <c r="I15" s="71">
        <v>208263532.99000001</v>
      </c>
      <c r="J15" s="70">
        <f t="shared" si="0"/>
        <v>8.9107072394853783E-4</v>
      </c>
      <c r="K15" s="71">
        <v>212075603.88999999</v>
      </c>
      <c r="L15" s="70">
        <f t="shared" si="1"/>
        <v>8.7070638016338955E-4</v>
      </c>
      <c r="M15" s="70">
        <f t="shared" si="8"/>
        <v>1.8304072946765081E-2</v>
      </c>
      <c r="N15" s="72">
        <f t="shared" si="9"/>
        <v>2.1826798769371644E-2</v>
      </c>
      <c r="O15" s="73">
        <f t="shared" si="10"/>
        <v>0.17697412574370017</v>
      </c>
      <c r="P15" s="74">
        <f t="shared" si="11"/>
        <v>527.62823205425366</v>
      </c>
      <c r="Q15" s="74">
        <f t="shared" si="12"/>
        <v>93.376545085495692</v>
      </c>
      <c r="R15" s="75">
        <v>518.41999999999996</v>
      </c>
      <c r="S15" s="75">
        <v>535.11</v>
      </c>
      <c r="T15" s="75">
        <v>84</v>
      </c>
      <c r="U15" s="67">
        <v>395041.66</v>
      </c>
      <c r="V15" s="67">
        <v>401941.35</v>
      </c>
      <c r="W15" s="25"/>
    </row>
    <row r="16" spans="1:23">
      <c r="A16" s="167">
        <v>12</v>
      </c>
      <c r="B16" s="76" t="s">
        <v>43</v>
      </c>
      <c r="C16" s="76" t="s">
        <v>44</v>
      </c>
      <c r="D16" s="67">
        <v>20064644905.860001</v>
      </c>
      <c r="E16" s="67">
        <v>57973088.240000002</v>
      </c>
      <c r="F16" s="67">
        <v>789393478.47000003</v>
      </c>
      <c r="G16" s="67">
        <v>34212018.380000003</v>
      </c>
      <c r="H16" s="68">
        <f t="shared" si="7"/>
        <v>813154548.33000004</v>
      </c>
      <c r="I16" s="71">
        <v>19446442864.23</v>
      </c>
      <c r="J16" s="70">
        <f t="shared" si="0"/>
        <v>8.3203024900597125E-2</v>
      </c>
      <c r="K16" s="71">
        <v>20208845250.52</v>
      </c>
      <c r="L16" s="70">
        <f t="shared" si="1"/>
        <v>8.2970271792738165E-2</v>
      </c>
      <c r="M16" s="70">
        <f t="shared" si="8"/>
        <v>3.9205236228183005E-2</v>
      </c>
      <c r="N16" s="72">
        <f t="shared" si="9"/>
        <v>1.6929229728808815E-3</v>
      </c>
      <c r="O16" s="73">
        <f t="shared" si="10"/>
        <v>4.0237556290311866E-2</v>
      </c>
      <c r="P16" s="74">
        <f t="shared" si="11"/>
        <v>5.6523074120623731</v>
      </c>
      <c r="Q16" s="74">
        <f t="shared" si="12"/>
        <v>0.22743503766300671</v>
      </c>
      <c r="R16" s="75">
        <v>5.64</v>
      </c>
      <c r="S16" s="75">
        <v>5.75</v>
      </c>
      <c r="T16" s="75">
        <v>20716</v>
      </c>
      <c r="U16" s="67">
        <v>3609406718.79</v>
      </c>
      <c r="V16" s="67">
        <v>3575326636.9400001</v>
      </c>
      <c r="W16" s="25"/>
    </row>
    <row r="17" spans="1:23">
      <c r="A17" s="167">
        <v>13</v>
      </c>
      <c r="B17" s="78" t="s">
        <v>45</v>
      </c>
      <c r="C17" s="79" t="s">
        <v>46</v>
      </c>
      <c r="D17" s="81">
        <v>380233391.06999999</v>
      </c>
      <c r="E17" s="67">
        <v>3306385.75</v>
      </c>
      <c r="F17" s="75">
        <v>0</v>
      </c>
      <c r="G17" s="67">
        <v>1191882.79</v>
      </c>
      <c r="H17" s="68">
        <f t="shared" si="7"/>
        <v>2114502.96</v>
      </c>
      <c r="I17" s="81">
        <v>443459869.31</v>
      </c>
      <c r="J17" s="70">
        <f t="shared" si="0"/>
        <v>1.8973754123683257E-3</v>
      </c>
      <c r="K17" s="81">
        <v>492321247.47000003</v>
      </c>
      <c r="L17" s="70">
        <f t="shared" si="1"/>
        <v>2.0212944978078217E-3</v>
      </c>
      <c r="M17" s="70">
        <f t="shared" si="8"/>
        <v>0.11018218680311645</v>
      </c>
      <c r="N17" s="72">
        <f t="shared" si="9"/>
        <v>2.4209452590660905E-3</v>
      </c>
      <c r="O17" s="73">
        <f t="shared" si="10"/>
        <v>4.2949658802382863E-3</v>
      </c>
      <c r="P17" s="74">
        <f t="shared" si="11"/>
        <v>45.305468111912838</v>
      </c>
      <c r="Q17" s="74">
        <f t="shared" si="12"/>
        <v>0.19458543972888934</v>
      </c>
      <c r="R17" s="75">
        <v>45.305467999999998</v>
      </c>
      <c r="S17" s="75">
        <v>45.653232000000003</v>
      </c>
      <c r="T17" s="75">
        <v>425</v>
      </c>
      <c r="U17" s="81">
        <v>9702215</v>
      </c>
      <c r="V17" s="81">
        <v>10866707</v>
      </c>
      <c r="W17" s="26"/>
    </row>
    <row r="18" spans="1:23">
      <c r="A18" s="167">
        <v>14</v>
      </c>
      <c r="B18" s="66" t="s">
        <v>47</v>
      </c>
      <c r="C18" s="66" t="s">
        <v>48</v>
      </c>
      <c r="D18" s="67">
        <v>8425490543.3900003</v>
      </c>
      <c r="E18" s="67">
        <v>46061426.310000002</v>
      </c>
      <c r="F18" s="67">
        <v>-253803773.15000001</v>
      </c>
      <c r="G18" s="67">
        <v>12889732.609999999</v>
      </c>
      <c r="H18" s="68">
        <f t="shared" si="7"/>
        <v>-220632079.44999999</v>
      </c>
      <c r="I18" s="71">
        <v>9816044763.0499992</v>
      </c>
      <c r="J18" s="70">
        <f t="shared" si="0"/>
        <v>4.1998663845495228E-2</v>
      </c>
      <c r="K18" s="71">
        <v>8868810482.8999996</v>
      </c>
      <c r="L18" s="70">
        <f t="shared" si="1"/>
        <v>3.6412155525094338E-2</v>
      </c>
      <c r="M18" s="70">
        <f t="shared" si="8"/>
        <v>-9.6498569741207976E-2</v>
      </c>
      <c r="N18" s="72">
        <f t="shared" si="9"/>
        <v>1.4533778385334495E-3</v>
      </c>
      <c r="O18" s="73">
        <f t="shared" si="10"/>
        <v>-2.4877302302873858E-2</v>
      </c>
      <c r="P18" s="74">
        <f t="shared" si="11"/>
        <v>47.941452398711839</v>
      </c>
      <c r="Q18" s="74">
        <f t="shared" si="12"/>
        <v>-1.1926540041615916</v>
      </c>
      <c r="R18" s="75">
        <v>47.77</v>
      </c>
      <c r="S18" s="75">
        <v>48.01</v>
      </c>
      <c r="T18" s="75">
        <v>2933</v>
      </c>
      <c r="U18" s="67">
        <v>211937176.75</v>
      </c>
      <c r="V18" s="67">
        <v>184992528.16</v>
      </c>
      <c r="W18" s="25"/>
    </row>
    <row r="19" spans="1:23">
      <c r="A19" s="167">
        <v>15</v>
      </c>
      <c r="B19" s="77" t="s">
        <v>49</v>
      </c>
      <c r="C19" s="77" t="s">
        <v>50</v>
      </c>
      <c r="D19" s="67">
        <v>413608627.72000003</v>
      </c>
      <c r="E19" s="67">
        <v>5950855.25</v>
      </c>
      <c r="F19" s="67">
        <v>153482327.31999999</v>
      </c>
      <c r="G19" s="67">
        <v>585215.9</v>
      </c>
      <c r="H19" s="68">
        <f t="shared" si="7"/>
        <v>158847966.66999999</v>
      </c>
      <c r="I19" s="71">
        <v>422882641.68000001</v>
      </c>
      <c r="J19" s="70">
        <f t="shared" si="0"/>
        <v>1.8093342423282574E-3</v>
      </c>
      <c r="K19" s="71">
        <v>415128598.38</v>
      </c>
      <c r="L19" s="70">
        <f t="shared" si="1"/>
        <v>1.7043691615997094E-3</v>
      </c>
      <c r="M19" s="70">
        <f t="shared" si="8"/>
        <v>-1.8336158867139272E-2</v>
      </c>
      <c r="N19" s="72">
        <f t="shared" si="9"/>
        <v>1.4097219567231686E-3</v>
      </c>
      <c r="O19" s="73">
        <f t="shared" si="10"/>
        <v>0.38264761158322774</v>
      </c>
      <c r="P19" s="74">
        <f t="shared" si="11"/>
        <v>3.1344844581696529</v>
      </c>
      <c r="Q19" s="74">
        <f t="shared" si="12"/>
        <v>1.1994029914633655</v>
      </c>
      <c r="R19" s="75">
        <v>3.01</v>
      </c>
      <c r="S19" s="75">
        <v>3.04</v>
      </c>
      <c r="T19" s="75">
        <v>53</v>
      </c>
      <c r="U19" s="67">
        <v>132338031</v>
      </c>
      <c r="V19" s="67">
        <v>132439195</v>
      </c>
      <c r="W19" s="25"/>
    </row>
    <row r="20" spans="1:23">
      <c r="A20" s="167">
        <v>16</v>
      </c>
      <c r="B20" s="66" t="s">
        <v>51</v>
      </c>
      <c r="C20" s="66" t="s">
        <v>52</v>
      </c>
      <c r="D20" s="67">
        <v>23479314636.799999</v>
      </c>
      <c r="E20" s="67">
        <v>619283687.07000005</v>
      </c>
      <c r="F20" s="67">
        <v>433987032.87</v>
      </c>
      <c r="G20" s="67">
        <v>37873199.890000001</v>
      </c>
      <c r="H20" s="68">
        <f t="shared" si="7"/>
        <v>1015397520.0500001</v>
      </c>
      <c r="I20" s="71">
        <v>22762973634.970001</v>
      </c>
      <c r="J20" s="70">
        <f t="shared" si="0"/>
        <v>9.7393043827351797E-2</v>
      </c>
      <c r="K20" s="71">
        <v>23363306308.450001</v>
      </c>
      <c r="L20" s="70">
        <f t="shared" si="1"/>
        <v>9.5921357720288911E-2</v>
      </c>
      <c r="M20" s="70">
        <f t="shared" si="8"/>
        <v>2.6373209542259819E-2</v>
      </c>
      <c r="N20" s="72">
        <f t="shared" si="9"/>
        <v>1.6210548023462795E-3</v>
      </c>
      <c r="O20" s="73">
        <f t="shared" si="10"/>
        <v>4.3461208214470602E-2</v>
      </c>
      <c r="P20" s="74">
        <f t="shared" si="11"/>
        <v>75.522142992247964</v>
      </c>
      <c r="Q20" s="74">
        <f t="shared" si="12"/>
        <v>3.2822835813891107</v>
      </c>
      <c r="R20" s="75">
        <v>75.522099999999995</v>
      </c>
      <c r="S20" s="75">
        <v>75.897099999999995</v>
      </c>
      <c r="T20" s="75">
        <v>19039</v>
      </c>
      <c r="U20" s="67">
        <v>315479310</v>
      </c>
      <c r="V20" s="67">
        <v>309357036</v>
      </c>
      <c r="W20" s="25"/>
    </row>
    <row r="21" spans="1:23">
      <c r="A21" s="167">
        <v>17</v>
      </c>
      <c r="B21" s="66" t="s">
        <v>53</v>
      </c>
      <c r="C21" s="66" t="s">
        <v>54</v>
      </c>
      <c r="D21" s="67">
        <v>118640343.98999999</v>
      </c>
      <c r="E21" s="67">
        <v>898988.87</v>
      </c>
      <c r="F21" s="67">
        <v>2005463.15</v>
      </c>
      <c r="G21" s="67">
        <v>221934.41</v>
      </c>
      <c r="H21" s="68">
        <f t="shared" si="7"/>
        <v>2682517.61</v>
      </c>
      <c r="I21" s="69">
        <v>0</v>
      </c>
      <c r="J21" s="70">
        <f t="shared" si="0"/>
        <v>0</v>
      </c>
      <c r="K21" s="71">
        <v>121613259.67</v>
      </c>
      <c r="L21" s="70">
        <f t="shared" si="1"/>
        <v>4.9930043420769459E-4</v>
      </c>
      <c r="M21" s="70" t="e">
        <f t="shared" si="8"/>
        <v>#DIV/0!</v>
      </c>
      <c r="N21" s="72">
        <f t="shared" si="9"/>
        <v>1.8249195079732543E-3</v>
      </c>
      <c r="O21" s="73">
        <f t="shared" si="10"/>
        <v>2.205777246065984E-2</v>
      </c>
      <c r="P21" s="74">
        <f t="shared" si="11"/>
        <v>1.0744585774253623</v>
      </c>
      <c r="Q21" s="74">
        <f t="shared" si="12"/>
        <v>2.3700162819252905E-2</v>
      </c>
      <c r="R21" s="75">
        <v>1.0684</v>
      </c>
      <c r="S21" s="75">
        <v>1.0777000000000001</v>
      </c>
      <c r="T21" s="75">
        <v>225</v>
      </c>
      <c r="U21" s="67">
        <v>114487413.54000001</v>
      </c>
      <c r="V21" s="67">
        <v>113185619.45999999</v>
      </c>
      <c r="W21" s="25"/>
    </row>
    <row r="22" spans="1:23">
      <c r="A22" s="167">
        <v>18</v>
      </c>
      <c r="B22" s="76" t="s">
        <v>55</v>
      </c>
      <c r="C22" s="66" t="s">
        <v>56</v>
      </c>
      <c r="D22" s="67">
        <v>4332314496.6000004</v>
      </c>
      <c r="E22" s="67">
        <v>1100072.8600000001</v>
      </c>
      <c r="F22" s="67">
        <v>149864033.38</v>
      </c>
      <c r="G22" s="67">
        <v>9723875.0500000007</v>
      </c>
      <c r="H22" s="68">
        <f t="shared" si="7"/>
        <v>141240231.19</v>
      </c>
      <c r="I22" s="71">
        <v>4250547458.5500002</v>
      </c>
      <c r="J22" s="70">
        <f t="shared" si="0"/>
        <v>1.8186277485505005E-2</v>
      </c>
      <c r="K22" s="71">
        <v>4381134023.3999996</v>
      </c>
      <c r="L22" s="70">
        <f t="shared" si="1"/>
        <v>1.7987365244065936E-2</v>
      </c>
      <c r="M22" s="70">
        <f t="shared" si="8"/>
        <v>3.0722293098345205E-2</v>
      </c>
      <c r="N22" s="72">
        <f t="shared" si="9"/>
        <v>2.2194881503428058E-3</v>
      </c>
      <c r="O22" s="73">
        <f t="shared" si="10"/>
        <v>3.2238281329816487E-2</v>
      </c>
      <c r="P22" s="74">
        <f t="shared" si="11"/>
        <v>18024.683571363508</v>
      </c>
      <c r="Q22" s="74">
        <f t="shared" si="12"/>
        <v>581.08481985453818</v>
      </c>
      <c r="R22" s="67">
        <v>17869.25</v>
      </c>
      <c r="S22" s="67">
        <v>18131.21</v>
      </c>
      <c r="T22" s="75">
        <v>90</v>
      </c>
      <c r="U22" s="67">
        <v>244100.65</v>
      </c>
      <c r="V22" s="67">
        <v>243063.02</v>
      </c>
      <c r="W22" s="25"/>
    </row>
    <row r="23" spans="1:23">
      <c r="A23" s="167">
        <v>19</v>
      </c>
      <c r="B23" s="66" t="s">
        <v>57</v>
      </c>
      <c r="C23" s="66" t="s">
        <v>56</v>
      </c>
      <c r="D23" s="67">
        <v>67686889031.040001</v>
      </c>
      <c r="E23" s="67">
        <v>206655452.25</v>
      </c>
      <c r="F23" s="67">
        <v>1672573590.2</v>
      </c>
      <c r="G23" s="67">
        <v>213969437.16999999</v>
      </c>
      <c r="H23" s="68">
        <f t="shared" si="7"/>
        <v>1665259605.28</v>
      </c>
      <c r="I23" s="71">
        <v>66267320593.589996</v>
      </c>
      <c r="J23" s="70">
        <f t="shared" si="0"/>
        <v>0.28352956702360071</v>
      </c>
      <c r="K23" s="71">
        <v>68570175865.239998</v>
      </c>
      <c r="L23" s="70">
        <f t="shared" si="1"/>
        <v>0.2815245531294483</v>
      </c>
      <c r="M23" s="70">
        <f t="shared" si="8"/>
        <v>3.4750994170613191E-2</v>
      </c>
      <c r="N23" s="72">
        <f t="shared" si="9"/>
        <v>3.1204446316502252E-3</v>
      </c>
      <c r="O23" s="73">
        <f t="shared" si="10"/>
        <v>2.4285479572820571E-2</v>
      </c>
      <c r="P23" s="74">
        <f t="shared" si="11"/>
        <v>63131.518059554415</v>
      </c>
      <c r="Q23" s="74">
        <f t="shared" si="12"/>
        <v>1533.1791922364616</v>
      </c>
      <c r="R23" s="67">
        <v>62620.23</v>
      </c>
      <c r="S23" s="67">
        <v>63481.94</v>
      </c>
      <c r="T23" s="67">
        <v>36164</v>
      </c>
      <c r="U23" s="67">
        <v>1081302.75</v>
      </c>
      <c r="V23" s="67">
        <v>1086148.06</v>
      </c>
      <c r="W23" s="25"/>
    </row>
    <row r="24" spans="1:23">
      <c r="A24" s="167">
        <v>20</v>
      </c>
      <c r="B24" s="66" t="s">
        <v>58</v>
      </c>
      <c r="C24" s="66" t="s">
        <v>59</v>
      </c>
      <c r="D24" s="75">
        <v>14804107395.82</v>
      </c>
      <c r="E24" s="75">
        <v>50325324.359999999</v>
      </c>
      <c r="F24" s="75">
        <v>371061464.11000001</v>
      </c>
      <c r="G24" s="75">
        <v>24027675.969999999</v>
      </c>
      <c r="H24" s="68">
        <f t="shared" si="7"/>
        <v>397359112.5</v>
      </c>
      <c r="I24" s="69">
        <v>15749755199</v>
      </c>
      <c r="J24" s="70">
        <f t="shared" si="0"/>
        <v>6.7386476958782027E-2</v>
      </c>
      <c r="K24" s="69">
        <v>15469171286.42</v>
      </c>
      <c r="L24" s="70">
        <f t="shared" si="1"/>
        <v>6.3510870123054786E-2</v>
      </c>
      <c r="M24" s="70">
        <f t="shared" si="8"/>
        <v>-1.7815128491509191E-2</v>
      </c>
      <c r="N24" s="72">
        <f t="shared" si="9"/>
        <v>1.5532620025413577E-3</v>
      </c>
      <c r="O24" s="73">
        <f t="shared" si="10"/>
        <v>2.5687162236598393E-2</v>
      </c>
      <c r="P24" s="74">
        <f t="shared" si="11"/>
        <v>2.4969737179685483</v>
      </c>
      <c r="Q24" s="74">
        <f t="shared" si="12"/>
        <v>6.4140168993980382E-2</v>
      </c>
      <c r="R24" s="75">
        <v>2.5</v>
      </c>
      <c r="S24" s="75">
        <v>2.4700000000000002</v>
      </c>
      <c r="T24" s="75">
        <v>5110</v>
      </c>
      <c r="U24" s="75">
        <v>6473120129.6899996</v>
      </c>
      <c r="V24" s="75">
        <v>6195167844.6199999</v>
      </c>
      <c r="W24" s="27"/>
    </row>
    <row r="25" spans="1:23">
      <c r="A25" s="167">
        <v>21</v>
      </c>
      <c r="B25" s="78" t="s">
        <v>60</v>
      </c>
      <c r="C25" s="78" t="s">
        <v>61</v>
      </c>
      <c r="D25" s="67">
        <v>10793089755.559999</v>
      </c>
      <c r="E25" s="67">
        <v>328849531.07999998</v>
      </c>
      <c r="F25" s="67">
        <v>0</v>
      </c>
      <c r="G25" s="67">
        <v>31619188.640000001</v>
      </c>
      <c r="H25" s="68">
        <f t="shared" si="7"/>
        <v>297230342.44</v>
      </c>
      <c r="I25" s="69">
        <v>9913081433.7999992</v>
      </c>
      <c r="J25" s="70">
        <f t="shared" si="0"/>
        <v>4.2413842322559236E-2</v>
      </c>
      <c r="K25" s="71">
        <v>12379894057.629999</v>
      </c>
      <c r="L25" s="70">
        <f t="shared" si="1"/>
        <v>5.0827405623309174E-2</v>
      </c>
      <c r="M25" s="70">
        <f t="shared" si="8"/>
        <v>0.24884418031905467</v>
      </c>
      <c r="N25" s="72">
        <f t="shared" si="9"/>
        <v>2.5540758663045587E-3</v>
      </c>
      <c r="O25" s="73">
        <f t="shared" si="10"/>
        <v>2.4009118418651606E-2</v>
      </c>
      <c r="P25" s="74">
        <f t="shared" si="11"/>
        <v>2.061947065436482</v>
      </c>
      <c r="Q25" s="74">
        <f t="shared" si="12"/>
        <v>4.9505531267055675E-2</v>
      </c>
      <c r="R25" s="75">
        <v>2.0619000000000001</v>
      </c>
      <c r="S25" s="75">
        <v>2.0868000000000002</v>
      </c>
      <c r="T25" s="75">
        <v>3061</v>
      </c>
      <c r="U25" s="67">
        <v>5254316886</v>
      </c>
      <c r="V25" s="67">
        <v>6003982481</v>
      </c>
      <c r="W25" s="25"/>
    </row>
    <row r="26" spans="1:23">
      <c r="A26" s="167">
        <v>22</v>
      </c>
      <c r="B26" s="79" t="s">
        <v>62</v>
      </c>
      <c r="C26" s="79" t="s">
        <v>63</v>
      </c>
      <c r="D26" s="67">
        <v>25425874881.950001</v>
      </c>
      <c r="E26" s="67">
        <v>-7971999</v>
      </c>
      <c r="F26" s="67">
        <v>1458474963.3199999</v>
      </c>
      <c r="G26" s="67">
        <v>48957154.439999998</v>
      </c>
      <c r="H26" s="68">
        <f t="shared" si="7"/>
        <v>1401545809.8799999</v>
      </c>
      <c r="I26" s="71">
        <v>23389475181</v>
      </c>
      <c r="J26" s="70">
        <f t="shared" si="0"/>
        <v>0.10007357641105014</v>
      </c>
      <c r="K26" s="71">
        <v>24949069212</v>
      </c>
      <c r="L26" s="70">
        <f t="shared" si="1"/>
        <v>0.10243193155443708</v>
      </c>
      <c r="M26" s="70">
        <f t="shared" si="8"/>
        <v>6.6679308489440023E-2</v>
      </c>
      <c r="N26" s="72">
        <f t="shared" si="9"/>
        <v>1.9622838040167282E-3</v>
      </c>
      <c r="O26" s="73">
        <f t="shared" si="10"/>
        <v>5.6176276476313777E-2</v>
      </c>
      <c r="P26" s="74">
        <f t="shared" si="11"/>
        <v>374.48256567021917</v>
      </c>
      <c r="Q26" s="74">
        <f t="shared" si="12"/>
        <v>21.037036144649562</v>
      </c>
      <c r="R26" s="75">
        <v>370.76</v>
      </c>
      <c r="S26" s="75">
        <v>377.06</v>
      </c>
      <c r="T26" s="75">
        <v>214</v>
      </c>
      <c r="U26" s="67">
        <v>66185011</v>
      </c>
      <c r="V26" s="67">
        <v>66622779</v>
      </c>
      <c r="W26" s="25"/>
    </row>
    <row r="27" spans="1:23">
      <c r="A27" s="175" t="s">
        <v>64</v>
      </c>
      <c r="B27" s="175"/>
      <c r="C27" s="175"/>
      <c r="D27" s="175"/>
      <c r="E27" s="175"/>
      <c r="F27" s="175"/>
      <c r="G27" s="175"/>
      <c r="H27" s="175"/>
      <c r="I27" s="82">
        <f>SUM(I5:I26)</f>
        <v>233722786971.53998</v>
      </c>
      <c r="J27" s="83">
        <f>(I27/$I$269)</f>
        <v>2.4336735943451551E-2</v>
      </c>
      <c r="K27" s="82">
        <f>SUM(K5:K26)</f>
        <v>243567302045.26999</v>
      </c>
      <c r="L27" s="83">
        <f>(K27/$K$269)</f>
        <v>2.4896847721475535E-2</v>
      </c>
      <c r="M27" s="83">
        <f t="shared" si="2"/>
        <v>4.2120476147363244E-2</v>
      </c>
      <c r="N27" s="72"/>
      <c r="O27" s="72"/>
      <c r="P27" s="84"/>
      <c r="Q27" s="84"/>
      <c r="R27" s="85"/>
      <c r="S27" s="85"/>
      <c r="T27" s="85">
        <f>SUM(T5:T26)</f>
        <v>120759</v>
      </c>
      <c r="U27" s="85"/>
      <c r="V27" s="85"/>
      <c r="W27" s="28"/>
    </row>
    <row r="28" spans="1:23" ht="6" customHeight="1">
      <c r="A28" s="176"/>
      <c r="B28" s="177"/>
      <c r="C28" s="177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29"/>
    </row>
    <row r="29" spans="1:23">
      <c r="A29" s="172" t="s">
        <v>65</v>
      </c>
      <c r="B29" s="173"/>
      <c r="C29" s="173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24"/>
    </row>
    <row r="30" spans="1:23" ht="13.05" customHeight="1">
      <c r="A30" s="167">
        <v>23</v>
      </c>
      <c r="B30" s="66" t="s">
        <v>66</v>
      </c>
      <c r="C30" s="66" t="s">
        <v>24</v>
      </c>
      <c r="D30" s="67">
        <v>6754020940.2799997</v>
      </c>
      <c r="E30" s="67">
        <v>103140701.37</v>
      </c>
      <c r="F30" s="75">
        <v>0</v>
      </c>
      <c r="G30" s="67">
        <v>12233004.539999999</v>
      </c>
      <c r="H30" s="68">
        <f t="shared" ref="H30:H43" si="13">(E30+F30)-G30</f>
        <v>90907696.829999998</v>
      </c>
      <c r="I30" s="87">
        <v>6851854779.6899996</v>
      </c>
      <c r="J30" s="70">
        <f>(I30/$I$79)</f>
        <v>1.0625440010563689E-3</v>
      </c>
      <c r="K30" s="87">
        <v>6568811196.1099997</v>
      </c>
      <c r="L30" s="70">
        <f>(K30/$K$79)</f>
        <v>9.9834551487099207E-4</v>
      </c>
      <c r="M30" s="70">
        <f t="shared" ref="M30:M79" si="14">((K30-I30)/I30)</f>
        <v>-4.130904589790587E-2</v>
      </c>
      <c r="N30" s="72">
        <f t="shared" ref="N30" si="15">(G30/K30)</f>
        <v>1.8622859106141301E-3</v>
      </c>
      <c r="O30" s="73">
        <f t="shared" ref="O30" si="16">H30/K30</f>
        <v>1.38392920904524E-2</v>
      </c>
      <c r="P30" s="88">
        <f t="shared" ref="P30" si="17">K30/V30</f>
        <v>100.190837781155</v>
      </c>
      <c r="Q30" s="88">
        <f t="shared" ref="Q30" si="18">H30/V30</f>
        <v>1.3865702688405299</v>
      </c>
      <c r="R30" s="75">
        <v>100</v>
      </c>
      <c r="S30" s="75">
        <v>100</v>
      </c>
      <c r="T30" s="75">
        <v>919</v>
      </c>
      <c r="U30" s="89">
        <v>68335203</v>
      </c>
      <c r="V30" s="89">
        <v>65562993</v>
      </c>
      <c r="W30" s="30"/>
    </row>
    <row r="31" spans="1:23" ht="15" customHeight="1">
      <c r="A31" s="167">
        <v>24</v>
      </c>
      <c r="B31" s="66" t="s">
        <v>67</v>
      </c>
      <c r="C31" s="66" t="s">
        <v>68</v>
      </c>
      <c r="D31" s="67">
        <v>47615603007.760002</v>
      </c>
      <c r="E31" s="67">
        <v>813642789.73000002</v>
      </c>
      <c r="F31" s="75">
        <v>0</v>
      </c>
      <c r="G31" s="67">
        <v>75497403.719999999</v>
      </c>
      <c r="H31" s="68">
        <f t="shared" si="13"/>
        <v>738145386.00999999</v>
      </c>
      <c r="I31" s="87">
        <v>47599368402.410004</v>
      </c>
      <c r="J31" s="70">
        <f t="shared" ref="J31:J78" si="19">(I31/$I$79)</f>
        <v>7.3814207942598962E-3</v>
      </c>
      <c r="K31" s="87">
        <v>48261732224.040001</v>
      </c>
      <c r="L31" s="70">
        <f t="shared" ref="L31:L78" si="20">(K31/$K$79)</f>
        <v>7.334947293706374E-3</v>
      </c>
      <c r="M31" s="70">
        <f t="shared" ref="M31:M78" si="21">((K31-I31)/I31)</f>
        <v>1.3915390978096699E-2</v>
      </c>
      <c r="N31" s="72">
        <f t="shared" ref="N31:N78" si="22">(G31/K31)</f>
        <v>1.5643326553122236E-3</v>
      </c>
      <c r="O31" s="73">
        <f t="shared" ref="O31:O78" si="23">H31/K31</f>
        <v>1.5294631004610254E-2</v>
      </c>
      <c r="P31" s="88">
        <f t="shared" ref="P31:P78" si="24">K31/V31</f>
        <v>104.21578495815112</v>
      </c>
      <c r="Q31" s="88">
        <f t="shared" ref="Q31:Q78" si="25">H31/V31</f>
        <v>1.5939419757907329</v>
      </c>
      <c r="R31" s="75">
        <v>100</v>
      </c>
      <c r="S31" s="75">
        <v>100</v>
      </c>
      <c r="T31" s="75">
        <v>5776</v>
      </c>
      <c r="U31" s="89">
        <v>462695475.75</v>
      </c>
      <c r="V31" s="89">
        <v>463094263.92000002</v>
      </c>
      <c r="W31" s="30"/>
    </row>
    <row r="32" spans="1:23" ht="15" customHeight="1">
      <c r="A32" s="167">
        <v>25</v>
      </c>
      <c r="B32" s="66" t="s">
        <v>69</v>
      </c>
      <c r="C32" s="66" t="s">
        <v>70</v>
      </c>
      <c r="D32" s="75">
        <v>1936200067.3299999</v>
      </c>
      <c r="E32" s="75">
        <v>40212683.289999999</v>
      </c>
      <c r="F32" s="75">
        <v>0</v>
      </c>
      <c r="G32" s="75">
        <v>4515551.6900000004</v>
      </c>
      <c r="H32" s="68">
        <f t="shared" si="13"/>
        <v>35697131.600000001</v>
      </c>
      <c r="I32" s="86">
        <v>2126483972.47</v>
      </c>
      <c r="J32" s="70">
        <f t="shared" si="19"/>
        <v>3.2976221197623538E-4</v>
      </c>
      <c r="K32" s="86">
        <v>3056947196.71</v>
      </c>
      <c r="L32" s="70">
        <f t="shared" si="20"/>
        <v>4.6460302053439852E-4</v>
      </c>
      <c r="M32" s="70">
        <f t="shared" si="21"/>
        <v>0.43755948141909956</v>
      </c>
      <c r="N32" s="72">
        <f t="shared" si="22"/>
        <v>1.4771441570400052E-3</v>
      </c>
      <c r="O32" s="73">
        <f t="shared" si="23"/>
        <v>1.1677379196611109E-2</v>
      </c>
      <c r="P32" s="88">
        <f t="shared" si="24"/>
        <v>1.0000000002322578</v>
      </c>
      <c r="Q32" s="88">
        <f t="shared" si="25"/>
        <v>1.1677379199323271E-2</v>
      </c>
      <c r="R32" s="75">
        <v>1</v>
      </c>
      <c r="S32" s="75">
        <v>1</v>
      </c>
      <c r="T32" s="75">
        <v>346</v>
      </c>
      <c r="U32" s="90">
        <v>2134581426</v>
      </c>
      <c r="V32" s="90">
        <v>3056947196</v>
      </c>
      <c r="W32" s="31"/>
    </row>
    <row r="33" spans="1:23">
      <c r="A33" s="167">
        <v>26</v>
      </c>
      <c r="B33" s="66" t="s">
        <v>71</v>
      </c>
      <c r="C33" s="66" t="s">
        <v>26</v>
      </c>
      <c r="D33" s="67">
        <v>5540053395.0500002</v>
      </c>
      <c r="E33" s="67">
        <v>72125203.620000005</v>
      </c>
      <c r="F33" s="75">
        <v>0</v>
      </c>
      <c r="G33" s="67">
        <v>5932585.6799999997</v>
      </c>
      <c r="H33" s="68">
        <f t="shared" si="13"/>
        <v>66192617.939999998</v>
      </c>
      <c r="I33" s="87">
        <v>4441667211.8299999</v>
      </c>
      <c r="J33" s="70">
        <f t="shared" si="19"/>
        <v>6.8878675955129603E-4</v>
      </c>
      <c r="K33" s="87">
        <v>5613518142.9899998</v>
      </c>
      <c r="L33" s="70">
        <f t="shared" si="20"/>
        <v>8.5315751867244874E-4</v>
      </c>
      <c r="M33" s="70">
        <f t="shared" si="21"/>
        <v>0.26383132172506651</v>
      </c>
      <c r="N33" s="72">
        <f t="shared" si="22"/>
        <v>1.0568391388221382E-3</v>
      </c>
      <c r="O33" s="73">
        <f t="shared" si="23"/>
        <v>1.1791645854509161E-2</v>
      </c>
      <c r="P33" s="88">
        <f t="shared" si="24"/>
        <v>118.92945644178309</v>
      </c>
      <c r="Q33" s="88">
        <f t="shared" si="25"/>
        <v>1.4023740320307794</v>
      </c>
      <c r="R33" s="75">
        <v>100</v>
      </c>
      <c r="S33" s="75">
        <v>100</v>
      </c>
      <c r="T33" s="75">
        <v>2423</v>
      </c>
      <c r="U33" s="89">
        <v>36168541.479999997</v>
      </c>
      <c r="V33" s="89">
        <v>47200401.909999996</v>
      </c>
      <c r="W33" s="30"/>
    </row>
    <row r="34" spans="1:23">
      <c r="A34" s="167">
        <v>27</v>
      </c>
      <c r="B34" s="66" t="s">
        <v>72</v>
      </c>
      <c r="C34" s="66" t="s">
        <v>73</v>
      </c>
      <c r="D34" s="67">
        <v>1076509896.7</v>
      </c>
      <c r="E34" s="67">
        <v>50500165.479999997</v>
      </c>
      <c r="F34" s="75">
        <v>0</v>
      </c>
      <c r="G34" s="67">
        <v>7655722.5300000003</v>
      </c>
      <c r="H34" s="68">
        <f t="shared" si="13"/>
        <v>42844442.950000003</v>
      </c>
      <c r="I34" s="87">
        <v>1925642862.3800001</v>
      </c>
      <c r="J34" s="70">
        <f t="shared" si="19"/>
        <v>2.9861699311897196E-4</v>
      </c>
      <c r="K34" s="87">
        <v>1982901040.3399999</v>
      </c>
      <c r="L34" s="70">
        <f t="shared" si="20"/>
        <v>3.0136660971908882E-4</v>
      </c>
      <c r="M34" s="70">
        <f t="shared" si="21"/>
        <v>2.973457803553017E-2</v>
      </c>
      <c r="N34" s="72">
        <f t="shared" si="22"/>
        <v>3.8608696925628246E-3</v>
      </c>
      <c r="O34" s="73">
        <f t="shared" si="23"/>
        <v>2.1606949655265519E-2</v>
      </c>
      <c r="P34" s="88">
        <f t="shared" si="24"/>
        <v>100.0000000171466</v>
      </c>
      <c r="Q34" s="88">
        <f t="shared" si="25"/>
        <v>2.1606949658970378</v>
      </c>
      <c r="R34" s="75">
        <v>100</v>
      </c>
      <c r="S34" s="75">
        <v>100</v>
      </c>
      <c r="T34" s="75">
        <v>229</v>
      </c>
      <c r="U34" s="89">
        <v>19256428.620000001</v>
      </c>
      <c r="V34" s="89">
        <v>19829010.399999999</v>
      </c>
      <c r="W34" s="30"/>
    </row>
    <row r="35" spans="1:23">
      <c r="A35" s="167">
        <v>28</v>
      </c>
      <c r="B35" s="66" t="s">
        <v>74</v>
      </c>
      <c r="C35" s="76" t="s">
        <v>28</v>
      </c>
      <c r="D35" s="67">
        <v>291121100144</v>
      </c>
      <c r="E35" s="67">
        <v>6879683146</v>
      </c>
      <c r="F35" s="75">
        <v>0</v>
      </c>
      <c r="G35" s="67">
        <v>6879683146</v>
      </c>
      <c r="H35" s="68">
        <f t="shared" si="13"/>
        <v>0</v>
      </c>
      <c r="I35" s="87">
        <v>444879171839</v>
      </c>
      <c r="J35" s="70">
        <f t="shared" si="19"/>
        <v>6.898915847335596E-2</v>
      </c>
      <c r="K35" s="87">
        <v>448512427644</v>
      </c>
      <c r="L35" s="70">
        <f t="shared" si="20"/>
        <v>6.8166119733728076E-2</v>
      </c>
      <c r="M35" s="70">
        <f t="shared" si="21"/>
        <v>8.1668372784933635E-3</v>
      </c>
      <c r="N35" s="72">
        <f t="shared" si="22"/>
        <v>1.5338890790916155E-2</v>
      </c>
      <c r="O35" s="73">
        <f t="shared" si="23"/>
        <v>0</v>
      </c>
      <c r="P35" s="88">
        <f t="shared" si="24"/>
        <v>1</v>
      </c>
      <c r="Q35" s="88">
        <f t="shared" si="25"/>
        <v>0</v>
      </c>
      <c r="R35" s="75">
        <v>1</v>
      </c>
      <c r="S35" s="75">
        <v>1</v>
      </c>
      <c r="T35" s="67">
        <v>91046</v>
      </c>
      <c r="U35" s="89">
        <v>444879171839</v>
      </c>
      <c r="V35" s="89">
        <v>448512427644</v>
      </c>
      <c r="W35" s="30"/>
    </row>
    <row r="36" spans="1:23">
      <c r="A36" s="167">
        <v>29</v>
      </c>
      <c r="B36" s="66" t="s">
        <v>75</v>
      </c>
      <c r="C36" s="76" t="s">
        <v>76</v>
      </c>
      <c r="D36" s="67">
        <v>1429466657.23</v>
      </c>
      <c r="E36" s="67">
        <v>43736026</v>
      </c>
      <c r="F36" s="75">
        <v>0</v>
      </c>
      <c r="G36" s="67">
        <v>5165070.05</v>
      </c>
      <c r="H36" s="68">
        <f t="shared" si="13"/>
        <v>38570955.950000003</v>
      </c>
      <c r="I36" s="87">
        <v>2296635064.04</v>
      </c>
      <c r="J36" s="70">
        <f t="shared" si="19"/>
        <v>3.5614820926222515E-4</v>
      </c>
      <c r="K36" s="87">
        <v>2522735479.5900002</v>
      </c>
      <c r="L36" s="70">
        <f t="shared" si="20"/>
        <v>3.8341209330937555E-4</v>
      </c>
      <c r="M36" s="70">
        <f t="shared" si="21"/>
        <v>9.8448560282915834E-2</v>
      </c>
      <c r="N36" s="72">
        <f t="shared" si="22"/>
        <v>2.047408494385403E-3</v>
      </c>
      <c r="O36" s="73">
        <f t="shared" si="23"/>
        <v>1.5289338205315379E-2</v>
      </c>
      <c r="P36" s="88">
        <f t="shared" si="24"/>
        <v>0.91500078183644362</v>
      </c>
      <c r="Q36" s="88">
        <f t="shared" si="25"/>
        <v>1.3989756411625379E-2</v>
      </c>
      <c r="R36" s="75">
        <v>1</v>
      </c>
      <c r="S36" s="75">
        <v>1</v>
      </c>
      <c r="T36" s="75">
        <v>490</v>
      </c>
      <c r="U36" s="89">
        <v>2505956600</v>
      </c>
      <c r="V36" s="89">
        <v>2757085600</v>
      </c>
      <c r="W36" s="30"/>
    </row>
    <row r="37" spans="1:23" ht="15" customHeight="1">
      <c r="A37" s="167">
        <v>30</v>
      </c>
      <c r="B37" s="66" t="s">
        <v>77</v>
      </c>
      <c r="C37" s="66" t="s">
        <v>30</v>
      </c>
      <c r="D37" s="67">
        <v>102315794461.27</v>
      </c>
      <c r="E37" s="67">
        <v>2570240187.0100002</v>
      </c>
      <c r="F37" s="75"/>
      <c r="G37" s="67">
        <v>235177924.52000001</v>
      </c>
      <c r="H37" s="68">
        <f t="shared" si="13"/>
        <v>2335062262.4899998</v>
      </c>
      <c r="I37" s="87">
        <v>179247053441.94</v>
      </c>
      <c r="J37" s="70">
        <f t="shared" si="19"/>
        <v>2.7796543777651492E-2</v>
      </c>
      <c r="K37" s="87">
        <v>177644202264.17999</v>
      </c>
      <c r="L37" s="70">
        <f t="shared" si="20"/>
        <v>2.69988415374619E-2</v>
      </c>
      <c r="M37" s="70">
        <f t="shared" si="21"/>
        <v>-8.9421340378082696E-3</v>
      </c>
      <c r="N37" s="72">
        <f t="shared" si="22"/>
        <v>1.3238705317849884E-3</v>
      </c>
      <c r="O37" s="73">
        <f t="shared" si="23"/>
        <v>1.3144601584111701E-2</v>
      </c>
      <c r="P37" s="88">
        <f t="shared" si="24"/>
        <v>1.0395541709019305</v>
      </c>
      <c r="Q37" s="88">
        <f t="shared" si="25"/>
        <v>1.3664525401607442E-2</v>
      </c>
      <c r="R37" s="75">
        <v>1</v>
      </c>
      <c r="S37" s="75">
        <v>1</v>
      </c>
      <c r="T37" s="75">
        <v>42528</v>
      </c>
      <c r="U37" s="89">
        <v>174716895096.91</v>
      </c>
      <c r="V37" s="89">
        <v>170884988234.95999</v>
      </c>
      <c r="W37" s="30"/>
    </row>
    <row r="38" spans="1:23" ht="15" customHeight="1">
      <c r="A38" s="167">
        <v>31</v>
      </c>
      <c r="B38" s="66" t="s">
        <v>78</v>
      </c>
      <c r="C38" s="66" t="s">
        <v>32</v>
      </c>
      <c r="D38" s="67">
        <v>43158208724.279999</v>
      </c>
      <c r="E38" s="75">
        <v>685119614.30999994</v>
      </c>
      <c r="F38" s="75">
        <v>0</v>
      </c>
      <c r="G38" s="75">
        <v>54298431.25</v>
      </c>
      <c r="H38" s="68">
        <f t="shared" si="13"/>
        <v>630821183.05999994</v>
      </c>
      <c r="I38" s="86">
        <v>38551974953.360001</v>
      </c>
      <c r="J38" s="70">
        <f t="shared" si="19"/>
        <v>5.9784059984735053E-3</v>
      </c>
      <c r="K38" s="86">
        <v>42397591972.360001</v>
      </c>
      <c r="L38" s="70">
        <f t="shared" si="20"/>
        <v>6.4436995558651436E-3</v>
      </c>
      <c r="M38" s="70">
        <f t="shared" si="21"/>
        <v>9.9751491944379225E-2</v>
      </c>
      <c r="N38" s="72">
        <f t="shared" si="22"/>
        <v>1.280696113246206E-3</v>
      </c>
      <c r="O38" s="73">
        <f t="shared" si="23"/>
        <v>1.4878703098780876E-2</v>
      </c>
      <c r="P38" s="88">
        <f t="shared" si="24"/>
        <v>1</v>
      </c>
      <c r="Q38" s="88">
        <f t="shared" si="25"/>
        <v>1.4878703098780876E-2</v>
      </c>
      <c r="R38" s="75">
        <v>1</v>
      </c>
      <c r="S38" s="75">
        <v>1</v>
      </c>
      <c r="T38" s="75">
        <v>2845</v>
      </c>
      <c r="U38" s="90">
        <v>38551974953.360001</v>
      </c>
      <c r="V38" s="90">
        <v>42397591972.360001</v>
      </c>
      <c r="W38" s="31"/>
    </row>
    <row r="39" spans="1:23">
      <c r="A39" s="167">
        <v>32</v>
      </c>
      <c r="B39" s="76" t="s">
        <v>79</v>
      </c>
      <c r="C39" s="76" t="s">
        <v>52</v>
      </c>
      <c r="D39" s="67">
        <v>48631000657.769997</v>
      </c>
      <c r="E39" s="67">
        <v>714592422.55999994</v>
      </c>
      <c r="F39" s="75">
        <v>0</v>
      </c>
      <c r="G39" s="67">
        <v>83175895.890000001</v>
      </c>
      <c r="H39" s="68">
        <f t="shared" si="13"/>
        <v>631416526.66999996</v>
      </c>
      <c r="I39" s="87">
        <v>47345119416.029999</v>
      </c>
      <c r="J39" s="70">
        <f t="shared" si="19"/>
        <v>7.3419934065030064E-3</v>
      </c>
      <c r="K39" s="87">
        <v>51523730413.730003</v>
      </c>
      <c r="L39" s="70">
        <f t="shared" si="20"/>
        <v>7.8307145132183072E-3</v>
      </c>
      <c r="M39" s="70">
        <f t="shared" si="21"/>
        <v>8.8258537505879017E-2</v>
      </c>
      <c r="N39" s="72">
        <f t="shared" si="22"/>
        <v>1.6143220846415141E-3</v>
      </c>
      <c r="O39" s="73">
        <f t="shared" si="23"/>
        <v>1.2254868224792602E-2</v>
      </c>
      <c r="P39" s="88">
        <f t="shared" si="24"/>
        <v>100.00023298974808</v>
      </c>
      <c r="Q39" s="88">
        <f t="shared" si="25"/>
        <v>1.2254896777379207</v>
      </c>
      <c r="R39" s="75">
        <v>100</v>
      </c>
      <c r="S39" s="75">
        <v>100</v>
      </c>
      <c r="T39" s="75">
        <v>14261</v>
      </c>
      <c r="U39" s="89">
        <v>473450038.63</v>
      </c>
      <c r="V39" s="89">
        <v>515236103.69</v>
      </c>
      <c r="W39" s="30"/>
    </row>
    <row r="40" spans="1:23">
      <c r="A40" s="167">
        <v>33</v>
      </c>
      <c r="B40" s="91" t="s">
        <v>80</v>
      </c>
      <c r="C40" s="91" t="s">
        <v>81</v>
      </c>
      <c r="D40" s="67">
        <v>3697777293.1100001</v>
      </c>
      <c r="E40" s="67">
        <v>151664979.69999999</v>
      </c>
      <c r="F40" s="75">
        <v>0</v>
      </c>
      <c r="G40" s="67">
        <v>4800420.6100000003</v>
      </c>
      <c r="H40" s="68">
        <f t="shared" si="13"/>
        <v>146864559.09</v>
      </c>
      <c r="I40" s="87">
        <v>3876675422.0900002</v>
      </c>
      <c r="J40" s="70">
        <f t="shared" si="19"/>
        <v>6.011712662087038E-4</v>
      </c>
      <c r="K40" s="87">
        <v>3507127030.3000002</v>
      </c>
      <c r="L40" s="70">
        <f t="shared" si="20"/>
        <v>5.3302255708860763E-4</v>
      </c>
      <c r="M40" s="70">
        <f t="shared" si="21"/>
        <v>-9.5326111049753137E-2</v>
      </c>
      <c r="N40" s="72">
        <f t="shared" si="22"/>
        <v>1.3687615442858287E-3</v>
      </c>
      <c r="O40" s="73">
        <f t="shared" si="23"/>
        <v>4.1876030671588529E-2</v>
      </c>
      <c r="P40" s="88">
        <f t="shared" si="24"/>
        <v>0.99675512626265539</v>
      </c>
      <c r="Q40" s="88">
        <f t="shared" si="25"/>
        <v>4.1740148239438057E-2</v>
      </c>
      <c r="R40" s="75">
        <v>1</v>
      </c>
      <c r="S40" s="75">
        <v>1</v>
      </c>
      <c r="T40" s="75">
        <v>931</v>
      </c>
      <c r="U40" s="89">
        <v>3893833780.9400001</v>
      </c>
      <c r="V40" s="89">
        <v>3518544262.1700001</v>
      </c>
      <c r="W40" s="30"/>
    </row>
    <row r="41" spans="1:23">
      <c r="A41" s="167">
        <v>34</v>
      </c>
      <c r="B41" s="66" t="s">
        <v>82</v>
      </c>
      <c r="C41" s="66" t="s">
        <v>83</v>
      </c>
      <c r="D41" s="67">
        <v>117856177710.64</v>
      </c>
      <c r="E41" s="67">
        <v>1729146730.5599999</v>
      </c>
      <c r="F41" s="75">
        <v>0</v>
      </c>
      <c r="G41" s="67">
        <v>181709800.50999999</v>
      </c>
      <c r="H41" s="68">
        <f t="shared" si="13"/>
        <v>1547436930.05</v>
      </c>
      <c r="I41" s="87">
        <v>113604132760.12</v>
      </c>
      <c r="J41" s="70">
        <f t="shared" si="19"/>
        <v>1.7617038545136545E-2</v>
      </c>
      <c r="K41" s="87">
        <v>112798447515.00999</v>
      </c>
      <c r="L41" s="70">
        <f t="shared" si="20"/>
        <v>1.7143410093398499E-2</v>
      </c>
      <c r="M41" s="70">
        <f t="shared" si="21"/>
        <v>-7.0920416848851758E-3</v>
      </c>
      <c r="N41" s="72">
        <f t="shared" si="22"/>
        <v>1.6109246582123396E-3</v>
      </c>
      <c r="O41" s="73">
        <f t="shared" si="23"/>
        <v>1.3718601311814011E-2</v>
      </c>
      <c r="P41" s="88">
        <f t="shared" si="24"/>
        <v>100.00000000000885</v>
      </c>
      <c r="Q41" s="88">
        <f t="shared" si="25"/>
        <v>1.3718601311815226</v>
      </c>
      <c r="R41" s="75">
        <v>100</v>
      </c>
      <c r="S41" s="75">
        <v>100</v>
      </c>
      <c r="T41" s="67">
        <v>6608</v>
      </c>
      <c r="U41" s="89">
        <v>1136041327.5999999</v>
      </c>
      <c r="V41" s="89">
        <v>1127984475.1500001</v>
      </c>
      <c r="W41" s="30"/>
    </row>
    <row r="42" spans="1:23">
      <c r="A42" s="167">
        <v>35</v>
      </c>
      <c r="B42" s="66" t="s">
        <v>84</v>
      </c>
      <c r="C42" s="66" t="s">
        <v>85</v>
      </c>
      <c r="D42" s="67">
        <v>29477467942.689999</v>
      </c>
      <c r="E42" s="67">
        <v>662464929.74000001</v>
      </c>
      <c r="F42" s="75">
        <v>0</v>
      </c>
      <c r="G42" s="67">
        <v>51698427.009999998</v>
      </c>
      <c r="H42" s="68">
        <f t="shared" si="13"/>
        <v>610766502.73000002</v>
      </c>
      <c r="I42" s="87">
        <v>47056550500</v>
      </c>
      <c r="J42" s="70">
        <f t="shared" si="19"/>
        <v>7.2972438926154851E-3</v>
      </c>
      <c r="K42" s="87">
        <v>47108478500</v>
      </c>
      <c r="L42" s="70">
        <f t="shared" si="20"/>
        <v>7.159672704662709E-3</v>
      </c>
      <c r="M42" s="70">
        <f t="shared" si="21"/>
        <v>1.1035233022446047E-3</v>
      </c>
      <c r="N42" s="72">
        <f t="shared" si="22"/>
        <v>1.0974335970116292E-3</v>
      </c>
      <c r="O42" s="73">
        <f t="shared" si="23"/>
        <v>1.2965107814509441E-2</v>
      </c>
      <c r="P42" s="88">
        <f t="shared" si="24"/>
        <v>100</v>
      </c>
      <c r="Q42" s="88">
        <f t="shared" si="25"/>
        <v>1.2965107814509442</v>
      </c>
      <c r="R42" s="75">
        <v>100</v>
      </c>
      <c r="S42" s="75">
        <v>100</v>
      </c>
      <c r="T42" s="75">
        <v>6169</v>
      </c>
      <c r="U42" s="89">
        <v>470565505</v>
      </c>
      <c r="V42" s="89">
        <v>471084785</v>
      </c>
      <c r="W42" s="30"/>
    </row>
    <row r="43" spans="1:23">
      <c r="A43" s="167">
        <v>36</v>
      </c>
      <c r="B43" s="66" t="s">
        <v>86</v>
      </c>
      <c r="C43" s="66" t="s">
        <v>34</v>
      </c>
      <c r="D43" s="67">
        <v>117604161658.59</v>
      </c>
      <c r="E43" s="67">
        <v>1724939168.3399999</v>
      </c>
      <c r="F43" s="75">
        <v>0</v>
      </c>
      <c r="G43" s="67">
        <v>214875829.12</v>
      </c>
      <c r="H43" s="68">
        <f t="shared" si="13"/>
        <v>1510063339.22</v>
      </c>
      <c r="I43" s="87">
        <v>104712396524.55</v>
      </c>
      <c r="J43" s="70">
        <f t="shared" si="19"/>
        <v>1.6238162124100099E-2</v>
      </c>
      <c r="K43" s="87">
        <v>115331561822.83</v>
      </c>
      <c r="L43" s="70">
        <f t="shared" si="20"/>
        <v>1.752839958881363E-2</v>
      </c>
      <c r="M43" s="70">
        <f t="shared" si="21"/>
        <v>0.10141268513313337</v>
      </c>
      <c r="N43" s="72">
        <f t="shared" si="22"/>
        <v>1.8631138408589998E-3</v>
      </c>
      <c r="O43" s="73">
        <f t="shared" si="23"/>
        <v>1.3093235844145843E-2</v>
      </c>
      <c r="P43" s="88">
        <f t="shared" si="24"/>
        <v>1</v>
      </c>
      <c r="Q43" s="88">
        <f t="shared" si="25"/>
        <v>1.3093235844145843E-2</v>
      </c>
      <c r="R43" s="75">
        <v>1</v>
      </c>
      <c r="S43" s="75">
        <v>1</v>
      </c>
      <c r="T43" s="67">
        <v>23492</v>
      </c>
      <c r="U43" s="89">
        <v>104712396524.55</v>
      </c>
      <c r="V43" s="89">
        <v>115331561822.83</v>
      </c>
      <c r="W43" s="30"/>
    </row>
    <row r="44" spans="1:23">
      <c r="A44" s="167">
        <v>37</v>
      </c>
      <c r="B44" s="78" t="s">
        <v>87</v>
      </c>
      <c r="C44" s="79" t="s">
        <v>88</v>
      </c>
      <c r="D44" s="67">
        <v>3815458516.8099999</v>
      </c>
      <c r="E44" s="67">
        <v>52243107.439999998</v>
      </c>
      <c r="F44" s="75">
        <v>0</v>
      </c>
      <c r="G44" s="67">
        <v>4562241.13</v>
      </c>
      <c r="H44" s="68">
        <f t="shared" ref="H44:H49" si="26">(E44+F44)-G44</f>
        <v>47680866.310000002</v>
      </c>
      <c r="I44" s="87">
        <v>2677197361.4000001</v>
      </c>
      <c r="J44" s="70">
        <f t="shared" si="19"/>
        <v>4.151634976899219E-4</v>
      </c>
      <c r="K44" s="87">
        <v>3605455350</v>
      </c>
      <c r="L44" s="70">
        <f t="shared" si="20"/>
        <v>5.4796675841006272E-4</v>
      </c>
      <c r="M44" s="70">
        <f t="shared" si="21"/>
        <v>0.34672751511848993</v>
      </c>
      <c r="N44" s="72">
        <f t="shared" si="22"/>
        <v>1.2653716901528124E-3</v>
      </c>
      <c r="O44" s="73">
        <f t="shared" si="23"/>
        <v>1.3224644790012447E-2</v>
      </c>
      <c r="P44" s="88">
        <f t="shared" si="24"/>
        <v>1000</v>
      </c>
      <c r="Q44" s="88">
        <f t="shared" si="25"/>
        <v>13.224644790012446</v>
      </c>
      <c r="R44" s="75">
        <v>1000</v>
      </c>
      <c r="S44" s="75">
        <v>1000</v>
      </c>
      <c r="T44" s="75">
        <v>487</v>
      </c>
      <c r="U44" s="89">
        <v>2677197.36</v>
      </c>
      <c r="V44" s="89">
        <v>3605455.35</v>
      </c>
      <c r="W44" s="30"/>
    </row>
    <row r="45" spans="1:23">
      <c r="A45" s="167">
        <v>38</v>
      </c>
      <c r="B45" s="66" t="s">
        <v>89</v>
      </c>
      <c r="C45" s="66" t="s">
        <v>90</v>
      </c>
      <c r="D45" s="67">
        <v>36314799105.790001</v>
      </c>
      <c r="E45" s="67">
        <v>1253894696.9300001</v>
      </c>
      <c r="F45" s="75">
        <v>0</v>
      </c>
      <c r="G45" s="67">
        <v>126357845.28</v>
      </c>
      <c r="H45" s="68">
        <f t="shared" si="26"/>
        <v>1127536851.6500001</v>
      </c>
      <c r="I45" s="87">
        <v>81914543783.949997</v>
      </c>
      <c r="J45" s="70">
        <f t="shared" si="19"/>
        <v>1.2702809661830459E-2</v>
      </c>
      <c r="K45" s="87">
        <v>71842161537.399994</v>
      </c>
      <c r="L45" s="70">
        <f t="shared" si="20"/>
        <v>1.0918764081996235E-2</v>
      </c>
      <c r="M45" s="70">
        <f t="shared" si="21"/>
        <v>-0.12296207463617156</v>
      </c>
      <c r="N45" s="72">
        <f t="shared" si="22"/>
        <v>1.7588257727214947E-3</v>
      </c>
      <c r="O45" s="73">
        <f t="shared" si="23"/>
        <v>1.5694639853827626E-2</v>
      </c>
      <c r="P45" s="88">
        <f t="shared" si="24"/>
        <v>88.826849926391532</v>
      </c>
      <c r="Q45" s="88">
        <f t="shared" si="25"/>
        <v>1.39410541894471</v>
      </c>
      <c r="R45" s="75">
        <v>100</v>
      </c>
      <c r="S45" s="75">
        <v>100</v>
      </c>
      <c r="T45" s="75">
        <v>9253</v>
      </c>
      <c r="U45" s="89">
        <v>799025069</v>
      </c>
      <c r="V45" s="89">
        <v>808788802</v>
      </c>
      <c r="W45" s="30"/>
    </row>
    <row r="46" spans="1:23">
      <c r="A46" s="167">
        <v>39</v>
      </c>
      <c r="B46" s="66" t="s">
        <v>91</v>
      </c>
      <c r="C46" s="66" t="s">
        <v>90</v>
      </c>
      <c r="D46" s="67">
        <v>5005121739.7299995</v>
      </c>
      <c r="E46" s="67">
        <v>137862010.37</v>
      </c>
      <c r="F46" s="75">
        <v>0</v>
      </c>
      <c r="G46" s="67">
        <v>12113627.24</v>
      </c>
      <c r="H46" s="68">
        <f t="shared" si="26"/>
        <v>125748383.13</v>
      </c>
      <c r="I46" s="87">
        <v>8877962243.6299992</v>
      </c>
      <c r="J46" s="70">
        <f t="shared" si="19"/>
        <v>1.3767404340698515E-3</v>
      </c>
      <c r="K46" s="87">
        <v>9473171933.1399994</v>
      </c>
      <c r="L46" s="70">
        <f t="shared" si="20"/>
        <v>1.4397580366829151E-3</v>
      </c>
      <c r="M46" s="70">
        <f t="shared" si="21"/>
        <v>6.7043503134637389E-2</v>
      </c>
      <c r="N46" s="72">
        <f t="shared" si="22"/>
        <v>1.2787297987934638E-3</v>
      </c>
      <c r="O46" s="73">
        <f t="shared" si="23"/>
        <v>1.3274158224669649E-2</v>
      </c>
      <c r="P46" s="88">
        <f t="shared" si="24"/>
        <v>1039979.3537314743</v>
      </c>
      <c r="Q46" s="88">
        <f t="shared" si="25"/>
        <v>13804.850491821275</v>
      </c>
      <c r="R46" s="67">
        <v>1000000</v>
      </c>
      <c r="S46" s="67">
        <v>1000000</v>
      </c>
      <c r="T46" s="75">
        <v>102</v>
      </c>
      <c r="U46" s="89">
        <v>9139</v>
      </c>
      <c r="V46" s="89">
        <v>9109</v>
      </c>
      <c r="W46" s="30"/>
    </row>
    <row r="47" spans="1:23">
      <c r="A47" s="167">
        <v>40</v>
      </c>
      <c r="B47" s="76" t="s">
        <v>92</v>
      </c>
      <c r="C47" s="76" t="s">
        <v>93</v>
      </c>
      <c r="D47" s="67">
        <v>2954437542</v>
      </c>
      <c r="E47" s="67">
        <v>165027539.80000001</v>
      </c>
      <c r="F47" s="75">
        <v>0</v>
      </c>
      <c r="G47" s="67">
        <v>16777658</v>
      </c>
      <c r="H47" s="68">
        <f t="shared" si="26"/>
        <v>148249881.80000001</v>
      </c>
      <c r="I47" s="87">
        <v>8855839460</v>
      </c>
      <c r="J47" s="70">
        <f t="shared" si="19"/>
        <v>1.3733097672229124E-3</v>
      </c>
      <c r="K47" s="87">
        <v>10223646519</v>
      </c>
      <c r="L47" s="70">
        <f t="shared" si="20"/>
        <v>1.5538171737854837E-3</v>
      </c>
      <c r="M47" s="70">
        <f t="shared" si="21"/>
        <v>0.15445255813162628</v>
      </c>
      <c r="N47" s="72">
        <f t="shared" si="22"/>
        <v>1.6410639754435743E-3</v>
      </c>
      <c r="O47" s="73">
        <f t="shared" si="23"/>
        <v>1.4500685398745642E-2</v>
      </c>
      <c r="P47" s="88">
        <f t="shared" si="24"/>
        <v>0.98308946130759944</v>
      </c>
      <c r="Q47" s="88">
        <f t="shared" si="25"/>
        <v>1.4255470997243827E-2</v>
      </c>
      <c r="R47" s="75">
        <v>1</v>
      </c>
      <c r="S47" s="75">
        <v>1</v>
      </c>
      <c r="T47" s="75">
        <v>1394</v>
      </c>
      <c r="U47" s="89">
        <v>9741147264</v>
      </c>
      <c r="V47" s="89">
        <v>10399507798</v>
      </c>
      <c r="W47" s="30"/>
    </row>
    <row r="48" spans="1:23">
      <c r="A48" s="167">
        <v>41</v>
      </c>
      <c r="B48" s="66" t="s">
        <v>94</v>
      </c>
      <c r="C48" s="66" t="s">
        <v>168</v>
      </c>
      <c r="D48" s="67">
        <v>77285005436.770004</v>
      </c>
      <c r="E48" s="67">
        <v>1221546177.45</v>
      </c>
      <c r="F48" s="75">
        <v>0</v>
      </c>
      <c r="G48" s="67">
        <v>106637291.23999999</v>
      </c>
      <c r="H48" s="68">
        <f t="shared" si="26"/>
        <v>1114908886.21</v>
      </c>
      <c r="I48" s="87">
        <v>72273164617.690002</v>
      </c>
      <c r="J48" s="70">
        <f t="shared" si="19"/>
        <v>1.1207683170623227E-2</v>
      </c>
      <c r="K48" s="87">
        <v>77422273490.080002</v>
      </c>
      <c r="L48" s="70">
        <f t="shared" si="20"/>
        <v>1.1766844438413715E-2</v>
      </c>
      <c r="M48" s="70">
        <f t="shared" si="21"/>
        <v>7.1245100441190215E-2</v>
      </c>
      <c r="N48" s="72">
        <f t="shared" si="22"/>
        <v>1.3773464202606149E-3</v>
      </c>
      <c r="O48" s="73">
        <f t="shared" si="23"/>
        <v>1.4400363564018198E-2</v>
      </c>
      <c r="P48" s="88">
        <f t="shared" si="24"/>
        <v>0.99894287891719757</v>
      </c>
      <c r="Q48" s="88">
        <f t="shared" si="25"/>
        <v>1.4385140636094654E-2</v>
      </c>
      <c r="R48" s="75">
        <v>1</v>
      </c>
      <c r="S48" s="75">
        <v>1</v>
      </c>
      <c r="T48" s="67">
        <v>4757</v>
      </c>
      <c r="U48" s="89">
        <v>72314865233</v>
      </c>
      <c r="V48" s="89">
        <v>77504204819</v>
      </c>
      <c r="W48" s="30"/>
    </row>
    <row r="49" spans="1:23">
      <c r="A49" s="167">
        <v>42</v>
      </c>
      <c r="B49" s="66" t="s">
        <v>95</v>
      </c>
      <c r="C49" s="66" t="s">
        <v>96</v>
      </c>
      <c r="D49" s="67">
        <v>8283889060.8299999</v>
      </c>
      <c r="E49" s="67">
        <v>260968036.80000001</v>
      </c>
      <c r="F49" s="75">
        <v>0</v>
      </c>
      <c r="G49" s="67">
        <v>22516387.68</v>
      </c>
      <c r="H49" s="68">
        <f t="shared" si="26"/>
        <v>238451649.12</v>
      </c>
      <c r="I49" s="87">
        <v>13888957058.83</v>
      </c>
      <c r="J49" s="70">
        <f t="shared" si="19"/>
        <v>2.1538150585930847E-3</v>
      </c>
      <c r="K49" s="87">
        <v>17105131082.27</v>
      </c>
      <c r="L49" s="70">
        <f t="shared" si="20"/>
        <v>2.5996836242419977E-3</v>
      </c>
      <c r="M49" s="70">
        <f t="shared" si="21"/>
        <v>0.23156339311995322</v>
      </c>
      <c r="N49" s="72">
        <f t="shared" si="22"/>
        <v>1.3163528283825275E-3</v>
      </c>
      <c r="O49" s="73">
        <f t="shared" si="23"/>
        <v>1.3940357894547943E-2</v>
      </c>
      <c r="P49" s="88">
        <f t="shared" si="24"/>
        <v>1.0624247987067617</v>
      </c>
      <c r="Q49" s="88">
        <f t="shared" si="25"/>
        <v>1.4810581930015313E-2</v>
      </c>
      <c r="R49" s="75">
        <v>1</v>
      </c>
      <c r="S49" s="75">
        <v>1</v>
      </c>
      <c r="T49" s="75">
        <v>3059</v>
      </c>
      <c r="U49" s="89">
        <v>13108045415.209999</v>
      </c>
      <c r="V49" s="89">
        <v>16100086427.85</v>
      </c>
      <c r="W49" s="30"/>
    </row>
    <row r="50" spans="1:23">
      <c r="A50" s="167">
        <v>43</v>
      </c>
      <c r="B50" s="66" t="s">
        <v>97</v>
      </c>
      <c r="C50" s="66" t="s">
        <v>170</v>
      </c>
      <c r="D50" s="67">
        <v>815420326310</v>
      </c>
      <c r="E50" s="67">
        <v>11283020925.68</v>
      </c>
      <c r="F50" s="75">
        <v>0</v>
      </c>
      <c r="G50" s="67">
        <v>1188651581.75</v>
      </c>
      <c r="H50" s="68">
        <f t="shared" ref="H50:H54" si="27">(E50+F50)-G50</f>
        <v>10094369343.93</v>
      </c>
      <c r="I50" s="87">
        <v>753677286089.71997</v>
      </c>
      <c r="J50" s="70">
        <f t="shared" si="19"/>
        <v>0.11687569348971347</v>
      </c>
      <c r="K50" s="87">
        <v>751265914270.69995</v>
      </c>
      <c r="L50" s="70">
        <f t="shared" si="20"/>
        <v>0.11417940531336425</v>
      </c>
      <c r="M50" s="70">
        <f t="shared" si="21"/>
        <v>-3.1994752442797681E-3</v>
      </c>
      <c r="N50" s="72">
        <f t="shared" si="22"/>
        <v>1.5821982059493504E-3</v>
      </c>
      <c r="O50" s="73">
        <f t="shared" si="23"/>
        <v>1.3436479883064076E-2</v>
      </c>
      <c r="P50" s="88">
        <f t="shared" si="24"/>
        <v>100.04612825445228</v>
      </c>
      <c r="Q50" s="88">
        <f t="shared" si="25"/>
        <v>1.3442677896693964</v>
      </c>
      <c r="R50" s="75">
        <v>100</v>
      </c>
      <c r="S50" s="75">
        <v>100</v>
      </c>
      <c r="T50" s="67">
        <v>76302</v>
      </c>
      <c r="U50" s="89">
        <v>7533559140</v>
      </c>
      <c r="V50" s="89">
        <v>7509195282</v>
      </c>
      <c r="W50" s="30"/>
    </row>
    <row r="51" spans="1:23">
      <c r="A51" s="167">
        <v>44</v>
      </c>
      <c r="B51" s="66" t="s">
        <v>98</v>
      </c>
      <c r="C51" s="66" t="s">
        <v>99</v>
      </c>
      <c r="D51" s="67">
        <v>7577199700.75</v>
      </c>
      <c r="E51" s="67">
        <v>109187363.91</v>
      </c>
      <c r="F51" s="75">
        <v>0</v>
      </c>
      <c r="G51" s="67">
        <v>9560695.5299999993</v>
      </c>
      <c r="H51" s="68">
        <f t="shared" si="27"/>
        <v>99626668.379999995</v>
      </c>
      <c r="I51" s="87">
        <v>7877422727.7799997</v>
      </c>
      <c r="J51" s="70">
        <f t="shared" si="19"/>
        <v>1.2215828461511011E-3</v>
      </c>
      <c r="K51" s="87">
        <v>7877422727.7799997</v>
      </c>
      <c r="L51" s="70">
        <f t="shared" si="20"/>
        <v>1.1972317995194034E-3</v>
      </c>
      <c r="M51" s="70">
        <f t="shared" si="21"/>
        <v>0</v>
      </c>
      <c r="N51" s="72">
        <f t="shared" si="22"/>
        <v>1.213683188066559E-3</v>
      </c>
      <c r="O51" s="73">
        <f t="shared" si="23"/>
        <v>1.2647114649397087E-2</v>
      </c>
      <c r="P51" s="88">
        <f t="shared" si="24"/>
        <v>1.0078806231835462</v>
      </c>
      <c r="Q51" s="88">
        <f t="shared" si="25"/>
        <v>1.2746781794308094E-2</v>
      </c>
      <c r="R51" s="75">
        <v>1</v>
      </c>
      <c r="S51" s="75">
        <v>1</v>
      </c>
      <c r="T51" s="75">
        <v>1166</v>
      </c>
      <c r="U51" s="89">
        <v>7855938168.5900002</v>
      </c>
      <c r="V51" s="89">
        <v>7815829123.5900002</v>
      </c>
      <c r="W51" s="30"/>
    </row>
    <row r="52" spans="1:23">
      <c r="A52" s="167">
        <v>45</v>
      </c>
      <c r="B52" s="66" t="s">
        <v>100</v>
      </c>
      <c r="C52" s="66" t="s">
        <v>101</v>
      </c>
      <c r="D52" s="98" t="s">
        <v>102</v>
      </c>
      <c r="E52" s="92">
        <v>188791.45</v>
      </c>
      <c r="F52" s="75">
        <v>0</v>
      </c>
      <c r="G52" s="67">
        <v>0</v>
      </c>
      <c r="H52" s="68">
        <f t="shared" si="27"/>
        <v>188791.45</v>
      </c>
      <c r="I52" s="87">
        <v>62879332</v>
      </c>
      <c r="J52" s="70">
        <f t="shared" si="19"/>
        <v>9.7509446938474898E-6</v>
      </c>
      <c r="K52" s="87">
        <v>63570701</v>
      </c>
      <c r="L52" s="70">
        <f t="shared" si="20"/>
        <v>9.6616453610569135E-6</v>
      </c>
      <c r="M52" s="70">
        <f t="shared" si="21"/>
        <v>1.0995170877451433E-2</v>
      </c>
      <c r="N52" s="72">
        <f t="shared" si="22"/>
        <v>0</v>
      </c>
      <c r="O52" s="73">
        <f t="shared" si="23"/>
        <v>2.9697871351143353E-3</v>
      </c>
      <c r="P52" s="88">
        <f t="shared" si="24"/>
        <v>0.99995392743815326</v>
      </c>
      <c r="Q52" s="88">
        <f t="shared" si="25"/>
        <v>2.9696503094128811E-3</v>
      </c>
      <c r="R52" s="75">
        <v>1</v>
      </c>
      <c r="S52" s="75">
        <v>1</v>
      </c>
      <c r="T52" s="75">
        <v>38</v>
      </c>
      <c r="U52" s="89">
        <v>63119630</v>
      </c>
      <c r="V52" s="89">
        <v>63573630</v>
      </c>
      <c r="W52" s="30"/>
    </row>
    <row r="53" spans="1:23" ht="15.6" customHeight="1">
      <c r="A53" s="167">
        <v>46</v>
      </c>
      <c r="B53" s="66" t="s">
        <v>103</v>
      </c>
      <c r="C53" s="66" t="s">
        <v>104</v>
      </c>
      <c r="D53" s="67">
        <v>2390383413.5599999</v>
      </c>
      <c r="E53" s="67">
        <v>32770533.100000001</v>
      </c>
      <c r="F53" s="75"/>
      <c r="G53" s="67">
        <v>1838446.01</v>
      </c>
      <c r="H53" s="68">
        <f t="shared" si="27"/>
        <v>30932087.09</v>
      </c>
      <c r="I53" s="87">
        <v>2248139869.5500002</v>
      </c>
      <c r="J53" s="70">
        <f t="shared" si="19"/>
        <v>3.4862786920216587E-4</v>
      </c>
      <c r="K53" s="87">
        <v>2288330916.6700001</v>
      </c>
      <c r="L53" s="70">
        <f t="shared" si="20"/>
        <v>3.4778666017239331E-4</v>
      </c>
      <c r="M53" s="70">
        <f t="shared" si="21"/>
        <v>1.7877467351728762E-2</v>
      </c>
      <c r="N53" s="72">
        <f t="shared" si="22"/>
        <v>8.0340041582592579E-4</v>
      </c>
      <c r="O53" s="73">
        <f t="shared" si="23"/>
        <v>1.3517313804863788E-2</v>
      </c>
      <c r="P53" s="88">
        <f t="shared" si="24"/>
        <v>9.931182503417169</v>
      </c>
      <c r="Q53" s="88">
        <f t="shared" si="25"/>
        <v>0.13424291035206262</v>
      </c>
      <c r="R53" s="75">
        <v>10</v>
      </c>
      <c r="S53" s="75">
        <v>10</v>
      </c>
      <c r="T53" s="75">
        <v>597</v>
      </c>
      <c r="U53" s="89">
        <v>226434430</v>
      </c>
      <c r="V53" s="89">
        <v>230418776</v>
      </c>
      <c r="W53" s="30"/>
    </row>
    <row r="54" spans="1:23">
      <c r="A54" s="167">
        <v>47</v>
      </c>
      <c r="B54" s="66" t="s">
        <v>105</v>
      </c>
      <c r="C54" s="66" t="s">
        <v>106</v>
      </c>
      <c r="D54" s="67">
        <v>5098970093.3299999</v>
      </c>
      <c r="E54" s="67">
        <v>620319836.77999997</v>
      </c>
      <c r="F54" s="75">
        <v>0</v>
      </c>
      <c r="G54" s="67">
        <v>27563797.039999999</v>
      </c>
      <c r="H54" s="68">
        <f t="shared" si="27"/>
        <v>592756039.74000001</v>
      </c>
      <c r="I54" s="87">
        <v>15636231205.049999</v>
      </c>
      <c r="J54" s="70">
        <f t="shared" si="19"/>
        <v>2.4247717151425026E-3</v>
      </c>
      <c r="K54" s="87">
        <v>17226427662.790001</v>
      </c>
      <c r="L54" s="70">
        <f t="shared" si="20"/>
        <v>2.61811860334492E-3</v>
      </c>
      <c r="M54" s="70">
        <f t="shared" si="21"/>
        <v>0.10169947200745019</v>
      </c>
      <c r="N54" s="72">
        <f t="shared" si="22"/>
        <v>1.6000878173679193E-3</v>
      </c>
      <c r="O54" s="73">
        <f t="shared" si="23"/>
        <v>3.4409690235450534E-2</v>
      </c>
      <c r="P54" s="88">
        <f t="shared" si="24"/>
        <v>100.52656770103093</v>
      </c>
      <c r="Q54" s="88">
        <f t="shared" si="25"/>
        <v>3.459088055025521</v>
      </c>
      <c r="R54" s="75">
        <v>100</v>
      </c>
      <c r="S54" s="75">
        <v>100</v>
      </c>
      <c r="T54" s="75">
        <v>1173</v>
      </c>
      <c r="U54" s="89">
        <v>156198611</v>
      </c>
      <c r="V54" s="89">
        <v>171361940</v>
      </c>
      <c r="W54" s="30"/>
    </row>
    <row r="55" spans="1:23">
      <c r="A55" s="196">
        <v>48</v>
      </c>
      <c r="B55" s="197" t="s">
        <v>107</v>
      </c>
      <c r="C55" s="78" t="s">
        <v>108</v>
      </c>
      <c r="D55" s="75">
        <v>181325600.00999999</v>
      </c>
      <c r="E55" s="75">
        <v>3184902.63</v>
      </c>
      <c r="F55" s="75">
        <v>0</v>
      </c>
      <c r="G55" s="75">
        <v>287422.09999999998</v>
      </c>
      <c r="H55" s="68">
        <f t="shared" ref="H55:H78" si="28">(E55+F55)-G55</f>
        <v>2897480.53</v>
      </c>
      <c r="I55" s="86">
        <v>289090017.10000002</v>
      </c>
      <c r="J55" s="70">
        <f t="shared" si="19"/>
        <v>4.4830323074766846E-5</v>
      </c>
      <c r="K55" s="86">
        <v>184270436.80000001</v>
      </c>
      <c r="L55" s="70">
        <f t="shared" si="20"/>
        <v>2.8005914405264327E-5</v>
      </c>
      <c r="M55" s="70">
        <f t="shared" si="21"/>
        <v>-0.36258457262376359</v>
      </c>
      <c r="N55" s="72">
        <f t="shared" si="22"/>
        <v>1.5597841139973895E-3</v>
      </c>
      <c r="O55" s="73">
        <f t="shared" si="23"/>
        <v>1.5724066108036706E-2</v>
      </c>
      <c r="P55" s="88">
        <f t="shared" si="24"/>
        <v>1.001968496125434</v>
      </c>
      <c r="Q55" s="88">
        <f t="shared" si="25"/>
        <v>1.5755018871246442E-2</v>
      </c>
      <c r="R55" s="75">
        <v>1</v>
      </c>
      <c r="S55" s="75">
        <v>1</v>
      </c>
      <c r="T55" s="75">
        <v>165</v>
      </c>
      <c r="U55" s="90">
        <v>182326977.31</v>
      </c>
      <c r="V55" s="90">
        <v>183908413.80000001</v>
      </c>
      <c r="W55" s="31"/>
    </row>
    <row r="56" spans="1:23">
      <c r="A56" s="167">
        <v>49</v>
      </c>
      <c r="B56" s="76" t="s">
        <v>109</v>
      </c>
      <c r="C56" s="76" t="s">
        <v>44</v>
      </c>
      <c r="D56" s="67">
        <v>7209371074.1300001</v>
      </c>
      <c r="E56" s="67">
        <v>104853701.31999999</v>
      </c>
      <c r="F56" s="75">
        <v>0</v>
      </c>
      <c r="G56" s="67">
        <v>8104560.71</v>
      </c>
      <c r="H56" s="68">
        <f t="shared" si="28"/>
        <v>96749140.609999999</v>
      </c>
      <c r="I56" s="87">
        <v>6578562419.3199997</v>
      </c>
      <c r="J56" s="70">
        <f t="shared" si="19"/>
        <v>1.0201634825861836E-3</v>
      </c>
      <c r="K56" s="87">
        <v>6965781664.8400002</v>
      </c>
      <c r="L56" s="70">
        <f t="shared" si="20"/>
        <v>1.0586781496752205E-3</v>
      </c>
      <c r="M56" s="70">
        <f t="shared" si="21"/>
        <v>5.8860769395880537E-2</v>
      </c>
      <c r="N56" s="72">
        <f t="shared" si="22"/>
        <v>1.163481874677184E-3</v>
      </c>
      <c r="O56" s="73">
        <f t="shared" si="23"/>
        <v>1.3889200848534242E-2</v>
      </c>
      <c r="P56" s="88">
        <f t="shared" si="24"/>
        <v>99.999999997703057</v>
      </c>
      <c r="Q56" s="88">
        <f t="shared" si="25"/>
        <v>1.3889200848215215</v>
      </c>
      <c r="R56" s="75">
        <v>100</v>
      </c>
      <c r="S56" s="75">
        <v>100</v>
      </c>
      <c r="T56" s="67">
        <v>28742</v>
      </c>
      <c r="U56" s="89">
        <v>65785624.189999998</v>
      </c>
      <c r="V56" s="89">
        <v>69657816.650000006</v>
      </c>
      <c r="W56" s="30"/>
    </row>
    <row r="57" spans="1:23">
      <c r="A57" s="167">
        <v>50</v>
      </c>
      <c r="B57" s="76" t="s">
        <v>110</v>
      </c>
      <c r="C57" s="76" t="s">
        <v>44</v>
      </c>
      <c r="D57" s="67">
        <v>675325860917.26001</v>
      </c>
      <c r="E57" s="67">
        <v>9885241879.4699993</v>
      </c>
      <c r="F57" s="75">
        <v>0</v>
      </c>
      <c r="G57" s="67">
        <v>746675558.40999997</v>
      </c>
      <c r="H57" s="68">
        <f t="shared" si="28"/>
        <v>9138566321.0599995</v>
      </c>
      <c r="I57" s="87">
        <v>609136796834.01001</v>
      </c>
      <c r="J57" s="70">
        <f t="shared" si="19"/>
        <v>9.4461232777025159E-2</v>
      </c>
      <c r="K57" s="87">
        <v>644490670543.97998</v>
      </c>
      <c r="L57" s="70">
        <f t="shared" si="20"/>
        <v>9.7951417860024925E-2</v>
      </c>
      <c r="M57" s="70">
        <f t="shared" si="21"/>
        <v>5.8039300685366266E-2</v>
      </c>
      <c r="N57" s="72">
        <f t="shared" si="22"/>
        <v>1.158551384118208E-3</v>
      </c>
      <c r="O57" s="73">
        <f t="shared" si="23"/>
        <v>1.4179516847538889E-2</v>
      </c>
      <c r="P57" s="88">
        <f t="shared" si="24"/>
        <v>99.999999999996902</v>
      </c>
      <c r="Q57" s="88">
        <f t="shared" si="25"/>
        <v>1.4179516847538449</v>
      </c>
      <c r="R57" s="75">
        <v>100</v>
      </c>
      <c r="S57" s="75">
        <v>100</v>
      </c>
      <c r="T57" s="67">
        <v>74879</v>
      </c>
      <c r="U57" s="89">
        <v>6091367968.3400002</v>
      </c>
      <c r="V57" s="89">
        <v>6444906705.4399996</v>
      </c>
      <c r="W57" s="30"/>
    </row>
    <row r="58" spans="1:23">
      <c r="A58" s="167">
        <v>51</v>
      </c>
      <c r="B58" s="66" t="s">
        <v>111</v>
      </c>
      <c r="C58" s="76" t="s">
        <v>112</v>
      </c>
      <c r="D58" s="67">
        <v>4345316616.6000004</v>
      </c>
      <c r="E58" s="67">
        <v>110025682.44</v>
      </c>
      <c r="F58" s="75"/>
      <c r="G58" s="67">
        <v>110025682.11</v>
      </c>
      <c r="H58" s="68">
        <f t="shared" si="28"/>
        <v>0.32999999821186099</v>
      </c>
      <c r="I58" s="87">
        <v>7000614546.5799999</v>
      </c>
      <c r="J58" s="70">
        <f t="shared" si="19"/>
        <v>1.0856127617043675E-3</v>
      </c>
      <c r="K58" s="87">
        <v>7154335124.4700003</v>
      </c>
      <c r="L58" s="70">
        <f t="shared" si="20"/>
        <v>1.0873350093588258E-3</v>
      </c>
      <c r="M58" s="70">
        <f t="shared" si="21"/>
        <v>2.1958154797295223E-2</v>
      </c>
      <c r="N58" s="72">
        <f t="shared" si="22"/>
        <v>1.5378882900477883E-2</v>
      </c>
      <c r="O58" s="73">
        <f t="shared" si="23"/>
        <v>4.6125879270480453E-11</v>
      </c>
      <c r="P58" s="88">
        <f t="shared" si="24"/>
        <v>100.00000000656945</v>
      </c>
      <c r="Q58" s="88">
        <f t="shared" si="25"/>
        <v>4.6125879273510676E-9</v>
      </c>
      <c r="R58" s="75">
        <v>100</v>
      </c>
      <c r="S58" s="75">
        <v>100</v>
      </c>
      <c r="T58" s="75">
        <v>1199</v>
      </c>
      <c r="U58" s="89">
        <v>70006145.469999999</v>
      </c>
      <c r="V58" s="89">
        <v>71543351.239999995</v>
      </c>
      <c r="W58" s="30"/>
    </row>
    <row r="59" spans="1:23">
      <c r="A59" s="167">
        <v>52</v>
      </c>
      <c r="B59" s="66" t="s">
        <v>113</v>
      </c>
      <c r="C59" s="66" t="s">
        <v>48</v>
      </c>
      <c r="D59" s="67">
        <v>136011992116.55</v>
      </c>
      <c r="E59" s="67">
        <v>1991999803.6400001</v>
      </c>
      <c r="F59" s="75">
        <v>0</v>
      </c>
      <c r="G59" s="67">
        <v>185300120.72999999</v>
      </c>
      <c r="H59" s="68">
        <f t="shared" si="28"/>
        <v>1806699682.9100001</v>
      </c>
      <c r="I59" s="87">
        <v>135205106665.67999</v>
      </c>
      <c r="J59" s="70">
        <f t="shared" si="19"/>
        <v>2.0966786311005917E-2</v>
      </c>
      <c r="K59" s="87">
        <v>135933268617.7</v>
      </c>
      <c r="L59" s="70">
        <f t="shared" si="20"/>
        <v>2.0659502152626956E-2</v>
      </c>
      <c r="M59" s="70">
        <f t="shared" si="21"/>
        <v>5.3856098336619888E-3</v>
      </c>
      <c r="N59" s="72">
        <f t="shared" si="22"/>
        <v>1.3631697568542973E-3</v>
      </c>
      <c r="O59" s="73">
        <f t="shared" si="23"/>
        <v>1.3291078050886713E-2</v>
      </c>
      <c r="P59" s="88">
        <f t="shared" si="24"/>
        <v>9.950717746355993</v>
      </c>
      <c r="Q59" s="88">
        <f t="shared" si="25"/>
        <v>0.13225576622916105</v>
      </c>
      <c r="R59" s="75">
        <v>10</v>
      </c>
      <c r="S59" s="75">
        <v>10</v>
      </c>
      <c r="T59" s="67">
        <v>13419</v>
      </c>
      <c r="U59" s="89">
        <v>13502336070.219999</v>
      </c>
      <c r="V59" s="89">
        <v>13660649621.73</v>
      </c>
      <c r="W59" s="30"/>
    </row>
    <row r="60" spans="1:23">
      <c r="A60" s="93">
        <v>53</v>
      </c>
      <c r="B60" s="94" t="s">
        <v>114</v>
      </c>
      <c r="C60" s="66" t="s">
        <v>115</v>
      </c>
      <c r="D60" s="67">
        <v>835240597.46000004</v>
      </c>
      <c r="E60" s="67">
        <v>13721022.92</v>
      </c>
      <c r="F60" s="75">
        <v>0</v>
      </c>
      <c r="G60" s="67">
        <v>13682830.77</v>
      </c>
      <c r="H60" s="68">
        <f t="shared" si="28"/>
        <v>38192.150000000402</v>
      </c>
      <c r="I60" s="87">
        <v>792758147.48000002</v>
      </c>
      <c r="J60" s="70">
        <f t="shared" si="19"/>
        <v>1.2293611598282361E-4</v>
      </c>
      <c r="K60" s="87">
        <v>833519571</v>
      </c>
      <c r="L60" s="70">
        <f t="shared" si="20"/>
        <v>1.2668053631345515E-4</v>
      </c>
      <c r="M60" s="70">
        <f t="shared" si="21"/>
        <v>5.1417224344614286E-2</v>
      </c>
      <c r="N60" s="72">
        <f t="shared" si="22"/>
        <v>1.6415728251688525E-2</v>
      </c>
      <c r="O60" s="73">
        <f t="shared" si="23"/>
        <v>4.5820339832189019E-5</v>
      </c>
      <c r="P60" s="88">
        <f t="shared" si="24"/>
        <v>1</v>
      </c>
      <c r="Q60" s="88">
        <f t="shared" si="25"/>
        <v>4.5820339832189019E-5</v>
      </c>
      <c r="R60" s="75">
        <v>1</v>
      </c>
      <c r="S60" s="75">
        <v>1</v>
      </c>
      <c r="T60" s="67">
        <v>432</v>
      </c>
      <c r="U60" s="89">
        <v>792758147.48000002</v>
      </c>
      <c r="V60" s="89">
        <v>833519571</v>
      </c>
      <c r="W60" s="30"/>
    </row>
    <row r="61" spans="1:23" ht="14.1" customHeight="1">
      <c r="A61" s="167">
        <v>54</v>
      </c>
      <c r="B61" s="66" t="s">
        <v>116</v>
      </c>
      <c r="C61" s="66" t="s">
        <v>117</v>
      </c>
      <c r="D61" s="67">
        <v>17354892531.150002</v>
      </c>
      <c r="E61" s="67">
        <v>681053400.08000004</v>
      </c>
      <c r="F61" s="67">
        <v>94942534.969999999</v>
      </c>
      <c r="G61" s="67">
        <v>62208450.299999997</v>
      </c>
      <c r="H61" s="68">
        <f t="shared" si="28"/>
        <v>713787484.75</v>
      </c>
      <c r="I61" s="87">
        <v>49691492601.550003</v>
      </c>
      <c r="J61" s="70">
        <f t="shared" si="19"/>
        <v>7.7058547013897317E-3</v>
      </c>
      <c r="K61" s="87">
        <v>48880881293</v>
      </c>
      <c r="L61" s="70">
        <f t="shared" si="20"/>
        <v>7.4290472271005339E-3</v>
      </c>
      <c r="M61" s="70">
        <f t="shared" si="21"/>
        <v>-1.6312879048529891E-2</v>
      </c>
      <c r="N61" s="72">
        <f t="shared" si="22"/>
        <v>1.272654024527757E-3</v>
      </c>
      <c r="O61" s="73">
        <f t="shared" si="23"/>
        <v>1.4602590335297783E-2</v>
      </c>
      <c r="P61" s="88">
        <f t="shared" si="24"/>
        <v>99.999999985679466</v>
      </c>
      <c r="Q61" s="88">
        <f t="shared" si="25"/>
        <v>1.4602590333206615</v>
      </c>
      <c r="R61" s="75">
        <v>100</v>
      </c>
      <c r="S61" s="75">
        <v>100</v>
      </c>
      <c r="T61" s="75">
        <v>7506</v>
      </c>
      <c r="U61" s="89">
        <v>496914926</v>
      </c>
      <c r="V61" s="89">
        <v>488808813</v>
      </c>
      <c r="W61" s="30"/>
    </row>
    <row r="62" spans="1:23">
      <c r="A62" s="167">
        <v>55</v>
      </c>
      <c r="B62" s="66" t="s">
        <v>118</v>
      </c>
      <c r="C62" s="76" t="s">
        <v>119</v>
      </c>
      <c r="D62" s="67">
        <v>301728471.028</v>
      </c>
      <c r="E62" s="67">
        <v>3181468.73</v>
      </c>
      <c r="F62" s="75">
        <v>0</v>
      </c>
      <c r="G62" s="67">
        <v>85569.16</v>
      </c>
      <c r="H62" s="68">
        <f t="shared" si="28"/>
        <v>3095899.57</v>
      </c>
      <c r="I62" s="87">
        <v>279976278.31</v>
      </c>
      <c r="J62" s="70">
        <f t="shared" si="19"/>
        <v>4.34170198466813E-5</v>
      </c>
      <c r="K62" s="87">
        <v>289270158.35799998</v>
      </c>
      <c r="L62" s="70">
        <f t="shared" si="20"/>
        <v>4.3964053245091151E-5</v>
      </c>
      <c r="M62" s="70">
        <f t="shared" si="21"/>
        <v>3.3195241054349088E-2</v>
      </c>
      <c r="N62" s="72">
        <f t="shared" si="22"/>
        <v>2.9581053395110271E-4</v>
      </c>
      <c r="O62" s="73">
        <f t="shared" si="23"/>
        <v>1.0702450565842753E-2</v>
      </c>
      <c r="P62" s="88">
        <f t="shared" si="24"/>
        <v>1.0055896630033789</v>
      </c>
      <c r="Q62" s="88">
        <f t="shared" si="25"/>
        <v>1.0762273657816136E-2</v>
      </c>
      <c r="R62" s="75">
        <v>1.01</v>
      </c>
      <c r="S62" s="75">
        <v>1.01</v>
      </c>
      <c r="T62" s="75">
        <v>153</v>
      </c>
      <c r="U62" s="89">
        <v>279404274</v>
      </c>
      <c r="V62" s="89">
        <v>287662223.47000003</v>
      </c>
      <c r="W62" s="30"/>
    </row>
    <row r="63" spans="1:23" ht="15" customHeight="1">
      <c r="A63" s="167">
        <v>56</v>
      </c>
      <c r="B63" s="76" t="s">
        <v>120</v>
      </c>
      <c r="C63" s="76" t="s">
        <v>50</v>
      </c>
      <c r="D63" s="67">
        <v>3152976358.0100002</v>
      </c>
      <c r="E63" s="67">
        <v>96203372.359999999</v>
      </c>
      <c r="F63" s="75">
        <v>0</v>
      </c>
      <c r="G63" s="67">
        <v>4202746.6399999997</v>
      </c>
      <c r="H63" s="68">
        <f t="shared" si="28"/>
        <v>92000625.719999999</v>
      </c>
      <c r="I63" s="87">
        <v>3190482877.8400002</v>
      </c>
      <c r="J63" s="70">
        <f t="shared" si="19"/>
        <v>4.947606963840713E-4</v>
      </c>
      <c r="K63" s="87">
        <v>3227277799.27</v>
      </c>
      <c r="L63" s="70">
        <f t="shared" si="20"/>
        <v>4.9049032160521501E-4</v>
      </c>
      <c r="M63" s="70">
        <f t="shared" si="21"/>
        <v>1.1532712394592283E-2</v>
      </c>
      <c r="N63" s="72">
        <f t="shared" si="22"/>
        <v>1.3022574756194362E-3</v>
      </c>
      <c r="O63" s="73">
        <f t="shared" si="23"/>
        <v>2.850719133655313E-2</v>
      </c>
      <c r="P63" s="88">
        <f t="shared" si="24"/>
        <v>9.9553662797280733</v>
      </c>
      <c r="Q63" s="88">
        <f t="shared" si="25"/>
        <v>0.28379953136167729</v>
      </c>
      <c r="R63" s="75">
        <v>10</v>
      </c>
      <c r="S63" s="75">
        <v>10</v>
      </c>
      <c r="T63" s="75">
        <v>1100</v>
      </c>
      <c r="U63" s="89">
        <v>301019464.18000001</v>
      </c>
      <c r="V63" s="89">
        <v>324174692.18000001</v>
      </c>
      <c r="W63" s="30"/>
    </row>
    <row r="64" spans="1:23" ht="15" customHeight="1">
      <c r="A64" s="167">
        <v>57</v>
      </c>
      <c r="B64" s="75" t="s">
        <v>121</v>
      </c>
      <c r="C64" s="75" t="s">
        <v>122</v>
      </c>
      <c r="D64" s="67">
        <v>1105661479.7</v>
      </c>
      <c r="E64" s="67">
        <v>39735679.369999997</v>
      </c>
      <c r="F64" s="75">
        <v>0</v>
      </c>
      <c r="G64" s="67">
        <v>3712144.37</v>
      </c>
      <c r="H64" s="68">
        <f t="shared" si="28"/>
        <v>36023535</v>
      </c>
      <c r="I64" s="87">
        <v>2345563627</v>
      </c>
      <c r="J64" s="70">
        <f t="shared" si="19"/>
        <v>3.6373575347106621E-4</v>
      </c>
      <c r="K64" s="87">
        <v>2408989746</v>
      </c>
      <c r="L64" s="70">
        <f t="shared" si="20"/>
        <v>3.6612471214175497E-4</v>
      </c>
      <c r="M64" s="70">
        <f t="shared" si="21"/>
        <v>2.7040886152008871E-2</v>
      </c>
      <c r="N64" s="72">
        <f t="shared" si="22"/>
        <v>1.5409548239729203E-3</v>
      </c>
      <c r="O64" s="73">
        <f t="shared" si="23"/>
        <v>1.4953793414776951E-2</v>
      </c>
      <c r="P64" s="88">
        <f t="shared" si="24"/>
        <v>1</v>
      </c>
      <c r="Q64" s="88">
        <f t="shared" si="25"/>
        <v>1.4953793414776951E-2</v>
      </c>
      <c r="R64" s="75">
        <v>1</v>
      </c>
      <c r="S64" s="75">
        <v>1</v>
      </c>
      <c r="T64" s="75">
        <v>359</v>
      </c>
      <c r="U64" s="89">
        <v>2345563627</v>
      </c>
      <c r="V64" s="89">
        <v>2408989746</v>
      </c>
      <c r="W64" s="30"/>
    </row>
    <row r="65" spans="1:23" ht="15" customHeight="1">
      <c r="A65" s="167">
        <v>58</v>
      </c>
      <c r="B65" s="75" t="s">
        <v>123</v>
      </c>
      <c r="C65" s="75" t="s">
        <v>124</v>
      </c>
      <c r="D65" s="67">
        <v>2542575578.6900001</v>
      </c>
      <c r="E65" s="67">
        <v>45114292.770000003</v>
      </c>
      <c r="F65" s="75">
        <v>0</v>
      </c>
      <c r="G65" s="67">
        <v>3889761.08</v>
      </c>
      <c r="H65" s="68">
        <f t="shared" si="28"/>
        <v>41224531.689999998</v>
      </c>
      <c r="I65" s="87">
        <v>2846545287.3699999</v>
      </c>
      <c r="J65" s="70">
        <f t="shared" si="19"/>
        <v>4.4142494493543729E-4</v>
      </c>
      <c r="K65" s="87">
        <v>3294653110.3000002</v>
      </c>
      <c r="L65" s="70">
        <f t="shared" si="20"/>
        <v>5.0073020178622435E-4</v>
      </c>
      <c r="M65" s="70">
        <f t="shared" si="21"/>
        <v>0.15742163840436182</v>
      </c>
      <c r="N65" s="72">
        <f t="shared" si="22"/>
        <v>1.1806284151249572E-3</v>
      </c>
      <c r="O65" s="73">
        <f t="shared" si="23"/>
        <v>1.2512556044556153E-2</v>
      </c>
      <c r="P65" s="88">
        <f t="shared" si="24"/>
        <v>1</v>
      </c>
      <c r="Q65" s="88">
        <f t="shared" si="25"/>
        <v>1.2512556044556153E-2</v>
      </c>
      <c r="R65" s="75">
        <v>1</v>
      </c>
      <c r="S65" s="75">
        <v>1</v>
      </c>
      <c r="T65" s="67">
        <v>3662</v>
      </c>
      <c r="U65" s="89">
        <v>2846545287.3699999</v>
      </c>
      <c r="V65" s="89">
        <v>3294653110.3000002</v>
      </c>
      <c r="W65" s="30"/>
    </row>
    <row r="66" spans="1:23" ht="15" customHeight="1">
      <c r="A66" s="167">
        <v>59</v>
      </c>
      <c r="B66" s="78" t="s">
        <v>125</v>
      </c>
      <c r="C66" s="75" t="s">
        <v>126</v>
      </c>
      <c r="D66" s="67">
        <v>414642006.18000001</v>
      </c>
      <c r="E66" s="67">
        <v>8131241.8700000001</v>
      </c>
      <c r="F66" s="75">
        <v>0</v>
      </c>
      <c r="G66" s="67">
        <v>823697.36</v>
      </c>
      <c r="H66" s="68">
        <f t="shared" si="28"/>
        <v>7307544.5099999998</v>
      </c>
      <c r="I66" s="87">
        <v>406489241.72000003</v>
      </c>
      <c r="J66" s="70">
        <f t="shared" si="19"/>
        <v>6.3035881403061413E-5</v>
      </c>
      <c r="K66" s="87">
        <v>734492387.01999998</v>
      </c>
      <c r="L66" s="70">
        <f t="shared" si="20"/>
        <v>1.1163011972737885E-4</v>
      </c>
      <c r="M66" s="70">
        <f t="shared" si="21"/>
        <v>0.80691716196990215</v>
      </c>
      <c r="N66" s="72">
        <f t="shared" si="22"/>
        <v>1.1214511879992718E-3</v>
      </c>
      <c r="O66" s="73">
        <f t="shared" si="23"/>
        <v>9.9491085804828336E-3</v>
      </c>
      <c r="P66" s="88">
        <f t="shared" si="24"/>
        <v>1.000598319395277</v>
      </c>
      <c r="Q66" s="88">
        <f t="shared" si="25"/>
        <v>9.9550613251122525E-3</v>
      </c>
      <c r="R66" s="75">
        <v>1</v>
      </c>
      <c r="S66" s="75">
        <v>1</v>
      </c>
      <c r="T66" s="67">
        <v>120</v>
      </c>
      <c r="U66" s="89">
        <v>406246964.39999998</v>
      </c>
      <c r="V66" s="89">
        <v>734053188.75999999</v>
      </c>
      <c r="W66" s="30"/>
    </row>
    <row r="67" spans="1:23" ht="15" customHeight="1">
      <c r="A67" s="167">
        <v>60</v>
      </c>
      <c r="B67" s="78" t="s">
        <v>127</v>
      </c>
      <c r="C67" s="79" t="s">
        <v>128</v>
      </c>
      <c r="D67" s="75">
        <v>29140748139.243301</v>
      </c>
      <c r="E67" s="75">
        <v>439824120.34030002</v>
      </c>
      <c r="F67" s="75">
        <v>0</v>
      </c>
      <c r="G67" s="75">
        <v>33546270.810899999</v>
      </c>
      <c r="H67" s="68">
        <f t="shared" si="28"/>
        <v>406277849.52939999</v>
      </c>
      <c r="I67" s="86">
        <v>34585192796.502502</v>
      </c>
      <c r="J67" s="70">
        <f t="shared" si="19"/>
        <v>5.3632615274085372E-3</v>
      </c>
      <c r="K67" s="86">
        <v>29009167884.66</v>
      </c>
      <c r="L67" s="70">
        <f t="shared" si="20"/>
        <v>4.4088910128731555E-3</v>
      </c>
      <c r="M67" s="70">
        <f t="shared" si="21"/>
        <v>-0.16122578655702591</v>
      </c>
      <c r="N67" s="72">
        <f t="shared" si="22"/>
        <v>1.1564023809396895E-3</v>
      </c>
      <c r="O67" s="73">
        <f t="shared" si="23"/>
        <v>1.4005153513701407E-2</v>
      </c>
      <c r="P67" s="88">
        <f t="shared" si="24"/>
        <v>99.486698990268295</v>
      </c>
      <c r="Q67" s="88">
        <f t="shared" si="25"/>
        <v>1.39332649193011</v>
      </c>
      <c r="R67" s="75">
        <v>100</v>
      </c>
      <c r="S67" s="75">
        <v>100</v>
      </c>
      <c r="T67" s="75">
        <v>168</v>
      </c>
      <c r="U67" s="90">
        <v>345859950.68756598</v>
      </c>
      <c r="V67" s="90">
        <v>291588405.07410598</v>
      </c>
      <c r="W67" s="31"/>
    </row>
    <row r="68" spans="1:23" ht="15" customHeight="1">
      <c r="A68" s="167">
        <v>61</v>
      </c>
      <c r="B68" s="78" t="s">
        <v>129</v>
      </c>
      <c r="C68" s="79" t="s">
        <v>88</v>
      </c>
      <c r="D68" s="67">
        <v>566683391.29999995</v>
      </c>
      <c r="E68" s="67">
        <v>9175348.8200000003</v>
      </c>
      <c r="F68" s="75">
        <v>0</v>
      </c>
      <c r="G68" s="67">
        <v>571360.01</v>
      </c>
      <c r="H68" s="68">
        <f t="shared" si="28"/>
        <v>8603988.8100000005</v>
      </c>
      <c r="I68" s="87">
        <v>514493500</v>
      </c>
      <c r="J68" s="70">
        <f t="shared" si="19"/>
        <v>7.9784525443813941E-5</v>
      </c>
      <c r="K68" s="87">
        <v>518677500</v>
      </c>
      <c r="L68" s="70">
        <f t="shared" si="20"/>
        <v>7.8829995311198437E-5</v>
      </c>
      <c r="M68" s="70">
        <f t="shared" si="21"/>
        <v>8.1322698926225498E-3</v>
      </c>
      <c r="N68" s="72">
        <f t="shared" si="22"/>
        <v>1.1015708412260028E-3</v>
      </c>
      <c r="O68" s="73">
        <f t="shared" si="23"/>
        <v>1.6588320893040475E-2</v>
      </c>
      <c r="P68" s="88">
        <f t="shared" si="24"/>
        <v>1000</v>
      </c>
      <c r="Q68" s="88">
        <f t="shared" si="25"/>
        <v>16.588320893040475</v>
      </c>
      <c r="R68" s="75">
        <v>1000</v>
      </c>
      <c r="S68" s="75">
        <v>1000</v>
      </c>
      <c r="T68" s="75">
        <v>73</v>
      </c>
      <c r="U68" s="89">
        <v>514493.5</v>
      </c>
      <c r="V68" s="89">
        <v>518677.5</v>
      </c>
      <c r="W68" s="30"/>
    </row>
    <row r="69" spans="1:23" ht="15" customHeight="1">
      <c r="A69" s="167">
        <v>62</v>
      </c>
      <c r="B69" s="78" t="s">
        <v>130</v>
      </c>
      <c r="C69" s="79" t="s">
        <v>131</v>
      </c>
      <c r="D69" s="67">
        <v>1482963254.9200001</v>
      </c>
      <c r="E69" s="67">
        <v>21503517.460000001</v>
      </c>
      <c r="F69" s="75">
        <v>0</v>
      </c>
      <c r="G69" s="67">
        <v>1632030.06</v>
      </c>
      <c r="H69" s="68">
        <f t="shared" si="28"/>
        <v>19871487.400000002</v>
      </c>
      <c r="I69" s="86">
        <v>0</v>
      </c>
      <c r="J69" s="70">
        <f t="shared" si="19"/>
        <v>0</v>
      </c>
      <c r="K69" s="87">
        <v>1474087233.8199999</v>
      </c>
      <c r="L69" s="70">
        <f t="shared" si="20"/>
        <v>2.2403572495496347E-4</v>
      </c>
      <c r="M69" s="70" t="e">
        <f t="shared" si="21"/>
        <v>#DIV/0!</v>
      </c>
      <c r="N69" s="72">
        <f t="shared" si="22"/>
        <v>1.1071461868445206E-3</v>
      </c>
      <c r="O69" s="73">
        <f t="shared" si="23"/>
        <v>1.3480536934374197E-2</v>
      </c>
      <c r="P69" s="88">
        <f t="shared" si="24"/>
        <v>100.07204447307787</v>
      </c>
      <c r="Q69" s="88">
        <f t="shared" si="25"/>
        <v>1.3490248916176635</v>
      </c>
      <c r="R69" s="75">
        <v>100</v>
      </c>
      <c r="S69" s="75">
        <v>100</v>
      </c>
      <c r="T69" s="75">
        <v>249</v>
      </c>
      <c r="U69" s="89">
        <v>12062198</v>
      </c>
      <c r="V69" s="89">
        <v>14730260</v>
      </c>
      <c r="W69" s="30"/>
    </row>
    <row r="70" spans="1:23" ht="15" customHeight="1">
      <c r="A70" s="167">
        <v>63</v>
      </c>
      <c r="B70" s="78" t="s">
        <v>132</v>
      </c>
      <c r="C70" s="78" t="s">
        <v>40</v>
      </c>
      <c r="D70" s="67">
        <v>3321000344.54</v>
      </c>
      <c r="E70" s="67">
        <v>54630362.590000004</v>
      </c>
      <c r="F70" s="75">
        <v>0</v>
      </c>
      <c r="G70" s="67">
        <v>49650002.109999999</v>
      </c>
      <c r="H70" s="68">
        <f t="shared" si="28"/>
        <v>4980360.4800000004</v>
      </c>
      <c r="I70" s="87">
        <v>3260653828.8099999</v>
      </c>
      <c r="J70" s="70">
        <f t="shared" si="19"/>
        <v>5.0564238103719631E-4</v>
      </c>
      <c r="K70" s="87">
        <v>3347370168.4200001</v>
      </c>
      <c r="L70" s="70">
        <f t="shared" si="20"/>
        <v>5.0874228143961159E-4</v>
      </c>
      <c r="M70" s="70">
        <f t="shared" si="21"/>
        <v>2.6594770301528119E-2</v>
      </c>
      <c r="N70" s="72">
        <f t="shared" si="22"/>
        <v>1.4832540057389414E-2</v>
      </c>
      <c r="O70" s="73">
        <f t="shared" si="23"/>
        <v>1.4878427629504722E-3</v>
      </c>
      <c r="P70" s="88">
        <f t="shared" si="24"/>
        <v>0.96428016517712389</v>
      </c>
      <c r="Q70" s="88">
        <f t="shared" si="25"/>
        <v>1.4346972652154698E-3</v>
      </c>
      <c r="R70" s="75">
        <v>1</v>
      </c>
      <c r="S70" s="75">
        <v>1</v>
      </c>
      <c r="T70" s="75">
        <v>582</v>
      </c>
      <c r="U70" s="89">
        <v>3205265220.8699999</v>
      </c>
      <c r="V70" s="89">
        <v>3471366817.7600002</v>
      </c>
      <c r="W70" s="30"/>
    </row>
    <row r="71" spans="1:23">
      <c r="A71" s="167">
        <v>64</v>
      </c>
      <c r="B71" s="66" t="s">
        <v>133</v>
      </c>
      <c r="C71" s="66" t="s">
        <v>56</v>
      </c>
      <c r="D71" s="67">
        <v>3108148989788.1899</v>
      </c>
      <c r="E71" s="67">
        <v>45768185565.449997</v>
      </c>
      <c r="F71" s="75">
        <v>0</v>
      </c>
      <c r="G71" s="67">
        <v>5014671796.4700003</v>
      </c>
      <c r="H71" s="68">
        <f t="shared" si="28"/>
        <v>40753513768.980003</v>
      </c>
      <c r="I71" s="87">
        <v>3057728225227.3901</v>
      </c>
      <c r="J71" s="70">
        <f t="shared" si="19"/>
        <v>0.4741739115964006</v>
      </c>
      <c r="K71" s="87">
        <v>3120218406095.48</v>
      </c>
      <c r="L71" s="70">
        <f t="shared" si="20"/>
        <v>0.47421914835793288</v>
      </c>
      <c r="M71" s="70">
        <f t="shared" si="21"/>
        <v>2.0436800220674522E-2</v>
      </c>
      <c r="N71" s="72">
        <f t="shared" si="22"/>
        <v>1.607154097506003E-3</v>
      </c>
      <c r="O71" s="73">
        <f t="shared" si="23"/>
        <v>1.3061109340732775E-2</v>
      </c>
      <c r="P71" s="88">
        <f t="shared" si="24"/>
        <v>0.9999999999994359</v>
      </c>
      <c r="Q71" s="88">
        <f t="shared" si="25"/>
        <v>1.3061109340725406E-2</v>
      </c>
      <c r="R71" s="75">
        <v>100</v>
      </c>
      <c r="S71" s="75">
        <v>100</v>
      </c>
      <c r="T71" s="67">
        <v>386281</v>
      </c>
      <c r="U71" s="89">
        <v>3057728225227.3701</v>
      </c>
      <c r="V71" s="89">
        <v>3120218406097.2402</v>
      </c>
      <c r="W71" s="30"/>
    </row>
    <row r="72" spans="1:23">
      <c r="A72" s="167">
        <v>65</v>
      </c>
      <c r="B72" s="66" t="s">
        <v>134</v>
      </c>
      <c r="C72" s="66" t="s">
        <v>135</v>
      </c>
      <c r="D72" s="75">
        <v>8800938755.4360008</v>
      </c>
      <c r="E72" s="75">
        <v>721045595.63999999</v>
      </c>
      <c r="F72" s="75">
        <v>0</v>
      </c>
      <c r="G72" s="75">
        <v>126008325.81</v>
      </c>
      <c r="H72" s="68">
        <f t="shared" si="28"/>
        <v>595037269.83000004</v>
      </c>
      <c r="I72" s="86">
        <v>19328113446.419998</v>
      </c>
      <c r="J72" s="70">
        <f t="shared" si="19"/>
        <v>2.9972863778586485E-3</v>
      </c>
      <c r="K72" s="86">
        <v>20959309022.205002</v>
      </c>
      <c r="L72" s="70">
        <f t="shared" si="20"/>
        <v>3.1854519078741211E-3</v>
      </c>
      <c r="M72" s="70">
        <f t="shared" si="21"/>
        <v>8.4394971102942168E-2</v>
      </c>
      <c r="N72" s="72">
        <f t="shared" si="22"/>
        <v>6.0120458015339396E-3</v>
      </c>
      <c r="O72" s="73">
        <f t="shared" si="23"/>
        <v>2.8390118643682263E-2</v>
      </c>
      <c r="P72" s="88">
        <f t="shared" si="24"/>
        <v>100.00000000097809</v>
      </c>
      <c r="Q72" s="88">
        <f t="shared" si="25"/>
        <v>2.8390118643959945</v>
      </c>
      <c r="R72" s="75">
        <v>100</v>
      </c>
      <c r="S72" s="75">
        <v>100</v>
      </c>
      <c r="T72" s="75">
        <v>1968</v>
      </c>
      <c r="U72" s="90">
        <v>193281134.46000001</v>
      </c>
      <c r="V72" s="90">
        <v>209593090.22</v>
      </c>
      <c r="W72" s="31"/>
    </row>
    <row r="73" spans="1:23">
      <c r="A73" s="167">
        <v>66</v>
      </c>
      <c r="B73" s="66" t="s">
        <v>136</v>
      </c>
      <c r="C73" s="66" t="s">
        <v>137</v>
      </c>
      <c r="D73" s="67">
        <v>23354382108.389999</v>
      </c>
      <c r="E73" s="67">
        <v>366643297.75</v>
      </c>
      <c r="F73" s="75">
        <v>0</v>
      </c>
      <c r="G73" s="67">
        <v>33084372.789999999</v>
      </c>
      <c r="H73" s="68">
        <f t="shared" si="28"/>
        <v>333558924.95999998</v>
      </c>
      <c r="I73" s="87">
        <v>20673161626.959999</v>
      </c>
      <c r="J73" s="70">
        <f t="shared" si="19"/>
        <v>3.2058682759456979E-3</v>
      </c>
      <c r="K73" s="87">
        <v>23574146098.389999</v>
      </c>
      <c r="L73" s="70">
        <f t="shared" si="20"/>
        <v>3.5828618484541755E-3</v>
      </c>
      <c r="M73" s="70">
        <f t="shared" si="21"/>
        <v>0.14032611575226153</v>
      </c>
      <c r="N73" s="72">
        <f t="shared" si="22"/>
        <v>1.4034176530474418E-3</v>
      </c>
      <c r="O73" s="73">
        <f t="shared" si="23"/>
        <v>1.4149353430145258E-2</v>
      </c>
      <c r="P73" s="88">
        <f t="shared" si="24"/>
        <v>1.0443692254676058</v>
      </c>
      <c r="Q73" s="88">
        <f t="shared" si="25"/>
        <v>1.4777149282708216E-2</v>
      </c>
      <c r="R73" s="75">
        <v>1</v>
      </c>
      <c r="S73" s="75">
        <v>1</v>
      </c>
      <c r="T73" s="75">
        <v>1224</v>
      </c>
      <c r="U73" s="89">
        <v>17855159126.220001</v>
      </c>
      <c r="V73" s="89">
        <v>22572616583.790001</v>
      </c>
      <c r="W73" s="30"/>
    </row>
    <row r="74" spans="1:23">
      <c r="A74" s="167">
        <v>67</v>
      </c>
      <c r="B74" s="66" t="s">
        <v>138</v>
      </c>
      <c r="C74" s="66" t="s">
        <v>59</v>
      </c>
      <c r="D74" s="75">
        <v>83275275409.309998</v>
      </c>
      <c r="E74" s="75">
        <v>4037375997.0100002</v>
      </c>
      <c r="F74" s="75">
        <v>0</v>
      </c>
      <c r="G74" s="75">
        <v>303777698.99000001</v>
      </c>
      <c r="H74" s="68">
        <f t="shared" si="28"/>
        <v>3733598298.02</v>
      </c>
      <c r="I74" s="86">
        <v>275075957097.53003</v>
      </c>
      <c r="J74" s="70">
        <f t="shared" si="19"/>
        <v>4.2657107811914736E-2</v>
      </c>
      <c r="K74" s="86">
        <v>280476850586.89001</v>
      </c>
      <c r="L74" s="70">
        <f t="shared" si="20"/>
        <v>4.2627622784223808E-2</v>
      </c>
      <c r="M74" s="70">
        <f t="shared" si="21"/>
        <v>1.9634189575663503E-2</v>
      </c>
      <c r="N74" s="72">
        <f t="shared" si="22"/>
        <v>1.0830758344382205E-3</v>
      </c>
      <c r="O74" s="73">
        <f t="shared" si="23"/>
        <v>1.331160946155645E-2</v>
      </c>
      <c r="P74" s="88">
        <f t="shared" si="24"/>
        <v>1.042161209550347</v>
      </c>
      <c r="Q74" s="88">
        <f t="shared" si="25"/>
        <v>1.3872843017517513E-2</v>
      </c>
      <c r="R74" s="75">
        <v>1</v>
      </c>
      <c r="S74" s="75">
        <v>1</v>
      </c>
      <c r="T74" s="75">
        <v>23715</v>
      </c>
      <c r="U74" s="90">
        <v>269734576085.57001</v>
      </c>
      <c r="V74" s="90">
        <v>269130004088.23999</v>
      </c>
      <c r="W74" s="31"/>
    </row>
    <row r="75" spans="1:23">
      <c r="A75" s="167">
        <v>68</v>
      </c>
      <c r="B75" s="95" t="s">
        <v>139</v>
      </c>
      <c r="C75" s="66" t="s">
        <v>140</v>
      </c>
      <c r="D75" s="67">
        <v>2306938032.0300002</v>
      </c>
      <c r="E75" s="67">
        <v>53866213.630000003</v>
      </c>
      <c r="F75" s="75">
        <v>0</v>
      </c>
      <c r="G75" s="67">
        <v>6230706.5800000001</v>
      </c>
      <c r="H75" s="68">
        <f t="shared" si="28"/>
        <v>47635507.049999997</v>
      </c>
      <c r="I75" s="87">
        <v>3613755079.1999998</v>
      </c>
      <c r="J75" s="70">
        <f t="shared" si="19"/>
        <v>5.6039917717938949E-4</v>
      </c>
      <c r="K75" s="87">
        <v>3563428207.4299998</v>
      </c>
      <c r="L75" s="70">
        <f t="shared" si="20"/>
        <v>5.4157936074631947E-4</v>
      </c>
      <c r="M75" s="70">
        <f t="shared" si="21"/>
        <v>-1.3926475554381279E-2</v>
      </c>
      <c r="N75" s="72">
        <f t="shared" si="22"/>
        <v>1.7485146935214062E-3</v>
      </c>
      <c r="O75" s="73">
        <f t="shared" si="23"/>
        <v>1.3367887404235224E-2</v>
      </c>
      <c r="P75" s="88">
        <f t="shared" si="24"/>
        <v>1.0394422358195952</v>
      </c>
      <c r="Q75" s="88">
        <f t="shared" si="25"/>
        <v>1.3895146771642865E-2</v>
      </c>
      <c r="R75" s="75">
        <v>1</v>
      </c>
      <c r="S75" s="75">
        <v>1</v>
      </c>
      <c r="T75" s="75">
        <v>175</v>
      </c>
      <c r="U75" s="89">
        <v>3526119044.8499999</v>
      </c>
      <c r="V75" s="89">
        <v>3428211866.5500002</v>
      </c>
      <c r="W75" s="30"/>
    </row>
    <row r="76" spans="1:23">
      <c r="A76" s="167">
        <v>69</v>
      </c>
      <c r="B76" s="66" t="s">
        <v>141</v>
      </c>
      <c r="C76" s="66" t="s">
        <v>142</v>
      </c>
      <c r="D76" s="67">
        <v>13285392744.16</v>
      </c>
      <c r="E76" s="67">
        <v>193086137.75999999</v>
      </c>
      <c r="F76" s="75">
        <v>0</v>
      </c>
      <c r="G76" s="67">
        <v>16883651.120000001</v>
      </c>
      <c r="H76" s="68">
        <f t="shared" si="28"/>
        <v>176202486.63999999</v>
      </c>
      <c r="I76" s="87">
        <v>13393745049.98</v>
      </c>
      <c r="J76" s="70">
        <f t="shared" si="19"/>
        <v>2.0770205896247207E-3</v>
      </c>
      <c r="K76" s="87">
        <v>13363904219.85</v>
      </c>
      <c r="L76" s="70">
        <f t="shared" si="20"/>
        <v>2.0310819478193687E-3</v>
      </c>
      <c r="M76" s="70">
        <f t="shared" si="21"/>
        <v>-2.2279676086595156E-3</v>
      </c>
      <c r="N76" s="72">
        <f t="shared" si="22"/>
        <v>1.2633771420571815E-3</v>
      </c>
      <c r="O76" s="73">
        <f t="shared" si="23"/>
        <v>1.3184955813906434E-2</v>
      </c>
      <c r="P76" s="88">
        <f t="shared" si="24"/>
        <v>1.0372029463438426</v>
      </c>
      <c r="Q76" s="88">
        <f t="shared" si="25"/>
        <v>1.367547501759713E-2</v>
      </c>
      <c r="R76" s="75">
        <v>1</v>
      </c>
      <c r="S76" s="75">
        <v>1</v>
      </c>
      <c r="T76" s="75">
        <v>797</v>
      </c>
      <c r="U76" s="89">
        <v>13080216153.940001</v>
      </c>
      <c r="V76" s="89">
        <v>12884560603.07</v>
      </c>
      <c r="W76" s="30"/>
    </row>
    <row r="77" spans="1:23">
      <c r="A77" s="167">
        <v>70</v>
      </c>
      <c r="B77" s="78" t="s">
        <v>143</v>
      </c>
      <c r="C77" s="78" t="s">
        <v>61</v>
      </c>
      <c r="D77" s="75">
        <v>8684941041.2800007</v>
      </c>
      <c r="E77" s="67">
        <v>388309418.25999999</v>
      </c>
      <c r="F77" s="75">
        <v>0</v>
      </c>
      <c r="G77" s="67">
        <v>40424865.579999998</v>
      </c>
      <c r="H77" s="68">
        <f t="shared" si="28"/>
        <v>347884552.68000001</v>
      </c>
      <c r="I77" s="86">
        <v>21439088490.02</v>
      </c>
      <c r="J77" s="70">
        <f t="shared" si="19"/>
        <v>3.3246435593922551E-3</v>
      </c>
      <c r="K77" s="86">
        <v>23175415920.41</v>
      </c>
      <c r="L77" s="70">
        <f t="shared" si="20"/>
        <v>3.522261768326164E-3</v>
      </c>
      <c r="M77" s="70">
        <f t="shared" si="21"/>
        <v>8.0988864391238841E-2</v>
      </c>
      <c r="N77" s="72">
        <f t="shared" si="22"/>
        <v>1.7442994645200239E-3</v>
      </c>
      <c r="O77" s="73">
        <f t="shared" si="23"/>
        <v>1.5010930283828345E-2</v>
      </c>
      <c r="P77" s="88">
        <f t="shared" si="24"/>
        <v>0.99947467481012808</v>
      </c>
      <c r="Q77" s="88">
        <f t="shared" si="25"/>
        <v>1.5003044664026839E-2</v>
      </c>
      <c r="R77" s="75">
        <v>1</v>
      </c>
      <c r="S77" s="75">
        <v>1</v>
      </c>
      <c r="T77" s="75">
        <v>5603</v>
      </c>
      <c r="U77" s="89">
        <v>21500011368.18</v>
      </c>
      <c r="V77" s="89">
        <v>23187596949.18</v>
      </c>
      <c r="W77" s="30"/>
    </row>
    <row r="78" spans="1:23">
      <c r="A78" s="167">
        <v>71</v>
      </c>
      <c r="B78" s="66" t="s">
        <v>144</v>
      </c>
      <c r="C78" s="66" t="s">
        <v>145</v>
      </c>
      <c r="D78" s="75">
        <v>169149825086.39999</v>
      </c>
      <c r="E78" s="67">
        <v>2411346552.2199998</v>
      </c>
      <c r="F78" s="75">
        <v>0</v>
      </c>
      <c r="G78" s="67">
        <v>196226916.31999999</v>
      </c>
      <c r="H78" s="68">
        <f t="shared" si="28"/>
        <v>2215119635.9000001</v>
      </c>
      <c r="I78" s="87">
        <v>168657231218.70999</v>
      </c>
      <c r="J78" s="70">
        <f t="shared" si="19"/>
        <v>2.6154338500782571E-2</v>
      </c>
      <c r="K78" s="87">
        <v>170395315269.53</v>
      </c>
      <c r="L78" s="70">
        <f t="shared" si="20"/>
        <v>2.5897136281691858E-2</v>
      </c>
      <c r="M78" s="70">
        <f t="shared" si="21"/>
        <v>1.0305422650785181E-2</v>
      </c>
      <c r="N78" s="72">
        <f t="shared" si="22"/>
        <v>1.1515980706958391E-3</v>
      </c>
      <c r="O78" s="73">
        <f t="shared" si="23"/>
        <v>1.2999885779700815E-2</v>
      </c>
      <c r="P78" s="88">
        <f t="shared" si="24"/>
        <v>1.0389483222513869</v>
      </c>
      <c r="Q78" s="88">
        <f t="shared" si="25"/>
        <v>1.3506209520279824E-2</v>
      </c>
      <c r="R78" s="75">
        <v>1</v>
      </c>
      <c r="S78" s="75">
        <v>1</v>
      </c>
      <c r="T78" s="75">
        <v>9554</v>
      </c>
      <c r="U78" s="89">
        <v>164358269833.42999</v>
      </c>
      <c r="V78" s="89">
        <v>164007498371.32001</v>
      </c>
      <c r="W78" s="30"/>
    </row>
    <row r="79" spans="1:23" ht="15" customHeight="1">
      <c r="A79" s="175" t="s">
        <v>64</v>
      </c>
      <c r="B79" s="175"/>
      <c r="C79" s="175"/>
      <c r="D79" s="175"/>
      <c r="E79" s="175"/>
      <c r="F79" s="175"/>
      <c r="G79" s="175"/>
      <c r="H79" s="175"/>
      <c r="I79" s="96">
        <f>SUM(I30:I78)</f>
        <v>6448537446804.9941</v>
      </c>
      <c r="J79" s="83">
        <f>(I79/$I$269)</f>
        <v>0.6714636390308929</v>
      </c>
      <c r="K79" s="85">
        <f>SUM(K30:K78)</f>
        <v>6579697207292.8398</v>
      </c>
      <c r="L79" s="83">
        <f>(K79/$K$269)</f>
        <v>0.67256038904984417</v>
      </c>
      <c r="M79" s="83">
        <f t="shared" si="14"/>
        <v>2.0339458608995189E-2</v>
      </c>
      <c r="N79" s="72"/>
      <c r="O79" s="72"/>
      <c r="P79" s="97"/>
      <c r="Q79" s="97"/>
      <c r="R79" s="85"/>
      <c r="S79" s="85"/>
      <c r="T79" s="85">
        <f>SUM(T30:T78)</f>
        <v>858516</v>
      </c>
      <c r="U79" s="85"/>
      <c r="V79" s="85"/>
      <c r="W79" s="32"/>
    </row>
    <row r="80" spans="1:23" ht="6" customHeight="1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33"/>
    </row>
    <row r="81" spans="1:23" ht="12.75" customHeight="1">
      <c r="A81" s="174" t="s">
        <v>146</v>
      </c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24"/>
    </row>
    <row r="82" spans="1:23">
      <c r="A82" s="167">
        <v>72</v>
      </c>
      <c r="B82" s="66" t="s">
        <v>147</v>
      </c>
      <c r="C82" s="66" t="s">
        <v>26</v>
      </c>
      <c r="D82" s="67">
        <v>1373410419.4300001</v>
      </c>
      <c r="E82" s="67">
        <v>18059730.09</v>
      </c>
      <c r="F82" s="75">
        <v>0</v>
      </c>
      <c r="G82" s="67">
        <v>1729665.37</v>
      </c>
      <c r="H82" s="68">
        <f t="shared" ref="H82:H119" si="29">(E82+F82)-G82</f>
        <v>16330064.720000001</v>
      </c>
      <c r="I82" s="67">
        <v>1320054235.6600001</v>
      </c>
      <c r="J82" s="70">
        <f>(I82/$I$120)</f>
        <v>5.6147224417168497E-3</v>
      </c>
      <c r="K82" s="67">
        <v>1385097302.4000001</v>
      </c>
      <c r="L82" s="70">
        <f>(K82/$K$120)</f>
        <v>5.9074626112495801E-3</v>
      </c>
      <c r="M82" s="70">
        <f t="shared" ref="M82:M120" si="30">((K82-I82)/I82)</f>
        <v>4.9273026049175779E-2</v>
      </c>
      <c r="N82" s="72">
        <f t="shared" ref="N82" si="31">(G82/K82)</f>
        <v>1.2487681313095901E-3</v>
      </c>
      <c r="O82" s="73">
        <f t="shared" ref="O82" si="32">H82/K82</f>
        <v>1.17898321595923E-2</v>
      </c>
      <c r="P82" s="88">
        <f t="shared" ref="P82" si="33">K82/V82</f>
        <v>1.9321120403971199</v>
      </c>
      <c r="Q82" s="88">
        <f t="shared" ref="Q82" si="34">H82/V82</f>
        <v>2.27792766698094E-2</v>
      </c>
      <c r="R82" s="75">
        <v>1.93</v>
      </c>
      <c r="S82" s="75">
        <v>1.93</v>
      </c>
      <c r="T82" s="80">
        <v>456</v>
      </c>
      <c r="U82" s="67">
        <v>716092332.53999996</v>
      </c>
      <c r="V82" s="67">
        <v>716882496.16999996</v>
      </c>
      <c r="W82" s="34"/>
    </row>
    <row r="83" spans="1:23" ht="13.05" customHeight="1">
      <c r="A83" s="167">
        <v>73</v>
      </c>
      <c r="B83" s="66" t="s">
        <v>148</v>
      </c>
      <c r="C83" s="76" t="s">
        <v>28</v>
      </c>
      <c r="D83" s="67">
        <v>1301512744</v>
      </c>
      <c r="E83" s="67">
        <v>15914866</v>
      </c>
      <c r="F83" s="67">
        <v>7518805</v>
      </c>
      <c r="G83" s="67">
        <v>2627486</v>
      </c>
      <c r="H83" s="68">
        <f t="shared" si="29"/>
        <v>20806185</v>
      </c>
      <c r="I83" s="67">
        <v>1316035038</v>
      </c>
      <c r="J83" s="70">
        <f t="shared" ref="J83:J119" si="35">(I83/$I$120)</f>
        <v>5.5976271749545595E-3</v>
      </c>
      <c r="K83" s="67">
        <v>1327408338</v>
      </c>
      <c r="L83" s="70">
        <f t="shared" ref="L83:L119" si="36">(K83/$K$120)</f>
        <v>5.6614182361113107E-3</v>
      </c>
      <c r="M83" s="70">
        <f t="shared" ref="M83:M119" si="37">((K83-I83)/I83)</f>
        <v>8.6420951354640157E-3</v>
      </c>
      <c r="N83" s="72">
        <f t="shared" ref="N83:N119" si="38">(G83/K83)</f>
        <v>1.97941049847466E-3</v>
      </c>
      <c r="O83" s="73">
        <f t="shared" ref="O83:O119" si="39">H83/K83</f>
        <v>1.5674291327225337E-2</v>
      </c>
      <c r="P83" s="88">
        <f t="shared" ref="P83:P119" si="40">K83/V83</f>
        <v>1.4586243655628233</v>
      </c>
      <c r="Q83" s="88">
        <f t="shared" ref="Q83:Q119" si="41">H83/V83</f>
        <v>2.2862903242820923E-2</v>
      </c>
      <c r="R83" s="75">
        <v>1.4585999999999999</v>
      </c>
      <c r="S83" s="75">
        <v>1.4585999999999999</v>
      </c>
      <c r="T83" s="81">
        <v>1665</v>
      </c>
      <c r="U83" s="67">
        <v>916521570</v>
      </c>
      <c r="V83" s="67">
        <v>910041248</v>
      </c>
      <c r="W83" s="34"/>
    </row>
    <row r="84" spans="1:23" ht="15" customHeight="1">
      <c r="A84" s="167">
        <v>74</v>
      </c>
      <c r="B84" s="66" t="s">
        <v>149</v>
      </c>
      <c r="C84" s="66" t="s">
        <v>150</v>
      </c>
      <c r="D84" s="67">
        <v>703558812</v>
      </c>
      <c r="E84" s="67">
        <v>9013747</v>
      </c>
      <c r="F84" s="67">
        <v>1193447</v>
      </c>
      <c r="G84" s="67">
        <v>1590368</v>
      </c>
      <c r="H84" s="68">
        <f t="shared" si="29"/>
        <v>8616826</v>
      </c>
      <c r="I84" s="67">
        <v>744599312</v>
      </c>
      <c r="J84" s="70">
        <f t="shared" si="35"/>
        <v>3.167080832162212E-3</v>
      </c>
      <c r="K84" s="67">
        <v>742203036</v>
      </c>
      <c r="L84" s="70">
        <f t="shared" si="36"/>
        <v>3.1655080675767008E-3</v>
      </c>
      <c r="M84" s="70">
        <f t="shared" si="37"/>
        <v>-3.2182087216325551E-3</v>
      </c>
      <c r="N84" s="72">
        <f t="shared" si="38"/>
        <v>2.1427667671248922E-3</v>
      </c>
      <c r="O84" s="73">
        <f t="shared" si="39"/>
        <v>1.1609796217540668E-2</v>
      </c>
      <c r="P84" s="88">
        <f t="shared" si="40"/>
        <v>1.3012551489046018</v>
      </c>
      <c r="Q84" s="88">
        <f t="shared" si="41"/>
        <v>1.5107307105807965E-2</v>
      </c>
      <c r="R84" s="75">
        <v>1.3012999999999999</v>
      </c>
      <c r="S84" s="75">
        <v>1.3012999999999999</v>
      </c>
      <c r="T84" s="80">
        <v>992</v>
      </c>
      <c r="U84" s="67">
        <v>578848182</v>
      </c>
      <c r="V84" s="67">
        <v>570374716</v>
      </c>
      <c r="W84" s="34"/>
    </row>
    <row r="85" spans="1:23" ht="13.2" customHeight="1">
      <c r="A85" s="167">
        <v>75</v>
      </c>
      <c r="B85" s="66" t="s">
        <v>151</v>
      </c>
      <c r="C85" s="76" t="s">
        <v>76</v>
      </c>
      <c r="D85" s="67">
        <v>287874416.01999998</v>
      </c>
      <c r="E85" s="67">
        <v>4682599.6399999997</v>
      </c>
      <c r="F85" s="67">
        <v>8511885.8000000007</v>
      </c>
      <c r="G85" s="67">
        <v>562485.31000000006</v>
      </c>
      <c r="H85" s="68">
        <f t="shared" si="29"/>
        <v>12632000.130000001</v>
      </c>
      <c r="I85" s="67">
        <v>341549257.44999999</v>
      </c>
      <c r="J85" s="70">
        <f t="shared" si="35"/>
        <v>1.4527465833988464E-3</v>
      </c>
      <c r="K85" s="67">
        <v>352637851.93000001</v>
      </c>
      <c r="L85" s="70">
        <f t="shared" si="36"/>
        <v>1.5040061965164652E-3</v>
      </c>
      <c r="M85" s="70">
        <f t="shared" si="37"/>
        <v>3.2465579233833641E-2</v>
      </c>
      <c r="N85" s="72">
        <f t="shared" si="38"/>
        <v>1.5950792205700469E-3</v>
      </c>
      <c r="O85" s="73">
        <f t="shared" si="39"/>
        <v>3.58214526910954E-2</v>
      </c>
      <c r="P85" s="88">
        <f t="shared" si="40"/>
        <v>1397.7868184935173</v>
      </c>
      <c r="Q85" s="88">
        <f t="shared" si="41"/>
        <v>50.07075439090228</v>
      </c>
      <c r="R85" s="67">
        <v>1397.79</v>
      </c>
      <c r="S85" s="67">
        <v>1397.79</v>
      </c>
      <c r="T85" s="80">
        <v>98</v>
      </c>
      <c r="U85" s="67">
        <v>253458</v>
      </c>
      <c r="V85" s="67">
        <v>252283</v>
      </c>
      <c r="W85" s="34"/>
    </row>
    <row r="86" spans="1:23">
      <c r="A86" s="167">
        <v>76</v>
      </c>
      <c r="B86" s="66" t="s">
        <v>152</v>
      </c>
      <c r="C86" s="76" t="s">
        <v>32</v>
      </c>
      <c r="D86" s="67">
        <v>1918980113.45</v>
      </c>
      <c r="E86" s="75">
        <v>27091711.940000001</v>
      </c>
      <c r="F86" s="75">
        <v>35241585.670000002</v>
      </c>
      <c r="G86" s="75">
        <v>2639266.66</v>
      </c>
      <c r="H86" s="68">
        <f t="shared" si="29"/>
        <v>59694030.950000003</v>
      </c>
      <c r="I86" s="75">
        <v>1896099521.4300001</v>
      </c>
      <c r="J86" s="70">
        <f t="shared" si="35"/>
        <v>8.0648750991498316E-3</v>
      </c>
      <c r="K86" s="75">
        <v>1943046610.6300001</v>
      </c>
      <c r="L86" s="70">
        <f t="shared" si="36"/>
        <v>8.2871255213065841E-3</v>
      </c>
      <c r="M86" s="70">
        <f t="shared" si="37"/>
        <v>2.4759823347560099E-2</v>
      </c>
      <c r="N86" s="72">
        <f t="shared" si="38"/>
        <v>1.358313612015855E-3</v>
      </c>
      <c r="O86" s="73">
        <f t="shared" si="39"/>
        <v>3.0721872868837263E-2</v>
      </c>
      <c r="P86" s="88">
        <f t="shared" si="40"/>
        <v>1.1646169530095298</v>
      </c>
      <c r="Q86" s="88">
        <f t="shared" si="41"/>
        <v>3.5779213971251396E-2</v>
      </c>
      <c r="R86" s="75">
        <v>1.1571</v>
      </c>
      <c r="S86" s="75">
        <v>1.1599999999999999</v>
      </c>
      <c r="T86" s="80">
        <v>1231</v>
      </c>
      <c r="U86" s="75">
        <v>1679446653.4100001</v>
      </c>
      <c r="V86" s="75">
        <v>1668399730.5799999</v>
      </c>
      <c r="W86" s="35"/>
    </row>
    <row r="87" spans="1:23" ht="12" customHeight="1">
      <c r="A87" s="167">
        <v>77</v>
      </c>
      <c r="B87" s="66" t="s">
        <v>153</v>
      </c>
      <c r="C87" s="66" t="s">
        <v>154</v>
      </c>
      <c r="D87" s="67">
        <v>545585720.34000003</v>
      </c>
      <c r="E87" s="67">
        <v>8498082.1699999999</v>
      </c>
      <c r="F87" s="67">
        <v>-341985.73</v>
      </c>
      <c r="G87" s="67">
        <v>1124861.8700000001</v>
      </c>
      <c r="H87" s="68">
        <f t="shared" si="29"/>
        <v>7031234.5700000003</v>
      </c>
      <c r="I87" s="67">
        <v>525924675.72000003</v>
      </c>
      <c r="J87" s="70">
        <f t="shared" si="35"/>
        <v>2.2369695120453446E-3</v>
      </c>
      <c r="K87" s="67">
        <v>532503941.01999998</v>
      </c>
      <c r="L87" s="70">
        <f t="shared" si="36"/>
        <v>2.2711380034225533E-3</v>
      </c>
      <c r="M87" s="70">
        <f t="shared" si="37"/>
        <v>1.2509900378781094E-2</v>
      </c>
      <c r="N87" s="72">
        <f t="shared" si="38"/>
        <v>2.1124010234466078E-3</v>
      </c>
      <c r="O87" s="73">
        <f t="shared" si="39"/>
        <v>1.3204098652362684E-2</v>
      </c>
      <c r="P87" s="88">
        <f t="shared" si="40"/>
        <v>3.0406063220324553</v>
      </c>
      <c r="Q87" s="88">
        <f t="shared" si="41"/>
        <v>4.0148465839114203E-2</v>
      </c>
      <c r="R87" s="75">
        <v>3.0567000000000002</v>
      </c>
      <c r="S87" s="75">
        <v>3.0567000000000002</v>
      </c>
      <c r="T87" s="80">
        <v>1384</v>
      </c>
      <c r="U87" s="67">
        <v>175281602.56999999</v>
      </c>
      <c r="V87" s="67">
        <v>175130840.56999999</v>
      </c>
      <c r="W87" s="34"/>
    </row>
    <row r="88" spans="1:23">
      <c r="A88" s="167">
        <v>78</v>
      </c>
      <c r="B88" s="66" t="s">
        <v>155</v>
      </c>
      <c r="C88" s="66" t="s">
        <v>156</v>
      </c>
      <c r="D88" s="75">
        <v>5108856541</v>
      </c>
      <c r="E88" s="67">
        <v>114694060.17</v>
      </c>
      <c r="F88" s="75">
        <v>0</v>
      </c>
      <c r="G88" s="67">
        <v>10280549.09</v>
      </c>
      <c r="H88" s="68">
        <f t="shared" ref="H88:H89" si="42">(E88+F88)-G88</f>
        <v>104413511.08</v>
      </c>
      <c r="I88" s="67">
        <v>6373239084.3900003</v>
      </c>
      <c r="J88" s="70">
        <f t="shared" si="35"/>
        <v>2.7107953254405664E-2</v>
      </c>
      <c r="K88" s="67">
        <v>5623170587.6099997</v>
      </c>
      <c r="L88" s="70">
        <f t="shared" si="36"/>
        <v>2.3982914373903843E-2</v>
      </c>
      <c r="M88" s="70">
        <f t="shared" si="37"/>
        <v>-0.11769031207649913</v>
      </c>
      <c r="N88" s="72">
        <f t="shared" si="38"/>
        <v>1.8282477705108202E-3</v>
      </c>
      <c r="O88" s="73">
        <f t="shared" si="39"/>
        <v>1.8568440962837406E-2</v>
      </c>
      <c r="P88" s="88">
        <f t="shared" si="40"/>
        <v>1291.7353241817323</v>
      </c>
      <c r="Q88" s="88">
        <f t="shared" si="41"/>
        <v>23.985511106680132</v>
      </c>
      <c r="R88" s="67">
        <v>1291.72</v>
      </c>
      <c r="S88" s="67">
        <v>1291.72</v>
      </c>
      <c r="T88" s="80">
        <v>520</v>
      </c>
      <c r="U88" s="67">
        <v>5029414</v>
      </c>
      <c r="V88" s="67">
        <v>4353191</v>
      </c>
      <c r="W88" s="34"/>
    </row>
    <row r="89" spans="1:23">
      <c r="A89" s="167">
        <v>79</v>
      </c>
      <c r="B89" s="66" t="s">
        <v>157</v>
      </c>
      <c r="C89" s="66" t="s">
        <v>52</v>
      </c>
      <c r="D89" s="67">
        <v>1537511088.23</v>
      </c>
      <c r="E89" s="67">
        <v>15162129.83</v>
      </c>
      <c r="F89" s="67">
        <v>-5129644.75</v>
      </c>
      <c r="G89" s="67">
        <v>2999265.03</v>
      </c>
      <c r="H89" s="68">
        <f t="shared" si="42"/>
        <v>7033220.0499999998</v>
      </c>
      <c r="I89" s="67">
        <v>1508254587.9100001</v>
      </c>
      <c r="J89" s="70">
        <f t="shared" si="35"/>
        <v>6.4152143554364145E-3</v>
      </c>
      <c r="K89" s="67">
        <v>1582258390.5599999</v>
      </c>
      <c r="L89" s="70">
        <f t="shared" si="36"/>
        <v>6.7483578715900128E-3</v>
      </c>
      <c r="M89" s="70">
        <f t="shared" si="37"/>
        <v>4.90658561513461E-2</v>
      </c>
      <c r="N89" s="72">
        <f t="shared" si="38"/>
        <v>1.8955595671946391E-3</v>
      </c>
      <c r="O89" s="73">
        <f t="shared" si="39"/>
        <v>4.4450515111572712E-3</v>
      </c>
      <c r="P89" s="88">
        <f t="shared" si="40"/>
        <v>117.08651884256011</v>
      </c>
      <c r="Q89" s="88">
        <f t="shared" si="41"/>
        <v>0.52045560751726616</v>
      </c>
      <c r="R89" s="75">
        <v>117.0865</v>
      </c>
      <c r="S89" s="75">
        <v>117.8968</v>
      </c>
      <c r="T89" s="80">
        <v>5173</v>
      </c>
      <c r="U89" s="67">
        <v>13412873</v>
      </c>
      <c r="V89" s="67">
        <v>13513583</v>
      </c>
      <c r="W89" s="34"/>
    </row>
    <row r="90" spans="1:23">
      <c r="A90" s="167">
        <v>80</v>
      </c>
      <c r="B90" s="78" t="s">
        <v>158</v>
      </c>
      <c r="C90" s="79" t="s">
        <v>81</v>
      </c>
      <c r="D90" s="67">
        <v>209728747.97999999</v>
      </c>
      <c r="E90" s="67">
        <v>5540738.3300000001</v>
      </c>
      <c r="F90" s="75">
        <v>0</v>
      </c>
      <c r="G90" s="67">
        <v>450832.27</v>
      </c>
      <c r="H90" s="68">
        <f t="shared" si="29"/>
        <v>5089906.0599999996</v>
      </c>
      <c r="I90" s="67">
        <v>204399767.37</v>
      </c>
      <c r="J90" s="70">
        <f t="shared" si="35"/>
        <v>8.6939455208084079E-4</v>
      </c>
      <c r="K90" s="67">
        <v>203786783.53</v>
      </c>
      <c r="L90" s="70">
        <f t="shared" si="36"/>
        <v>8.6915395928092336E-4</v>
      </c>
      <c r="M90" s="70">
        <f t="shared" si="37"/>
        <v>-2.9989458788883725E-3</v>
      </c>
      <c r="N90" s="72">
        <f t="shared" si="38"/>
        <v>2.2122743300162632E-3</v>
      </c>
      <c r="O90" s="73">
        <f t="shared" si="39"/>
        <v>2.4976624940207179E-2</v>
      </c>
      <c r="P90" s="88">
        <f t="shared" si="40"/>
        <v>12.168156808536166</v>
      </c>
      <c r="Q90" s="88">
        <f t="shared" si="41"/>
        <v>0.30391948882043618</v>
      </c>
      <c r="R90" s="75">
        <v>12.168200000000001</v>
      </c>
      <c r="S90" s="75">
        <v>12.168200000000001</v>
      </c>
      <c r="T90" s="80">
        <v>47</v>
      </c>
      <c r="U90" s="67">
        <v>17156483.239999998</v>
      </c>
      <c r="V90" s="67">
        <v>16747547.449999999</v>
      </c>
      <c r="W90" s="34"/>
    </row>
    <row r="91" spans="1:23" ht="13.2" customHeight="1">
      <c r="A91" s="167">
        <v>81</v>
      </c>
      <c r="B91" s="76" t="s">
        <v>159</v>
      </c>
      <c r="C91" s="66" t="s">
        <v>83</v>
      </c>
      <c r="D91" s="67">
        <v>2217208717.8699999</v>
      </c>
      <c r="E91" s="67">
        <v>27063931.899999999</v>
      </c>
      <c r="F91" s="75">
        <v>0</v>
      </c>
      <c r="G91" s="67">
        <v>4462234.2300000004</v>
      </c>
      <c r="H91" s="68">
        <f t="shared" si="29"/>
        <v>22601697.670000002</v>
      </c>
      <c r="I91" s="67">
        <v>2194830529.3600001</v>
      </c>
      <c r="J91" s="70">
        <f t="shared" si="35"/>
        <v>9.3354984182156993E-3</v>
      </c>
      <c r="K91" s="67">
        <v>2182407453.6100001</v>
      </c>
      <c r="L91" s="70">
        <f t="shared" si="36"/>
        <v>9.3080034250115611E-3</v>
      </c>
      <c r="M91" s="70">
        <f t="shared" si="37"/>
        <v>-5.6601526103350203E-3</v>
      </c>
      <c r="N91" s="72">
        <f t="shared" si="38"/>
        <v>2.0446384668540494E-3</v>
      </c>
      <c r="O91" s="73">
        <f t="shared" si="39"/>
        <v>1.0356314368617879E-2</v>
      </c>
      <c r="P91" s="88">
        <f t="shared" si="40"/>
        <v>5130.6532554440892</v>
      </c>
      <c r="Q91" s="88">
        <f t="shared" si="41"/>
        <v>53.134658029751719</v>
      </c>
      <c r="R91" s="67">
        <v>5130.6499999999996</v>
      </c>
      <c r="S91" s="67">
        <v>5130.6499999999996</v>
      </c>
      <c r="T91" s="81">
        <v>1208</v>
      </c>
      <c r="U91" s="67">
        <v>433458.74</v>
      </c>
      <c r="V91" s="67">
        <v>425366.39</v>
      </c>
      <c r="W91" s="34"/>
    </row>
    <row r="92" spans="1:23">
      <c r="A92" s="167">
        <v>82</v>
      </c>
      <c r="B92" s="66" t="s">
        <v>160</v>
      </c>
      <c r="C92" s="66" t="s">
        <v>85</v>
      </c>
      <c r="D92" s="67">
        <v>340099469.13999999</v>
      </c>
      <c r="E92" s="67">
        <v>4093289.06</v>
      </c>
      <c r="F92" s="75">
        <v>0</v>
      </c>
      <c r="G92" s="67">
        <v>724316.64</v>
      </c>
      <c r="H92" s="68">
        <f t="shared" si="29"/>
        <v>3368972.42</v>
      </c>
      <c r="I92" s="67">
        <v>369160764.89999998</v>
      </c>
      <c r="J92" s="70">
        <f t="shared" si="35"/>
        <v>1.5701894477457303E-3</v>
      </c>
      <c r="K92" s="67">
        <v>359840288.37</v>
      </c>
      <c r="L92" s="70">
        <f t="shared" si="36"/>
        <v>1.5347247055378004E-3</v>
      </c>
      <c r="M92" s="70">
        <f t="shared" si="37"/>
        <v>-2.5247744116373653E-2</v>
      </c>
      <c r="N92" s="72">
        <f t="shared" si="38"/>
        <v>2.0128836692550477E-3</v>
      </c>
      <c r="O92" s="73">
        <f t="shared" si="39"/>
        <v>9.3624102939132495E-3</v>
      </c>
      <c r="P92" s="88">
        <f t="shared" si="40"/>
        <v>117.46093698067791</v>
      </c>
      <c r="Q92" s="88">
        <f t="shared" si="41"/>
        <v>1.0997174855205942</v>
      </c>
      <c r="R92" s="75">
        <v>117.54</v>
      </c>
      <c r="S92" s="75">
        <v>117.54</v>
      </c>
      <c r="T92" s="80">
        <v>102</v>
      </c>
      <c r="U92" s="67">
        <v>3172854</v>
      </c>
      <c r="V92" s="67">
        <v>3063489</v>
      </c>
      <c r="W92" s="34"/>
    </row>
    <row r="93" spans="1:23">
      <c r="A93" s="167">
        <v>83</v>
      </c>
      <c r="B93" s="76" t="s">
        <v>161</v>
      </c>
      <c r="C93" s="76" t="s">
        <v>34</v>
      </c>
      <c r="D93" s="67">
        <v>1090932183.4100001</v>
      </c>
      <c r="E93" s="67">
        <v>13432095.85</v>
      </c>
      <c r="F93" s="67">
        <v>59027075.060000002</v>
      </c>
      <c r="G93" s="67">
        <v>2438314.3199999998</v>
      </c>
      <c r="H93" s="68">
        <f t="shared" si="29"/>
        <v>70020856.590000004</v>
      </c>
      <c r="I93" s="67">
        <v>1091452268.74</v>
      </c>
      <c r="J93" s="70">
        <f t="shared" si="35"/>
        <v>4.6423861852109977E-3</v>
      </c>
      <c r="K93" s="67">
        <v>1094907830.52</v>
      </c>
      <c r="L93" s="70">
        <f t="shared" si="36"/>
        <v>4.6697997753325851E-3</v>
      </c>
      <c r="M93" s="70">
        <f t="shared" si="37"/>
        <v>3.1660218948366464E-3</v>
      </c>
      <c r="N93" s="72">
        <f t="shared" si="38"/>
        <v>2.2269585183640355E-3</v>
      </c>
      <c r="O93" s="73">
        <f t="shared" si="39"/>
        <v>6.395137073478166E-2</v>
      </c>
      <c r="P93" s="88">
        <f t="shared" si="40"/>
        <v>1.6514518192796528</v>
      </c>
      <c r="Q93" s="88">
        <f t="shared" si="41"/>
        <v>0.10561260754538272</v>
      </c>
      <c r="R93" s="75">
        <v>1.6515</v>
      </c>
      <c r="S93" s="75">
        <v>1.6515</v>
      </c>
      <c r="T93" s="80">
        <v>3426</v>
      </c>
      <c r="U93" s="67">
        <v>683284909.48000002</v>
      </c>
      <c r="V93" s="67">
        <v>662997138.48000002</v>
      </c>
      <c r="W93" s="34"/>
    </row>
    <row r="94" spans="1:23">
      <c r="A94" s="167">
        <v>84</v>
      </c>
      <c r="B94" s="78" t="s">
        <v>162</v>
      </c>
      <c r="C94" s="79" t="s">
        <v>34</v>
      </c>
      <c r="D94" s="92">
        <v>304698244.86000001</v>
      </c>
      <c r="E94" s="75">
        <v>3690807.96</v>
      </c>
      <c r="F94" s="67">
        <v>5872969.7000000002</v>
      </c>
      <c r="G94" s="67">
        <v>1621006.29</v>
      </c>
      <c r="H94" s="68">
        <f t="shared" si="29"/>
        <v>7942771.3700000001</v>
      </c>
      <c r="I94" s="67">
        <v>233860413.09999999</v>
      </c>
      <c r="J94" s="70">
        <f t="shared" si="35"/>
        <v>9.9470254644896407E-4</v>
      </c>
      <c r="K94" s="67">
        <v>304798852.27999997</v>
      </c>
      <c r="L94" s="70">
        <f t="shared" si="36"/>
        <v>1.2999720818717576E-3</v>
      </c>
      <c r="M94" s="70">
        <f t="shared" si="37"/>
        <v>0.3033366709639152</v>
      </c>
      <c r="N94" s="72">
        <f t="shared" si="38"/>
        <v>5.318282132213809E-3</v>
      </c>
      <c r="O94" s="73">
        <f t="shared" si="39"/>
        <v>2.6059059312675707E-2</v>
      </c>
      <c r="P94" s="88">
        <f t="shared" si="40"/>
        <v>1.1124097864300926</v>
      </c>
      <c r="Q94" s="88">
        <f t="shared" si="41"/>
        <v>2.8988352604582695E-2</v>
      </c>
      <c r="R94" s="80">
        <v>1.1124000000000001</v>
      </c>
      <c r="S94" s="90">
        <v>1.1124000000000001</v>
      </c>
      <c r="T94" s="80">
        <v>352</v>
      </c>
      <c r="U94" s="67">
        <v>222437351.93000001</v>
      </c>
      <c r="V94" s="67">
        <v>273998715.22000003</v>
      </c>
      <c r="W94" s="34"/>
    </row>
    <row r="95" spans="1:23">
      <c r="A95" s="167">
        <v>85</v>
      </c>
      <c r="B95" s="66" t="s">
        <v>163</v>
      </c>
      <c r="C95" s="66" t="s">
        <v>36</v>
      </c>
      <c r="D95" s="75">
        <v>333132180.50999999</v>
      </c>
      <c r="E95" s="75">
        <v>4758868.17</v>
      </c>
      <c r="F95" s="75">
        <v>0</v>
      </c>
      <c r="G95" s="75">
        <v>859241.39321062202</v>
      </c>
      <c r="H95" s="68">
        <f t="shared" si="29"/>
        <v>3899626.7767893798</v>
      </c>
      <c r="I95" s="75">
        <v>342065403.81999999</v>
      </c>
      <c r="J95" s="70">
        <f t="shared" si="35"/>
        <v>1.4549419618375215E-3</v>
      </c>
      <c r="K95" s="75">
        <v>333889739.25999999</v>
      </c>
      <c r="L95" s="70">
        <f t="shared" si="36"/>
        <v>1.4240451898510033E-3</v>
      </c>
      <c r="M95" s="70">
        <f t="shared" si="37"/>
        <v>-2.3900881143484948E-2</v>
      </c>
      <c r="N95" s="72">
        <f t="shared" si="38"/>
        <v>2.5734285669124159E-3</v>
      </c>
      <c r="O95" s="73">
        <f t="shared" si="39"/>
        <v>1.1679384893444538E-2</v>
      </c>
      <c r="P95" s="88">
        <f t="shared" si="40"/>
        <v>159.25624336212195</v>
      </c>
      <c r="Q95" s="88">
        <f t="shared" si="41"/>
        <v>1.8600149629102942</v>
      </c>
      <c r="R95" s="75">
        <v>159.25624336212201</v>
      </c>
      <c r="S95" s="75">
        <v>161.80410740340301</v>
      </c>
      <c r="T95" s="80">
        <v>481</v>
      </c>
      <c r="U95" s="75">
        <v>2186577.23</v>
      </c>
      <c r="V95" s="75">
        <v>2096556.67</v>
      </c>
      <c r="W95" s="35"/>
    </row>
    <row r="96" spans="1:23">
      <c r="A96" s="167">
        <v>86</v>
      </c>
      <c r="B96" s="66" t="s">
        <v>164</v>
      </c>
      <c r="C96" s="66" t="s">
        <v>88</v>
      </c>
      <c r="D96" s="67">
        <v>3585132934.54</v>
      </c>
      <c r="E96" s="67">
        <v>54653420.390000001</v>
      </c>
      <c r="F96" s="75">
        <v>0</v>
      </c>
      <c r="G96" s="67">
        <v>5451812.0099999998</v>
      </c>
      <c r="H96" s="68">
        <f t="shared" si="29"/>
        <v>49201608.380000003</v>
      </c>
      <c r="I96" s="67">
        <v>3467336572.21</v>
      </c>
      <c r="J96" s="70">
        <f t="shared" si="35"/>
        <v>1.4747979241352455E-2</v>
      </c>
      <c r="K96" s="67">
        <v>3530475963.04</v>
      </c>
      <c r="L96" s="70">
        <f t="shared" si="36"/>
        <v>1.5057537629620719E-2</v>
      </c>
      <c r="M96" s="70">
        <f t="shared" si="37"/>
        <v>1.8209766924863698E-2</v>
      </c>
      <c r="N96" s="72">
        <f t="shared" si="38"/>
        <v>1.5442144535394563E-3</v>
      </c>
      <c r="O96" s="73">
        <f t="shared" si="39"/>
        <v>1.3936253608602334E-2</v>
      </c>
      <c r="P96" s="88">
        <f t="shared" si="40"/>
        <v>1457.1183987356262</v>
      </c>
      <c r="Q96" s="88">
        <f t="shared" si="41"/>
        <v>20.306771542540226</v>
      </c>
      <c r="R96" s="67">
        <v>1457.12</v>
      </c>
      <c r="S96" s="67">
        <v>1457.12</v>
      </c>
      <c r="T96" s="80">
        <v>320</v>
      </c>
      <c r="U96" s="67">
        <v>2409126.56</v>
      </c>
      <c r="V96" s="67">
        <v>2422916.33</v>
      </c>
      <c r="W96" s="34"/>
    </row>
    <row r="97" spans="1:23">
      <c r="A97" s="167">
        <v>87</v>
      </c>
      <c r="B97" s="66" t="s">
        <v>165</v>
      </c>
      <c r="C97" s="66" t="s">
        <v>90</v>
      </c>
      <c r="D97" s="67">
        <v>139958660.27000001</v>
      </c>
      <c r="E97" s="67">
        <v>1690397.26</v>
      </c>
      <c r="F97" s="75">
        <v>0</v>
      </c>
      <c r="G97" s="67">
        <v>537693.17000000004</v>
      </c>
      <c r="H97" s="68">
        <f t="shared" si="29"/>
        <v>1152704.0900000001</v>
      </c>
      <c r="I97" s="67">
        <v>159259674.15000001</v>
      </c>
      <c r="J97" s="70">
        <f t="shared" si="35"/>
        <v>6.7739555114827287E-4</v>
      </c>
      <c r="K97" s="67">
        <v>157599547.44999999</v>
      </c>
      <c r="L97" s="70">
        <f t="shared" si="36"/>
        <v>6.7216464323303037E-4</v>
      </c>
      <c r="M97" s="70">
        <f t="shared" si="37"/>
        <v>-1.0424024216176747E-2</v>
      </c>
      <c r="N97" s="72">
        <f t="shared" si="38"/>
        <v>3.4117684898212573E-3</v>
      </c>
      <c r="O97" s="73">
        <f t="shared" si="39"/>
        <v>7.3141332488007738E-3</v>
      </c>
      <c r="P97" s="88">
        <f t="shared" si="40"/>
        <v>1067.2342399658701</v>
      </c>
      <c r="Q97" s="88">
        <f t="shared" si="41"/>
        <v>7.8058934387929932</v>
      </c>
      <c r="R97" s="67">
        <v>1051.42</v>
      </c>
      <c r="S97" s="67">
        <v>1061.33</v>
      </c>
      <c r="T97" s="80">
        <v>287</v>
      </c>
      <c r="U97" s="67">
        <v>147320</v>
      </c>
      <c r="V97" s="67">
        <v>147671</v>
      </c>
      <c r="W97" s="34"/>
    </row>
    <row r="98" spans="1:23">
      <c r="A98" s="167">
        <v>88</v>
      </c>
      <c r="B98" s="66" t="s">
        <v>166</v>
      </c>
      <c r="C98" s="76" t="s">
        <v>93</v>
      </c>
      <c r="D98" s="67">
        <v>628147394.88999999</v>
      </c>
      <c r="E98" s="67">
        <v>7164878.7300000004</v>
      </c>
      <c r="F98" s="75">
        <v>0</v>
      </c>
      <c r="G98" s="67">
        <v>1361511</v>
      </c>
      <c r="H98" s="68">
        <f t="shared" si="29"/>
        <v>5803367.7300000004</v>
      </c>
      <c r="I98" s="67">
        <v>807276631</v>
      </c>
      <c r="J98" s="70">
        <f t="shared" si="35"/>
        <v>3.4336727191235802E-3</v>
      </c>
      <c r="K98" s="67">
        <v>813622132</v>
      </c>
      <c r="L98" s="70">
        <f t="shared" si="36"/>
        <v>3.470111678180949E-3</v>
      </c>
      <c r="M98" s="70">
        <f t="shared" si="37"/>
        <v>7.8603798949805105E-3</v>
      </c>
      <c r="N98" s="72">
        <f t="shared" si="38"/>
        <v>1.6733947448715665E-3</v>
      </c>
      <c r="O98" s="73">
        <f t="shared" si="39"/>
        <v>7.1327554914644336E-3</v>
      </c>
      <c r="P98" s="88">
        <f t="shared" si="40"/>
        <v>1.2425030863854918</v>
      </c>
      <c r="Q98" s="88">
        <f t="shared" si="41"/>
        <v>8.8624707125776244E-3</v>
      </c>
      <c r="R98" s="75">
        <v>1.2294</v>
      </c>
      <c r="S98" s="75">
        <v>1.2294</v>
      </c>
      <c r="T98" s="80">
        <v>109</v>
      </c>
      <c r="U98" s="67">
        <v>655330045</v>
      </c>
      <c r="V98" s="67">
        <v>654825039</v>
      </c>
      <c r="W98" s="34"/>
    </row>
    <row r="99" spans="1:23">
      <c r="A99" s="167">
        <v>89</v>
      </c>
      <c r="B99" s="66" t="s">
        <v>167</v>
      </c>
      <c r="C99" s="66" t="s">
        <v>168</v>
      </c>
      <c r="D99" s="67">
        <v>1121139468.77</v>
      </c>
      <c r="E99" s="67">
        <v>16256639.08</v>
      </c>
      <c r="F99" s="75">
        <v>0</v>
      </c>
      <c r="G99" s="67">
        <v>1661411.89</v>
      </c>
      <c r="H99" s="68">
        <f t="shared" si="29"/>
        <v>14595227.189999999</v>
      </c>
      <c r="I99" s="67">
        <v>1094863595.53</v>
      </c>
      <c r="J99" s="70">
        <f t="shared" si="35"/>
        <v>4.6568959322853421E-3</v>
      </c>
      <c r="K99" s="67">
        <v>1158853527.8099999</v>
      </c>
      <c r="L99" s="70">
        <f t="shared" si="36"/>
        <v>4.9425292184095502E-3</v>
      </c>
      <c r="M99" s="70">
        <f t="shared" si="37"/>
        <v>5.8445574901980206E-2</v>
      </c>
      <c r="N99" s="72">
        <f t="shared" si="38"/>
        <v>1.4336685785819147E-3</v>
      </c>
      <c r="O99" s="73">
        <f t="shared" si="39"/>
        <v>1.259454006890935E-2</v>
      </c>
      <c r="P99" s="88">
        <f t="shared" si="40"/>
        <v>4.056233672265332</v>
      </c>
      <c r="Q99" s="88">
        <f t="shared" si="41"/>
        <v>5.1086397514205045E-2</v>
      </c>
      <c r="R99" s="75">
        <v>4.0599999999999996</v>
      </c>
      <c r="S99" s="75">
        <v>4.08</v>
      </c>
      <c r="T99" s="80">
        <v>862</v>
      </c>
      <c r="U99" s="67">
        <v>273636352</v>
      </c>
      <c r="V99" s="67">
        <v>285696935</v>
      </c>
      <c r="W99" s="34"/>
    </row>
    <row r="100" spans="1:23">
      <c r="A100" s="167">
        <v>90</v>
      </c>
      <c r="B100" s="66" t="s">
        <v>169</v>
      </c>
      <c r="C100" s="68" t="s">
        <v>170</v>
      </c>
      <c r="D100" s="67">
        <v>12708107547.92</v>
      </c>
      <c r="E100" s="67">
        <v>146686044.84</v>
      </c>
      <c r="F100" s="75">
        <v>0</v>
      </c>
      <c r="G100" s="67">
        <v>13833075.130000001</v>
      </c>
      <c r="H100" s="68">
        <f t="shared" si="29"/>
        <v>132852969.70999999</v>
      </c>
      <c r="I100" s="67">
        <v>11818137619.559999</v>
      </c>
      <c r="J100" s="70">
        <f t="shared" si="35"/>
        <v>5.0267300175485023E-2</v>
      </c>
      <c r="K100" s="67">
        <v>11765422747.68</v>
      </c>
      <c r="L100" s="70">
        <f t="shared" si="36"/>
        <v>5.0179720130155162E-2</v>
      </c>
      <c r="M100" s="70">
        <f t="shared" si="37"/>
        <v>-4.4605058408485332E-3</v>
      </c>
      <c r="N100" s="72">
        <f t="shared" si="38"/>
        <v>1.1757397440502269E-3</v>
      </c>
      <c r="O100" s="73">
        <f t="shared" si="39"/>
        <v>1.1291814374982573E-2</v>
      </c>
      <c r="P100" s="88">
        <f t="shared" si="40"/>
        <v>1797.2973748922725</v>
      </c>
      <c r="Q100" s="88">
        <f t="shared" si="41"/>
        <v>20.294748333927007</v>
      </c>
      <c r="R100" s="67">
        <v>1797.29</v>
      </c>
      <c r="S100" s="67">
        <v>1797.29</v>
      </c>
      <c r="T100" s="81">
        <v>4748</v>
      </c>
      <c r="U100" s="67">
        <v>6648445.7599999998</v>
      </c>
      <c r="V100" s="67">
        <v>6546174.7800000003</v>
      </c>
      <c r="W100" s="34"/>
    </row>
    <row r="101" spans="1:23" ht="14.55" customHeight="1">
      <c r="A101" s="167">
        <v>91</v>
      </c>
      <c r="B101" s="94" t="s">
        <v>171</v>
      </c>
      <c r="C101" s="66" t="s">
        <v>104</v>
      </c>
      <c r="D101" s="67">
        <v>22604305.52</v>
      </c>
      <c r="E101" s="67">
        <v>285205.5</v>
      </c>
      <c r="F101" s="75">
        <v>0</v>
      </c>
      <c r="G101" s="67">
        <v>250582.83</v>
      </c>
      <c r="H101" s="68">
        <f t="shared" si="29"/>
        <v>34622.67</v>
      </c>
      <c r="I101" s="67">
        <v>23759739.09</v>
      </c>
      <c r="J101" s="70">
        <f t="shared" si="35"/>
        <v>1.01059741845577E-4</v>
      </c>
      <c r="K101" s="67">
        <v>23707181.91</v>
      </c>
      <c r="L101" s="70">
        <f t="shared" si="36"/>
        <v>1.0111151794805299E-4</v>
      </c>
      <c r="M101" s="70">
        <f t="shared" si="37"/>
        <v>-2.2120268156530375E-3</v>
      </c>
      <c r="N101" s="72">
        <f t="shared" si="38"/>
        <v>1.0569912145243247E-2</v>
      </c>
      <c r="O101" s="73">
        <f t="shared" si="39"/>
        <v>1.4604295918189964E-3</v>
      </c>
      <c r="P101" s="88">
        <f t="shared" si="40"/>
        <v>0.72429546691051117</v>
      </c>
      <c r="Q101" s="88">
        <f t="shared" si="41"/>
        <v>1.0577825330964673E-3</v>
      </c>
      <c r="R101" s="75">
        <v>0.72419999999999995</v>
      </c>
      <c r="S101" s="75">
        <v>0.72419999999999995</v>
      </c>
      <c r="T101" s="80">
        <v>728</v>
      </c>
      <c r="U101" s="67">
        <v>32731368.609999999</v>
      </c>
      <c r="V101" s="67">
        <v>32731368.609999999</v>
      </c>
      <c r="W101" s="34"/>
    </row>
    <row r="102" spans="1:23" ht="14.55" customHeight="1">
      <c r="A102" s="167">
        <v>92</v>
      </c>
      <c r="B102" s="66" t="s">
        <v>172</v>
      </c>
      <c r="C102" s="76" t="s">
        <v>44</v>
      </c>
      <c r="D102" s="67">
        <v>14958017094.129999</v>
      </c>
      <c r="E102" s="67">
        <v>144900119.22999999</v>
      </c>
      <c r="F102" s="75">
        <v>0</v>
      </c>
      <c r="G102" s="67">
        <v>5650368.1500000004</v>
      </c>
      <c r="H102" s="68">
        <f t="shared" si="29"/>
        <v>139249751.08000001</v>
      </c>
      <c r="I102" s="67">
        <v>13916821595</v>
      </c>
      <c r="J102" s="70">
        <f t="shared" si="35"/>
        <v>5.9193848567705425E-2</v>
      </c>
      <c r="K102" s="67">
        <v>14428672001.34</v>
      </c>
      <c r="L102" s="70">
        <f t="shared" si="36"/>
        <v>6.1538521683788733E-2</v>
      </c>
      <c r="M102" s="70">
        <f t="shared" si="37"/>
        <v>3.6779260468776609E-2</v>
      </c>
      <c r="N102" s="72">
        <f t="shared" si="38"/>
        <v>3.9160694410928789E-4</v>
      </c>
      <c r="O102" s="73">
        <f t="shared" si="39"/>
        <v>9.6509055765539482E-3</v>
      </c>
      <c r="P102" s="88">
        <f t="shared" si="40"/>
        <v>1</v>
      </c>
      <c r="Q102" s="88">
        <f t="shared" si="41"/>
        <v>9.6509055765539482E-3</v>
      </c>
      <c r="R102" s="75">
        <v>1</v>
      </c>
      <c r="S102" s="75">
        <v>1</v>
      </c>
      <c r="T102" s="81">
        <v>8381</v>
      </c>
      <c r="U102" s="67">
        <v>13916821595</v>
      </c>
      <c r="V102" s="67">
        <v>14428672001.34</v>
      </c>
      <c r="W102" s="34"/>
    </row>
    <row r="103" spans="1:23">
      <c r="A103" s="167">
        <v>93</v>
      </c>
      <c r="B103" s="76" t="s">
        <v>173</v>
      </c>
      <c r="C103" s="76" t="s">
        <v>174</v>
      </c>
      <c r="D103" s="67">
        <v>2083718012.29</v>
      </c>
      <c r="E103" s="67">
        <v>63249428.920000002</v>
      </c>
      <c r="F103" s="75">
        <v>0</v>
      </c>
      <c r="G103" s="67">
        <v>3378591.3</v>
      </c>
      <c r="H103" s="68">
        <f t="shared" si="29"/>
        <v>59870837.619999997</v>
      </c>
      <c r="I103" s="67">
        <v>2147711045.2600002</v>
      </c>
      <c r="J103" s="70">
        <f t="shared" si="35"/>
        <v>9.1350802704824631E-3</v>
      </c>
      <c r="K103" s="67">
        <v>2200120736.4099998</v>
      </c>
      <c r="L103" s="70">
        <f t="shared" si="36"/>
        <v>9.3835508653842877E-3</v>
      </c>
      <c r="M103" s="70">
        <f t="shared" si="37"/>
        <v>2.4402580256626161E-2</v>
      </c>
      <c r="N103" s="72">
        <f t="shared" si="38"/>
        <v>1.5356390420250047E-3</v>
      </c>
      <c r="O103" s="73">
        <f t="shared" si="39"/>
        <v>2.7212523671629477E-2</v>
      </c>
      <c r="P103" s="88">
        <f t="shared" si="40"/>
        <v>303.95949935550163</v>
      </c>
      <c r="Q103" s="88">
        <f t="shared" si="41"/>
        <v>8.2715050714282334</v>
      </c>
      <c r="R103" s="75">
        <v>293.27999999999997</v>
      </c>
      <c r="S103" s="75">
        <v>293.27999999999997</v>
      </c>
      <c r="T103" s="80">
        <v>579</v>
      </c>
      <c r="U103" s="67">
        <v>7317125.0410000002</v>
      </c>
      <c r="V103" s="67">
        <v>7238203.5800000001</v>
      </c>
      <c r="W103" s="34"/>
    </row>
    <row r="104" spans="1:23">
      <c r="A104" s="167">
        <v>94</v>
      </c>
      <c r="B104" s="78" t="s">
        <v>175</v>
      </c>
      <c r="C104" s="79" t="s">
        <v>48</v>
      </c>
      <c r="D104" s="67">
        <v>783694978.30999994</v>
      </c>
      <c r="E104" s="67">
        <v>10911533.939999999</v>
      </c>
      <c r="F104" s="67">
        <v>9139199.7400000002</v>
      </c>
      <c r="G104" s="67">
        <v>1355208.11</v>
      </c>
      <c r="H104" s="68">
        <f t="shared" si="29"/>
        <v>18695525.57</v>
      </c>
      <c r="I104" s="67">
        <v>745593984.01999998</v>
      </c>
      <c r="J104" s="70">
        <f t="shared" si="35"/>
        <v>3.1713115729620775E-3</v>
      </c>
      <c r="K104" s="67">
        <v>748851186.89999998</v>
      </c>
      <c r="L104" s="70">
        <f t="shared" si="36"/>
        <v>3.1938625397193035E-3</v>
      </c>
      <c r="M104" s="70">
        <f t="shared" si="37"/>
        <v>4.3686013431039478E-3</v>
      </c>
      <c r="N104" s="72">
        <f t="shared" si="38"/>
        <v>1.8097161808744943E-3</v>
      </c>
      <c r="O104" s="73">
        <f t="shared" si="39"/>
        <v>2.4965608517485815E-2</v>
      </c>
      <c r="P104" s="88">
        <f t="shared" si="40"/>
        <v>115.01958554576218</v>
      </c>
      <c r="Q104" s="88">
        <f t="shared" si="41"/>
        <v>2.8715339445789687</v>
      </c>
      <c r="R104" s="75">
        <v>115.08</v>
      </c>
      <c r="S104" s="75">
        <v>115.08</v>
      </c>
      <c r="T104" s="80">
        <v>208</v>
      </c>
      <c r="U104" s="67">
        <v>6646815.5700000003</v>
      </c>
      <c r="V104" s="67">
        <v>6510640.6299999999</v>
      </c>
      <c r="W104" s="34"/>
    </row>
    <row r="105" spans="1:23">
      <c r="A105" s="167">
        <v>95</v>
      </c>
      <c r="B105" s="66" t="s">
        <v>176</v>
      </c>
      <c r="C105" s="66" t="s">
        <v>24</v>
      </c>
      <c r="D105" s="67">
        <v>1853817286.9000001</v>
      </c>
      <c r="E105" s="67">
        <v>22701671.41</v>
      </c>
      <c r="F105" s="67">
        <v>76721089.989999995</v>
      </c>
      <c r="G105" s="67">
        <v>2494109.27</v>
      </c>
      <c r="H105" s="68">
        <f t="shared" si="29"/>
        <v>96928652.129999995</v>
      </c>
      <c r="I105" s="67">
        <v>1836255999.7</v>
      </c>
      <c r="J105" s="70">
        <f t="shared" si="35"/>
        <v>7.8103364935592787E-3</v>
      </c>
      <c r="K105" s="67">
        <v>1830048527.02</v>
      </c>
      <c r="L105" s="70">
        <f t="shared" si="36"/>
        <v>7.8051868496246193E-3</v>
      </c>
      <c r="M105" s="70">
        <f t="shared" si="37"/>
        <v>-3.3805050499572053E-3</v>
      </c>
      <c r="N105" s="72">
        <f t="shared" si="38"/>
        <v>1.3628651006655753E-3</v>
      </c>
      <c r="O105" s="73">
        <f t="shared" si="39"/>
        <v>5.2965072072616519E-2</v>
      </c>
      <c r="P105" s="88">
        <f t="shared" si="40"/>
        <v>427.11221783973406</v>
      </c>
      <c r="Q105" s="88">
        <f t="shared" si="41"/>
        <v>22.622029400976601</v>
      </c>
      <c r="R105" s="75">
        <v>427.11</v>
      </c>
      <c r="S105" s="75">
        <v>427.11</v>
      </c>
      <c r="T105" s="80">
        <v>97</v>
      </c>
      <c r="U105" s="67">
        <v>4356307.37</v>
      </c>
      <c r="V105" s="67">
        <v>4284701.8899999997</v>
      </c>
      <c r="W105" s="34"/>
    </row>
    <row r="106" spans="1:23">
      <c r="A106" s="167">
        <v>96</v>
      </c>
      <c r="B106" s="78" t="s">
        <v>177</v>
      </c>
      <c r="C106" s="79" t="s">
        <v>178</v>
      </c>
      <c r="D106" s="67">
        <v>3793415759.25</v>
      </c>
      <c r="E106" s="67">
        <v>58769236.729999997</v>
      </c>
      <c r="F106" s="67">
        <v>25144339.190000001</v>
      </c>
      <c r="G106" s="67">
        <v>7494284.96</v>
      </c>
      <c r="H106" s="68">
        <f t="shared" si="29"/>
        <v>76419290.959999993</v>
      </c>
      <c r="I106" s="67">
        <v>4008140763.8400002</v>
      </c>
      <c r="J106" s="70">
        <f t="shared" si="35"/>
        <v>1.704823732870394E-2</v>
      </c>
      <c r="K106" s="67">
        <v>4065352578.1999998</v>
      </c>
      <c r="L106" s="70">
        <f t="shared" si="36"/>
        <v>1.73387951269925E-2</v>
      </c>
      <c r="M106" s="70">
        <f t="shared" si="37"/>
        <v>1.4273903470692448E-2</v>
      </c>
      <c r="N106" s="72">
        <f t="shared" si="38"/>
        <v>1.8434526442275309E-3</v>
      </c>
      <c r="O106" s="73">
        <f t="shared" si="39"/>
        <v>1.8797703148747767E-2</v>
      </c>
      <c r="P106" s="88">
        <f t="shared" si="40"/>
        <v>109.91174914717637</v>
      </c>
      <c r="Q106" s="88">
        <f t="shared" si="41"/>
        <v>2.0660884330282521</v>
      </c>
      <c r="R106" s="75">
        <v>109.91</v>
      </c>
      <c r="S106" s="75">
        <v>109.91</v>
      </c>
      <c r="T106" s="80">
        <v>521</v>
      </c>
      <c r="U106" s="67">
        <v>37164960</v>
      </c>
      <c r="V106" s="67">
        <v>36987425</v>
      </c>
      <c r="W106" s="34"/>
    </row>
    <row r="107" spans="1:23">
      <c r="A107" s="167">
        <v>97</v>
      </c>
      <c r="B107" s="76" t="s">
        <v>179</v>
      </c>
      <c r="C107" s="76" t="s">
        <v>50</v>
      </c>
      <c r="D107" s="67">
        <v>70864428.950000003</v>
      </c>
      <c r="E107" s="67">
        <v>3061625.57</v>
      </c>
      <c r="F107" s="75">
        <v>0</v>
      </c>
      <c r="G107" s="67">
        <v>160917.64000000001</v>
      </c>
      <c r="H107" s="68">
        <f t="shared" si="29"/>
        <v>2900707.93</v>
      </c>
      <c r="I107" s="67">
        <v>71799444.150000006</v>
      </c>
      <c r="J107" s="70">
        <f t="shared" si="35"/>
        <v>3.0539196002824979E-4</v>
      </c>
      <c r="K107" s="67">
        <v>71385397.25</v>
      </c>
      <c r="L107" s="70">
        <f t="shared" si="36"/>
        <v>3.0445988488524942E-4</v>
      </c>
      <c r="M107" s="70">
        <f t="shared" si="37"/>
        <v>-5.7667145602826502E-3</v>
      </c>
      <c r="N107" s="72">
        <f t="shared" si="38"/>
        <v>2.2542094910034281E-3</v>
      </c>
      <c r="O107" s="73">
        <f t="shared" si="39"/>
        <v>4.0634472059339843E-2</v>
      </c>
      <c r="P107" s="88">
        <f t="shared" si="40"/>
        <v>14.859280936367828</v>
      </c>
      <c r="Q107" s="88">
        <f t="shared" si="41"/>
        <v>0.60379903603071972</v>
      </c>
      <c r="R107" s="75">
        <v>13.4</v>
      </c>
      <c r="S107" s="75">
        <v>13.63</v>
      </c>
      <c r="T107" s="80">
        <v>52</v>
      </c>
      <c r="U107" s="67">
        <v>4804095</v>
      </c>
      <c r="V107" s="67">
        <v>4804095</v>
      </c>
      <c r="W107" s="34"/>
    </row>
    <row r="108" spans="1:23">
      <c r="A108" s="167">
        <v>98</v>
      </c>
      <c r="B108" s="78" t="s">
        <v>180</v>
      </c>
      <c r="C108" s="79" t="s">
        <v>126</v>
      </c>
      <c r="D108" s="67">
        <v>1282537221.51</v>
      </c>
      <c r="E108" s="67">
        <v>18609489.93</v>
      </c>
      <c r="F108" s="75">
        <v>0</v>
      </c>
      <c r="G108" s="67">
        <v>1771643.15</v>
      </c>
      <c r="H108" s="68">
        <f t="shared" si="29"/>
        <v>16837846.780000001</v>
      </c>
      <c r="I108" s="67">
        <v>1237958622.96</v>
      </c>
      <c r="J108" s="70">
        <f t="shared" si="35"/>
        <v>5.2655367290838206E-3</v>
      </c>
      <c r="K108" s="67">
        <v>1252445982.27</v>
      </c>
      <c r="L108" s="70">
        <f t="shared" si="36"/>
        <v>5.341702564902618E-3</v>
      </c>
      <c r="M108" s="70">
        <f t="shared" si="37"/>
        <v>1.1702619975585441E-2</v>
      </c>
      <c r="N108" s="72">
        <f t="shared" si="38"/>
        <v>1.4145465553643912E-3</v>
      </c>
      <c r="O108" s="73">
        <f t="shared" si="39"/>
        <v>1.3443970453306248E-2</v>
      </c>
      <c r="P108" s="88">
        <f t="shared" si="40"/>
        <v>177.11507207318263</v>
      </c>
      <c r="Q108" s="88">
        <f t="shared" si="41"/>
        <v>2.3811297957870741</v>
      </c>
      <c r="R108" s="75">
        <v>177.11</v>
      </c>
      <c r="S108" s="75">
        <v>177.11</v>
      </c>
      <c r="T108" s="80">
        <v>195</v>
      </c>
      <c r="U108" s="67">
        <v>7121686.3600000003</v>
      </c>
      <c r="V108" s="67">
        <v>7071368.7300000004</v>
      </c>
      <c r="W108" s="34"/>
    </row>
    <row r="109" spans="1:23">
      <c r="A109" s="167">
        <v>99</v>
      </c>
      <c r="B109" s="66" t="s">
        <v>181</v>
      </c>
      <c r="C109" s="66" t="s">
        <v>182</v>
      </c>
      <c r="D109" s="67">
        <v>13803056401.530001</v>
      </c>
      <c r="E109" s="67">
        <v>197574045.72</v>
      </c>
      <c r="F109" s="75">
        <v>0</v>
      </c>
      <c r="G109" s="67">
        <v>21468218.420000002</v>
      </c>
      <c r="H109" s="68">
        <f t="shared" si="29"/>
        <v>176105827.30000001</v>
      </c>
      <c r="I109" s="67">
        <v>13134325716</v>
      </c>
      <c r="J109" s="70">
        <f t="shared" si="35"/>
        <v>5.5865578369643759E-2</v>
      </c>
      <c r="K109" s="67">
        <v>13542514235</v>
      </c>
      <c r="L109" s="70">
        <f t="shared" si="36"/>
        <v>5.7759044340752075E-2</v>
      </c>
      <c r="M109" s="70">
        <f t="shared" si="37"/>
        <v>3.1077995766676629E-2</v>
      </c>
      <c r="N109" s="72">
        <f t="shared" si="38"/>
        <v>1.585246140226782E-3</v>
      </c>
      <c r="O109" s="73">
        <f t="shared" si="39"/>
        <v>1.3003924104791609E-2</v>
      </c>
      <c r="P109" s="88">
        <f t="shared" si="40"/>
        <v>1.110000000070489</v>
      </c>
      <c r="Q109" s="88">
        <f t="shared" si="41"/>
        <v>1.4434355757235322E-2</v>
      </c>
      <c r="R109" s="75">
        <v>1.1100000000000001</v>
      </c>
      <c r="S109" s="75">
        <v>1.1100000000000001</v>
      </c>
      <c r="T109" s="80">
        <v>5682</v>
      </c>
      <c r="U109" s="67">
        <v>11940296105</v>
      </c>
      <c r="V109" s="67">
        <v>12200463274</v>
      </c>
      <c r="W109" s="34"/>
    </row>
    <row r="110" spans="1:23">
      <c r="A110" s="167">
        <v>100</v>
      </c>
      <c r="B110" s="66" t="s">
        <v>183</v>
      </c>
      <c r="C110" s="66" t="s">
        <v>56</v>
      </c>
      <c r="D110" s="67">
        <v>14886972293.84</v>
      </c>
      <c r="E110" s="67">
        <v>176635813.28999999</v>
      </c>
      <c r="F110" s="67"/>
      <c r="G110" s="67">
        <v>25623916.149999999</v>
      </c>
      <c r="H110" s="68">
        <f t="shared" si="29"/>
        <v>151011897.13999999</v>
      </c>
      <c r="I110" s="67">
        <v>14990240674.280001</v>
      </c>
      <c r="J110" s="70">
        <f t="shared" si="35"/>
        <v>6.3759532333560021E-2</v>
      </c>
      <c r="K110" s="67">
        <v>15062930464.469999</v>
      </c>
      <c r="L110" s="70">
        <f t="shared" si="36"/>
        <v>6.4243644385505644E-2</v>
      </c>
      <c r="M110" s="70">
        <f t="shared" si="37"/>
        <v>4.8491409690785371E-3</v>
      </c>
      <c r="N110" s="72">
        <f t="shared" si="38"/>
        <v>1.7011242407605177E-3</v>
      </c>
      <c r="O110" s="73">
        <f t="shared" si="39"/>
        <v>1.0025399605754168E-2</v>
      </c>
      <c r="P110" s="88">
        <f t="shared" si="40"/>
        <v>263.80147689193433</v>
      </c>
      <c r="Q110" s="88">
        <f t="shared" si="41"/>
        <v>2.6447152224297654</v>
      </c>
      <c r="R110" s="75">
        <v>263.8</v>
      </c>
      <c r="S110" s="75">
        <v>263.8</v>
      </c>
      <c r="T110" s="81">
        <v>5921</v>
      </c>
      <c r="U110" s="67">
        <v>57398363.549999997</v>
      </c>
      <c r="V110" s="67">
        <v>57099492.549999997</v>
      </c>
      <c r="W110" s="34"/>
    </row>
    <row r="111" spans="1:23">
      <c r="A111" s="167">
        <v>101</v>
      </c>
      <c r="B111" s="76" t="s">
        <v>184</v>
      </c>
      <c r="C111" s="66" t="s">
        <v>56</v>
      </c>
      <c r="D111" s="67">
        <v>1404129378.1099999</v>
      </c>
      <c r="E111" s="67">
        <v>14154394.24</v>
      </c>
      <c r="F111" s="67">
        <v>12123716.050000001</v>
      </c>
      <c r="G111" s="67">
        <v>1937897.16</v>
      </c>
      <c r="H111" s="68">
        <f t="shared" si="29"/>
        <v>24340213.129999999</v>
      </c>
      <c r="I111" s="67">
        <v>1358763833.4300001</v>
      </c>
      <c r="J111" s="70">
        <f t="shared" si="35"/>
        <v>5.7793699550066227E-3</v>
      </c>
      <c r="K111" s="67">
        <v>1393926119.24</v>
      </c>
      <c r="L111" s="70">
        <f t="shared" si="36"/>
        <v>5.9451176592332103E-3</v>
      </c>
      <c r="M111" s="70">
        <f t="shared" si="37"/>
        <v>2.5878143754561017E-2</v>
      </c>
      <c r="N111" s="72">
        <f t="shared" si="38"/>
        <v>1.3902438108101347E-3</v>
      </c>
      <c r="O111" s="73">
        <f t="shared" si="39"/>
        <v>1.7461623535163277E-2</v>
      </c>
      <c r="P111" s="88">
        <f t="shared" si="40"/>
        <v>11446.049497344811</v>
      </c>
      <c r="Q111" s="88">
        <f t="shared" si="41"/>
        <v>199.86660728747998</v>
      </c>
      <c r="R111" s="67">
        <v>11412.8</v>
      </c>
      <c r="S111" s="67">
        <v>11468.84</v>
      </c>
      <c r="T111" s="80">
        <v>32</v>
      </c>
      <c r="U111" s="67">
        <v>122100.76</v>
      </c>
      <c r="V111" s="67">
        <v>121782.29</v>
      </c>
      <c r="W111" s="34"/>
    </row>
    <row r="112" spans="1:23">
      <c r="A112" s="167">
        <v>102</v>
      </c>
      <c r="B112" s="66" t="s">
        <v>185</v>
      </c>
      <c r="C112" s="66" t="s">
        <v>56</v>
      </c>
      <c r="D112" s="67">
        <v>6112182170.9300003</v>
      </c>
      <c r="E112" s="67">
        <v>94353041.700000003</v>
      </c>
      <c r="F112" s="75">
        <v>0</v>
      </c>
      <c r="G112" s="67">
        <v>8857023.5399999991</v>
      </c>
      <c r="H112" s="68">
        <f t="shared" si="29"/>
        <v>85496018.159999996</v>
      </c>
      <c r="I112" s="67">
        <v>6101289235.9399996</v>
      </c>
      <c r="J112" s="70">
        <f t="shared" si="35"/>
        <v>2.5951240995268611E-2</v>
      </c>
      <c r="K112" s="67">
        <v>6153909961.7700005</v>
      </c>
      <c r="L112" s="70">
        <f t="shared" si="36"/>
        <v>2.6246526470855829E-2</v>
      </c>
      <c r="M112" s="70">
        <f t="shared" si="37"/>
        <v>8.6245257018853373E-3</v>
      </c>
      <c r="N112" s="72">
        <f t="shared" si="38"/>
        <v>1.4392514019578738E-3</v>
      </c>
      <c r="O112" s="73">
        <f t="shared" si="39"/>
        <v>1.3892958897859704E-2</v>
      </c>
      <c r="P112" s="88">
        <f t="shared" si="40"/>
        <v>183.70518532132172</v>
      </c>
      <c r="Q112" s="88">
        <f t="shared" si="41"/>
        <v>2.5522085889928223</v>
      </c>
      <c r="R112" s="75">
        <v>183.71</v>
      </c>
      <c r="S112" s="75">
        <v>183.71</v>
      </c>
      <c r="T112" s="81">
        <v>7262</v>
      </c>
      <c r="U112" s="67">
        <v>33965005.109999999</v>
      </c>
      <c r="V112" s="67">
        <v>33498836.469999999</v>
      </c>
      <c r="W112" s="34"/>
    </row>
    <row r="113" spans="1:23">
      <c r="A113" s="167">
        <v>103</v>
      </c>
      <c r="B113" s="66" t="s">
        <v>186</v>
      </c>
      <c r="C113" s="66" t="s">
        <v>56</v>
      </c>
      <c r="D113" s="67">
        <v>6107537838.1499996</v>
      </c>
      <c r="E113" s="67">
        <v>67712873.849999994</v>
      </c>
      <c r="F113" s="75">
        <v>0</v>
      </c>
      <c r="G113" s="67">
        <v>10457707.609999999</v>
      </c>
      <c r="H113" s="68">
        <f t="shared" si="29"/>
        <v>57255166.240000002</v>
      </c>
      <c r="I113" s="67">
        <v>6002906078.3599997</v>
      </c>
      <c r="J113" s="70">
        <f t="shared" si="35"/>
        <v>2.5532777792902379E-2</v>
      </c>
      <c r="K113" s="67">
        <v>6058247951.0799999</v>
      </c>
      <c r="L113" s="70">
        <f t="shared" si="36"/>
        <v>2.5838526433249132E-2</v>
      </c>
      <c r="M113" s="70">
        <f t="shared" si="37"/>
        <v>9.21918017666532E-3</v>
      </c>
      <c r="N113" s="72">
        <f t="shared" si="38"/>
        <v>1.7261933969103577E-3</v>
      </c>
      <c r="O113" s="73">
        <f t="shared" si="39"/>
        <v>9.4507796152174927E-3</v>
      </c>
      <c r="P113" s="88">
        <f t="shared" si="40"/>
        <v>404.01171501994367</v>
      </c>
      <c r="Q113" s="88">
        <f t="shared" si="41"/>
        <v>3.818225680619542</v>
      </c>
      <c r="R113" s="75">
        <v>404.01</v>
      </c>
      <c r="S113" s="75">
        <v>404.01</v>
      </c>
      <c r="T113" s="81">
        <v>14899</v>
      </c>
      <c r="U113" s="67">
        <v>14972631.789999999</v>
      </c>
      <c r="V113" s="67">
        <v>14995228.42</v>
      </c>
      <c r="W113" s="34"/>
    </row>
    <row r="114" spans="1:23">
      <c r="A114" s="167">
        <v>104</v>
      </c>
      <c r="B114" s="66" t="s">
        <v>187</v>
      </c>
      <c r="C114" s="66" t="s">
        <v>188</v>
      </c>
      <c r="D114" s="67">
        <v>125300955.62</v>
      </c>
      <c r="E114" s="67">
        <v>1792073.42</v>
      </c>
      <c r="F114" s="75">
        <v>0</v>
      </c>
      <c r="G114" s="67">
        <v>363398.88</v>
      </c>
      <c r="H114" s="68">
        <f t="shared" ref="H114" si="43">(E114+F114)-G114</f>
        <v>1428674.54</v>
      </c>
      <c r="I114" s="67">
        <v>119516459.26000001</v>
      </c>
      <c r="J114" s="70">
        <f t="shared" si="35"/>
        <v>5.0835164785948924E-4</v>
      </c>
      <c r="K114" s="67">
        <v>121817675.65000001</v>
      </c>
      <c r="L114" s="70">
        <f t="shared" si="36"/>
        <v>5.195543757429696E-4</v>
      </c>
      <c r="M114" s="70">
        <f t="shared" si="37"/>
        <v>1.9254388928924504E-2</v>
      </c>
      <c r="N114" s="72">
        <f t="shared" si="38"/>
        <v>2.9831375295987267E-3</v>
      </c>
      <c r="O114" s="73">
        <f t="shared" si="39"/>
        <v>1.1727974059403259E-2</v>
      </c>
      <c r="P114" s="88">
        <f t="shared" si="40"/>
        <v>126.91496388272101</v>
      </c>
      <c r="Q114" s="88">
        <f t="shared" si="41"/>
        <v>1.4884554041666536</v>
      </c>
      <c r="R114" s="75">
        <v>125.36539999999999</v>
      </c>
      <c r="S114" s="75">
        <v>125.36539999999999</v>
      </c>
      <c r="T114" s="80">
        <v>20</v>
      </c>
      <c r="U114" s="67">
        <v>961358.82</v>
      </c>
      <c r="V114" s="67">
        <v>959836.98</v>
      </c>
      <c r="W114" s="34"/>
    </row>
    <row r="115" spans="1:23">
      <c r="A115" s="167">
        <v>105</v>
      </c>
      <c r="B115" s="66" t="s">
        <v>189</v>
      </c>
      <c r="C115" s="66" t="s">
        <v>59</v>
      </c>
      <c r="D115" s="75">
        <v>71625723867.160004</v>
      </c>
      <c r="E115" s="75">
        <v>640099805.36000001</v>
      </c>
      <c r="F115" s="75">
        <v>0</v>
      </c>
      <c r="G115" s="75">
        <v>113377113.94</v>
      </c>
      <c r="H115" s="68">
        <f t="shared" si="29"/>
        <v>526722691.42000002</v>
      </c>
      <c r="I115" s="75">
        <v>76678748537.990005</v>
      </c>
      <c r="J115" s="70">
        <f t="shared" si="35"/>
        <v>0.32614560719451002</v>
      </c>
      <c r="K115" s="75">
        <v>74843350484.419998</v>
      </c>
      <c r="L115" s="70">
        <f t="shared" si="36"/>
        <v>0.31920811189312093</v>
      </c>
      <c r="M115" s="70">
        <f t="shared" si="37"/>
        <v>-2.393620251458161E-2</v>
      </c>
      <c r="N115" s="72">
        <f t="shared" si="38"/>
        <v>1.5148588779921271E-3</v>
      </c>
      <c r="O115" s="73">
        <f t="shared" si="39"/>
        <v>7.0376685171202602E-3</v>
      </c>
      <c r="P115" s="88">
        <f t="shared" si="40"/>
        <v>1.922728079732525</v>
      </c>
      <c r="Q115" s="88">
        <f t="shared" si="41"/>
        <v>1.3531522873716686E-2</v>
      </c>
      <c r="R115" s="75">
        <v>1.92</v>
      </c>
      <c r="S115" s="75">
        <v>1.92</v>
      </c>
      <c r="T115" s="80">
        <v>1389</v>
      </c>
      <c r="U115" s="75">
        <v>39789185916.440002</v>
      </c>
      <c r="V115" s="75">
        <v>38925603299.470001</v>
      </c>
      <c r="W115" s="35"/>
    </row>
    <row r="116" spans="1:23">
      <c r="A116" s="167">
        <v>106</v>
      </c>
      <c r="B116" s="66" t="s">
        <v>190</v>
      </c>
      <c r="C116" s="66" t="s">
        <v>59</v>
      </c>
      <c r="D116" s="75">
        <v>41939273393.800003</v>
      </c>
      <c r="E116" s="75">
        <v>921245575.15999997</v>
      </c>
      <c r="F116" s="75">
        <v>0</v>
      </c>
      <c r="G116" s="75">
        <v>97142239.209999993</v>
      </c>
      <c r="H116" s="68">
        <f t="shared" si="29"/>
        <v>824103335.95000005</v>
      </c>
      <c r="I116" s="75">
        <v>54183801852.389999</v>
      </c>
      <c r="J116" s="70">
        <f t="shared" si="35"/>
        <v>0.23046553696034</v>
      </c>
      <c r="K116" s="75">
        <v>54499686190.18</v>
      </c>
      <c r="L116" s="70">
        <f t="shared" si="36"/>
        <v>0.23244205149736588</v>
      </c>
      <c r="M116" s="70">
        <f t="shared" si="37"/>
        <v>5.829866620480924E-3</v>
      </c>
      <c r="N116" s="72">
        <f t="shared" si="38"/>
        <v>1.7824366707546936E-3</v>
      </c>
      <c r="O116" s="73">
        <f t="shared" si="39"/>
        <v>1.5121249195348407E-2</v>
      </c>
      <c r="P116" s="88">
        <f t="shared" si="40"/>
        <v>135.68435460766887</v>
      </c>
      <c r="Q116" s="88">
        <f t="shared" si="41"/>
        <v>2.0517169379325808</v>
      </c>
      <c r="R116" s="75">
        <v>135.68435460766901</v>
      </c>
      <c r="S116" s="75">
        <v>135.68435460766901</v>
      </c>
      <c r="T116" s="80">
        <v>261</v>
      </c>
      <c r="U116" s="75">
        <v>407664334.54000002</v>
      </c>
      <c r="V116" s="75">
        <v>401665220.33999997</v>
      </c>
      <c r="W116" s="35"/>
    </row>
    <row r="117" spans="1:23">
      <c r="A117" s="167">
        <v>107</v>
      </c>
      <c r="B117" s="78" t="s">
        <v>191</v>
      </c>
      <c r="C117" s="78" t="s">
        <v>192</v>
      </c>
      <c r="D117" s="67">
        <v>114000000</v>
      </c>
      <c r="E117" s="67">
        <v>5673772.4100000001</v>
      </c>
      <c r="F117" s="75">
        <v>0</v>
      </c>
      <c r="G117" s="67">
        <v>472993.32</v>
      </c>
      <c r="H117" s="68">
        <f t="shared" si="29"/>
        <v>5200779.09</v>
      </c>
      <c r="I117" s="67">
        <v>122506684.87</v>
      </c>
      <c r="J117" s="70">
        <f t="shared" si="35"/>
        <v>5.2107028197672246E-4</v>
      </c>
      <c r="K117" s="67">
        <v>125107730.98999999</v>
      </c>
      <c r="L117" s="70">
        <f t="shared" si="36"/>
        <v>5.335865154896249E-4</v>
      </c>
      <c r="M117" s="70">
        <f t="shared" si="37"/>
        <v>2.1231870920024758E-2</v>
      </c>
      <c r="N117" s="72">
        <f t="shared" si="38"/>
        <v>3.7806881817543866E-3</v>
      </c>
      <c r="O117" s="73">
        <f t="shared" si="39"/>
        <v>4.1570405352613291E-2</v>
      </c>
      <c r="P117" s="88">
        <f t="shared" si="40"/>
        <v>116.21923939756338</v>
      </c>
      <c r="Q117" s="88">
        <f t="shared" si="41"/>
        <v>4.831280891529115</v>
      </c>
      <c r="R117" s="75">
        <v>116.2192</v>
      </c>
      <c r="S117" s="75">
        <v>116.2192</v>
      </c>
      <c r="T117" s="80">
        <v>86</v>
      </c>
      <c r="U117" s="67">
        <v>998699.12</v>
      </c>
      <c r="V117" s="67">
        <v>1076480.3799999999</v>
      </c>
      <c r="W117" s="34"/>
    </row>
    <row r="118" spans="1:23">
      <c r="A118" s="167">
        <v>108</v>
      </c>
      <c r="B118" s="78" t="s">
        <v>193</v>
      </c>
      <c r="C118" s="78" t="s">
        <v>61</v>
      </c>
      <c r="D118" s="67">
        <v>528179460.31999999</v>
      </c>
      <c r="E118" s="67">
        <v>7195754.6900000004</v>
      </c>
      <c r="F118" s="75">
        <v>0</v>
      </c>
      <c r="G118" s="67">
        <v>1046448.54</v>
      </c>
      <c r="H118" s="68">
        <f t="shared" si="29"/>
        <v>6149306.1500000004</v>
      </c>
      <c r="I118" s="75">
        <v>540042909.20000005</v>
      </c>
      <c r="J118" s="70">
        <f t="shared" si="35"/>
        <v>2.2970200464977573E-3</v>
      </c>
      <c r="K118" s="67">
        <v>552693355.11000001</v>
      </c>
      <c r="L118" s="70">
        <f t="shared" si="36"/>
        <v>2.357246184178556E-3</v>
      </c>
      <c r="M118" s="70">
        <f t="shared" si="37"/>
        <v>2.3424890308697651E-2</v>
      </c>
      <c r="N118" s="72">
        <f t="shared" si="38"/>
        <v>1.8933618982839592E-3</v>
      </c>
      <c r="O118" s="73">
        <f t="shared" si="39"/>
        <v>1.1126072157636367E-2</v>
      </c>
      <c r="P118" s="88">
        <f t="shared" si="40"/>
        <v>1.5482849615670196</v>
      </c>
      <c r="Q118" s="88">
        <f t="shared" si="41"/>
        <v>1.7226330202977907E-2</v>
      </c>
      <c r="R118" s="75">
        <v>1.5483</v>
      </c>
      <c r="S118" s="75">
        <v>1.5483</v>
      </c>
      <c r="T118" s="80">
        <v>54</v>
      </c>
      <c r="U118" s="67">
        <v>359280751.5</v>
      </c>
      <c r="V118" s="67">
        <v>356971338.5</v>
      </c>
      <c r="W118" s="34"/>
    </row>
    <row r="119" spans="1:23">
      <c r="A119" s="167">
        <v>109</v>
      </c>
      <c r="B119" s="76" t="s">
        <v>194</v>
      </c>
      <c r="C119" s="76" t="s">
        <v>145</v>
      </c>
      <c r="D119" s="67">
        <v>2026716187.78</v>
      </c>
      <c r="E119" s="98">
        <v>19711802.780000001</v>
      </c>
      <c r="F119" s="75">
        <v>0</v>
      </c>
      <c r="G119" s="98">
        <v>7602.09</v>
      </c>
      <c r="H119" s="68">
        <f t="shared" si="29"/>
        <v>19704200.690000001</v>
      </c>
      <c r="I119" s="67">
        <v>2077293427.29</v>
      </c>
      <c r="J119" s="70">
        <f t="shared" si="35"/>
        <v>8.8355657738597351E-3</v>
      </c>
      <c r="K119" s="67">
        <v>2096992181.1099999</v>
      </c>
      <c r="L119" s="70">
        <f t="shared" si="36"/>
        <v>8.9437058930987266E-3</v>
      </c>
      <c r="M119" s="70">
        <f t="shared" si="37"/>
        <v>9.4828942128308644E-3</v>
      </c>
      <c r="N119" s="72">
        <f t="shared" si="38"/>
        <v>3.6252352624300152E-6</v>
      </c>
      <c r="O119" s="73">
        <f t="shared" si="39"/>
        <v>9.3964111394874098E-3</v>
      </c>
      <c r="P119" s="88">
        <f t="shared" si="40"/>
        <v>33.311202149771113</v>
      </c>
      <c r="Q119" s="88">
        <f t="shared" si="41"/>
        <v>0.31300575094982624</v>
      </c>
      <c r="R119" s="75">
        <v>33.255699999999997</v>
      </c>
      <c r="S119" s="75">
        <v>33.255699999999997</v>
      </c>
      <c r="T119" s="75">
        <v>1369</v>
      </c>
      <c r="U119" s="67">
        <v>63020577.18</v>
      </c>
      <c r="V119" s="67">
        <v>62951561.210000001</v>
      </c>
      <c r="W119" s="36"/>
    </row>
    <row r="120" spans="1:23">
      <c r="A120" s="175" t="s">
        <v>64</v>
      </c>
      <c r="B120" s="175"/>
      <c r="C120" s="175"/>
      <c r="D120" s="175"/>
      <c r="E120" s="175"/>
      <c r="F120" s="175"/>
      <c r="G120" s="175"/>
      <c r="H120" s="175"/>
      <c r="I120" s="85">
        <f>SUM(I82:I119)</f>
        <v>235105875555.32999</v>
      </c>
      <c r="J120" s="83">
        <f>(I120/$I$269)</f>
        <v>2.4480752117853062E-2</v>
      </c>
      <c r="K120" s="85">
        <f>SUM(K82:K119)</f>
        <v>234465690864.01999</v>
      </c>
      <c r="L120" s="83">
        <f>(K120/$K$269)</f>
        <v>2.3966503518058839E-2</v>
      </c>
      <c r="M120" s="83">
        <f t="shared" si="30"/>
        <v>-2.7229633874434416E-3</v>
      </c>
      <c r="N120" s="72"/>
      <c r="O120" s="72"/>
      <c r="P120" s="97"/>
      <c r="Q120" s="97"/>
      <c r="R120" s="191"/>
      <c r="S120" s="85"/>
      <c r="T120" s="85">
        <f>SUM(T82:T119)</f>
        <v>71197</v>
      </c>
      <c r="U120" s="190"/>
      <c r="V120" s="190"/>
      <c r="W120" s="35"/>
    </row>
    <row r="121" spans="1:23" ht="7.05" customHeight="1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33"/>
    </row>
    <row r="122" spans="1:23">
      <c r="A122" s="174" t="s">
        <v>195</v>
      </c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24"/>
    </row>
    <row r="123" spans="1:23">
      <c r="A123" s="179" t="s">
        <v>196</v>
      </c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37"/>
    </row>
    <row r="124" spans="1:23">
      <c r="A124" s="99">
        <v>110</v>
      </c>
      <c r="B124" s="66" t="s">
        <v>197</v>
      </c>
      <c r="C124" s="66" t="s">
        <v>24</v>
      </c>
      <c r="D124" s="81">
        <v>4309672507.1999998</v>
      </c>
      <c r="E124" s="81">
        <v>28662831.41</v>
      </c>
      <c r="F124" s="81">
        <v>-27572378.890000001</v>
      </c>
      <c r="G124" s="81">
        <v>8150332.6100000003</v>
      </c>
      <c r="H124" s="68">
        <f t="shared" ref="H124:H139" si="44">(E124+F124)-G124</f>
        <v>-7059880.0899999999</v>
      </c>
      <c r="I124" s="69">
        <v>4455521713.9099998</v>
      </c>
      <c r="J124" s="70">
        <f t="shared" ref="J124:J141" si="45">(I124/$I$165)</f>
        <v>2.5423662520557009E-3</v>
      </c>
      <c r="K124" s="71">
        <v>4342282792.79</v>
      </c>
      <c r="L124" s="70">
        <f t="shared" ref="L124" si="46">(K124/$K$165)</f>
        <v>2.4875582186820689E-3</v>
      </c>
      <c r="M124" s="70">
        <f t="shared" ref="M124" si="47">((K124-I124)/I124)</f>
        <v>-2.5415412243749481E-2</v>
      </c>
      <c r="N124" s="72">
        <f t="shared" ref="N124" si="48">(G124/K124)</f>
        <v>1.87696955701111E-3</v>
      </c>
      <c r="O124" s="73">
        <f t="shared" ref="O124" si="49">H124/K124</f>
        <v>-1.6258453046223401E-3</v>
      </c>
      <c r="P124" s="88">
        <f t="shared" ref="P124" si="50">K124/V124</f>
        <v>158613.56926289701</v>
      </c>
      <c r="Q124" s="88">
        <f t="shared" ref="Q124" si="51">H124/V124</f>
        <v>-257.88112683547098</v>
      </c>
      <c r="R124" s="75">
        <f>119.38*C271</f>
        <v>158675.1208</v>
      </c>
      <c r="S124" s="75">
        <f>120.22*C271</f>
        <v>159791.6152</v>
      </c>
      <c r="T124" s="75">
        <v>157</v>
      </c>
      <c r="U124" s="67">
        <v>27814.66</v>
      </c>
      <c r="V124" s="67">
        <v>27376.49</v>
      </c>
      <c r="W124" s="34"/>
    </row>
    <row r="125" spans="1:23">
      <c r="A125" s="99">
        <v>111</v>
      </c>
      <c r="B125" s="78" t="s">
        <v>198</v>
      </c>
      <c r="C125" s="79" t="s">
        <v>68</v>
      </c>
      <c r="D125" s="80">
        <f>4031110.08303009*C271</f>
        <v>5357990277.9602699</v>
      </c>
      <c r="E125" s="80">
        <f>66650.4999930021*C271</f>
        <v>88589178.570698693</v>
      </c>
      <c r="F125" s="80">
        <v>0</v>
      </c>
      <c r="G125" s="80">
        <f>7065.27*C271</f>
        <v>9390874.2731999997</v>
      </c>
      <c r="H125" s="68">
        <f t="shared" si="44"/>
        <v>79198304.297498703</v>
      </c>
      <c r="I125" s="69">
        <v>5533712559.1859388</v>
      </c>
      <c r="J125" s="70">
        <f t="shared" si="45"/>
        <v>3.1575929739336693E-3</v>
      </c>
      <c r="K125" s="69">
        <f>4061596.31039888*C271</f>
        <v>5398511351.92978</v>
      </c>
      <c r="L125" s="70">
        <f t="shared" ref="L125:L141" si="52">(K125/$K$165)</f>
        <v>3.0926385781320587E-3</v>
      </c>
      <c r="M125" s="70">
        <f t="shared" ref="M125:M141" si="53">((K125-I125)/I125)</f>
        <v>-2.4432278657431424E-2</v>
      </c>
      <c r="N125" s="72">
        <f t="shared" ref="N125:N141" si="54">(G125/K125)</f>
        <v>1.7395303373481078E-3</v>
      </c>
      <c r="O125" s="73">
        <f t="shared" ref="O125:O141" si="55">H125/K125</f>
        <v>1.4670396917696222E-2</v>
      </c>
      <c r="P125" s="88">
        <f t="shared" ref="P125:P141" si="56">K125/V125</f>
        <v>144646.73827930575</v>
      </c>
      <c r="Q125" s="88">
        <f t="shared" ref="Q125:Q141" si="57">H125/V125</f>
        <v>2122.0250634075387</v>
      </c>
      <c r="R125" s="75">
        <f>108.885*C271</f>
        <v>144725.58660000001</v>
      </c>
      <c r="S125" s="75">
        <f>108.885*C271</f>
        <v>144725.58660000001</v>
      </c>
      <c r="T125" s="75">
        <v>126</v>
      </c>
      <c r="U125" s="67">
        <v>38191.120000000003</v>
      </c>
      <c r="V125" s="67">
        <v>37322.04</v>
      </c>
      <c r="W125" s="34"/>
    </row>
    <row r="126" spans="1:23" ht="13.05" customHeight="1">
      <c r="A126" s="99">
        <v>112</v>
      </c>
      <c r="B126" s="66" t="s">
        <v>199</v>
      </c>
      <c r="C126" s="76" t="s">
        <v>28</v>
      </c>
      <c r="D126" s="81">
        <f>8187898*C271</f>
        <v>10883026505.68</v>
      </c>
      <c r="E126" s="81">
        <f>85323*C271</f>
        <v>113407918.68000001</v>
      </c>
      <c r="F126" s="81">
        <f>5739*C271</f>
        <v>7628049.2400000002</v>
      </c>
      <c r="G126" s="81">
        <f>24299*C271</f>
        <v>32297258.84</v>
      </c>
      <c r="H126" s="68">
        <f t="shared" si="44"/>
        <v>88738709.079999998</v>
      </c>
      <c r="I126" s="69">
        <v>17028515327.396399</v>
      </c>
      <c r="J126" s="70">
        <f t="shared" si="45"/>
        <v>9.716644979156381E-3</v>
      </c>
      <c r="K126" s="71">
        <f>12775159*C271</f>
        <v>16980230336.440001</v>
      </c>
      <c r="L126" s="70">
        <f t="shared" si="52"/>
        <v>9.7274437304407674E-3</v>
      </c>
      <c r="M126" s="70">
        <f t="shared" si="53"/>
        <v>-2.8355373341746653E-3</v>
      </c>
      <c r="N126" s="72">
        <f t="shared" si="54"/>
        <v>1.9020506907193875E-3</v>
      </c>
      <c r="O126" s="73">
        <f t="shared" si="55"/>
        <v>5.2260014924276083E-3</v>
      </c>
      <c r="P126" s="88">
        <f t="shared" si="56"/>
        <v>1586.213982449126</v>
      </c>
      <c r="Q126" s="88">
        <f t="shared" si="57"/>
        <v>8.2895566395886728</v>
      </c>
      <c r="R126" s="75">
        <f>1.2493*C271</f>
        <v>1660.5195880000001</v>
      </c>
      <c r="S126" s="75">
        <f>1.25*C271</f>
        <v>1661.45</v>
      </c>
      <c r="T126" s="75">
        <v>356</v>
      </c>
      <c r="U126" s="67">
        <v>10225930</v>
      </c>
      <c r="V126" s="67">
        <v>10704880</v>
      </c>
      <c r="W126" s="34"/>
    </row>
    <row r="127" spans="1:23" ht="14.4" customHeight="1">
      <c r="A127" s="99">
        <v>113</v>
      </c>
      <c r="B127" s="66" t="s">
        <v>200</v>
      </c>
      <c r="C127" s="76" t="s">
        <v>28</v>
      </c>
      <c r="D127" s="81">
        <f>1265672*C271</f>
        <v>1682280595.5200002</v>
      </c>
      <c r="E127" s="81">
        <f>14885*C271</f>
        <v>19784546.600000001</v>
      </c>
      <c r="F127" s="81">
        <f>-2154*C271</f>
        <v>-2863010.64</v>
      </c>
      <c r="G127" s="81">
        <f>5632*C271</f>
        <v>7485829.1200000001</v>
      </c>
      <c r="H127" s="68">
        <f t="shared" si="44"/>
        <v>9435706.8399999999</v>
      </c>
      <c r="I127" s="69">
        <v>3079850251.572</v>
      </c>
      <c r="J127" s="70">
        <f t="shared" si="45"/>
        <v>1.7573940480497632E-3</v>
      </c>
      <c r="K127" s="71">
        <f>2352833*C271</f>
        <v>3127291510.2800002</v>
      </c>
      <c r="L127" s="70">
        <f t="shared" si="52"/>
        <v>1.7915276525813999E-3</v>
      </c>
      <c r="M127" s="70">
        <f t="shared" si="53"/>
        <v>1.5403754998732642E-2</v>
      </c>
      <c r="N127" s="72">
        <f t="shared" si="54"/>
        <v>2.3937100508195862E-3</v>
      </c>
      <c r="O127" s="73">
        <f t="shared" si="55"/>
        <v>3.0172137164006111E-3</v>
      </c>
      <c r="P127" s="88">
        <f t="shared" si="56"/>
        <v>1431.1741308292485</v>
      </c>
      <c r="Q127" s="88">
        <f t="shared" si="57"/>
        <v>4.3181582180957321</v>
      </c>
      <c r="R127" s="75">
        <f>1.0768*C271</f>
        <v>1431.2394880000002</v>
      </c>
      <c r="S127" s="75">
        <f>1.0768*C271</f>
        <v>1431.2394880000002</v>
      </c>
      <c r="T127" s="75">
        <v>133</v>
      </c>
      <c r="U127" s="67">
        <v>2152489</v>
      </c>
      <c r="V127" s="67">
        <v>2185123</v>
      </c>
      <c r="W127" s="34"/>
    </row>
    <row r="128" spans="1:23" ht="13.05" customHeight="1">
      <c r="A128" s="99">
        <v>114</v>
      </c>
      <c r="B128" s="79" t="s">
        <v>201</v>
      </c>
      <c r="C128" s="79" t="s">
        <v>32</v>
      </c>
      <c r="D128" s="81">
        <f>33776051.72*C271</f>
        <v>44893776904.155197</v>
      </c>
      <c r="E128" s="81">
        <f>909391.84*C271</f>
        <v>1208727258.0544</v>
      </c>
      <c r="F128" s="80">
        <f>-1557142.65*C271</f>
        <v>-2069691724.674</v>
      </c>
      <c r="G128" s="80">
        <f>49787.02*C271</f>
        <v>66174915.503200002</v>
      </c>
      <c r="H128" s="68">
        <f t="shared" si="44"/>
        <v>-927139382.12279999</v>
      </c>
      <c r="I128" s="69">
        <v>47537521809.880463</v>
      </c>
      <c r="J128" s="70">
        <f t="shared" si="45"/>
        <v>2.7125396062707464E-2</v>
      </c>
      <c r="K128" s="69">
        <f>33951249.17*C271</f>
        <v>45126642346.797203</v>
      </c>
      <c r="L128" s="70">
        <f t="shared" si="52"/>
        <v>2.5851644263632949E-2</v>
      </c>
      <c r="M128" s="70">
        <f t="shared" si="53"/>
        <v>-5.0715295440204644E-2</v>
      </c>
      <c r="N128" s="72">
        <f t="shared" si="54"/>
        <v>1.4664267506243275E-3</v>
      </c>
      <c r="O128" s="73">
        <f t="shared" si="55"/>
        <v>-2.0545277333016608E-2</v>
      </c>
      <c r="P128" s="88">
        <f t="shared" si="56"/>
        <v>1697.5536620414493</v>
      </c>
      <c r="Q128" s="88">
        <f t="shared" si="57"/>
        <v>-34.876710774319527</v>
      </c>
      <c r="R128" s="75">
        <f>1.2768*C271</f>
        <v>1697.071488</v>
      </c>
      <c r="S128" s="75">
        <f>1.2768*C271</f>
        <v>1697.071488</v>
      </c>
      <c r="T128" s="75">
        <v>670</v>
      </c>
      <c r="U128" s="67">
        <v>27366109.510000002</v>
      </c>
      <c r="V128" s="67">
        <v>26583337.75</v>
      </c>
      <c r="W128" s="34"/>
    </row>
    <row r="129" spans="1:23" ht="13.05" customHeight="1">
      <c r="A129" s="99">
        <v>115</v>
      </c>
      <c r="B129" s="78" t="s">
        <v>202</v>
      </c>
      <c r="C129" s="79" t="s">
        <v>81</v>
      </c>
      <c r="D129" s="81">
        <f>1030026.67*C271</f>
        <v>1369070248.6972001</v>
      </c>
      <c r="E129" s="81">
        <f>14583.8*C271</f>
        <v>19384203.607999999</v>
      </c>
      <c r="F129" s="80">
        <v>0</v>
      </c>
      <c r="G129" s="81">
        <f>1671.81*C271</f>
        <v>2222102.9796000002</v>
      </c>
      <c r="H129" s="68">
        <f t="shared" si="44"/>
        <v>17162100.628400002</v>
      </c>
      <c r="I129" s="69">
        <v>1318647448.3857119</v>
      </c>
      <c r="J129" s="70">
        <f t="shared" si="45"/>
        <v>7.5243371851804535E-4</v>
      </c>
      <c r="K129" s="71">
        <f>1011099.95*C271</f>
        <v>1343913609.5420001</v>
      </c>
      <c r="L129" s="70">
        <f t="shared" si="52"/>
        <v>7.698861414935402E-4</v>
      </c>
      <c r="M129" s="70">
        <f t="shared" si="53"/>
        <v>1.9160664351354093E-2</v>
      </c>
      <c r="N129" s="72">
        <f t="shared" si="54"/>
        <v>1.6534567131567953E-3</v>
      </c>
      <c r="O129" s="73">
        <f t="shared" si="55"/>
        <v>1.2770240963813717E-2</v>
      </c>
      <c r="P129" s="88">
        <f t="shared" si="56"/>
        <v>1447.3341444906248</v>
      </c>
      <c r="Q129" s="88">
        <f t="shared" si="57"/>
        <v>18.482805780300456</v>
      </c>
      <c r="R129" s="75">
        <f>1.0889*C271</f>
        <v>1447.322324</v>
      </c>
      <c r="S129" s="75">
        <f>1.0889*C271</f>
        <v>1447.322324</v>
      </c>
      <c r="T129" s="75">
        <v>85</v>
      </c>
      <c r="U129" s="67">
        <v>909653.47</v>
      </c>
      <c r="V129" s="67">
        <v>928544.12</v>
      </c>
      <c r="W129" s="34"/>
    </row>
    <row r="130" spans="1:23" ht="13.8" customHeight="1">
      <c r="A130" s="99">
        <v>116</v>
      </c>
      <c r="B130" s="78" t="s">
        <v>203</v>
      </c>
      <c r="C130" s="79" t="s">
        <v>36</v>
      </c>
      <c r="D130" s="80">
        <f>885804.98*C271</f>
        <v>1177376547.2168</v>
      </c>
      <c r="E130" s="80">
        <f>5860.43*C271</f>
        <v>7789449.1387999998</v>
      </c>
      <c r="F130" s="80">
        <v>0</v>
      </c>
      <c r="G130" s="80">
        <f>2100.52443295981*C271</f>
        <v>2791933.0553128598</v>
      </c>
      <c r="H130" s="68">
        <f t="shared" si="44"/>
        <v>4997516.08348714</v>
      </c>
      <c r="I130" s="69">
        <v>1160733320.8687439</v>
      </c>
      <c r="J130" s="70">
        <f t="shared" si="45"/>
        <v>6.6232630252934844E-4</v>
      </c>
      <c r="K130" s="69">
        <f>891566.06*C271</f>
        <v>1185033944.3096001</v>
      </c>
      <c r="L130" s="70">
        <f t="shared" si="52"/>
        <v>6.7886894250167675E-4</v>
      </c>
      <c r="M130" s="70">
        <f t="shared" si="53"/>
        <v>2.0935578400272478E-2</v>
      </c>
      <c r="N130" s="72">
        <f t="shared" si="54"/>
        <v>2.3559941626308755E-3</v>
      </c>
      <c r="O130" s="73">
        <f t="shared" si="55"/>
        <v>4.2171923492020213E-3</v>
      </c>
      <c r="P130" s="88">
        <f t="shared" si="56"/>
        <v>2029.7114600471309</v>
      </c>
      <c r="Q130" s="88">
        <f t="shared" si="57"/>
        <v>8.5596836403984238</v>
      </c>
      <c r="R130" s="75">
        <f>1.52706330317428*C271</f>
        <v>2029.71146004713</v>
      </c>
      <c r="S130" s="75">
        <f>1.55*C271</f>
        <v>2060.1979999999999</v>
      </c>
      <c r="T130" s="75">
        <v>89</v>
      </c>
      <c r="U130" s="75">
        <v>591425.56000000006</v>
      </c>
      <c r="V130" s="75">
        <v>583843.55000000005</v>
      </c>
      <c r="W130" s="35"/>
    </row>
    <row r="131" spans="1:23" ht="14.4" customHeight="1">
      <c r="A131" s="99">
        <v>117</v>
      </c>
      <c r="B131" s="78" t="s">
        <v>204</v>
      </c>
      <c r="C131" s="79" t="s">
        <v>205</v>
      </c>
      <c r="D131" s="81">
        <f>969566.63*C271</f>
        <v>1288709181.9308</v>
      </c>
      <c r="E131" s="81">
        <f>16286.14*C271</f>
        <v>21646885.842399999</v>
      </c>
      <c r="F131" s="80">
        <v>0</v>
      </c>
      <c r="G131" s="81">
        <f>5121.94*C271</f>
        <v>6807877.7703999998</v>
      </c>
      <c r="H131" s="68">
        <f t="shared" si="44"/>
        <v>14839008.072000001</v>
      </c>
      <c r="I131" s="69">
        <v>3974958528.0195956</v>
      </c>
      <c r="J131" s="70">
        <f t="shared" si="45"/>
        <v>2.2681519839546581E-3</v>
      </c>
      <c r="K131" s="71">
        <f>3088076.39*C271</f>
        <v>4104547614.5324001</v>
      </c>
      <c r="L131" s="70">
        <f t="shared" si="52"/>
        <v>2.3513671586418345E-3</v>
      </c>
      <c r="M131" s="70">
        <f t="shared" si="53"/>
        <v>3.2601368190215661E-2</v>
      </c>
      <c r="N131" s="72">
        <f t="shared" si="54"/>
        <v>1.6586182960325018E-3</v>
      </c>
      <c r="O131" s="73">
        <f t="shared" si="55"/>
        <v>3.6152603077283332E-3</v>
      </c>
      <c r="P131" s="88">
        <f t="shared" si="56"/>
        <v>145093.41491506947</v>
      </c>
      <c r="Q131" s="88">
        <f t="shared" si="57"/>
        <v>524.5504638552087</v>
      </c>
      <c r="R131" s="75">
        <f>107.69*C271</f>
        <v>143137.24040000001</v>
      </c>
      <c r="S131" s="75">
        <f>106.06*C271</f>
        <v>140970.7096</v>
      </c>
      <c r="T131" s="75">
        <v>135</v>
      </c>
      <c r="U131" s="67">
        <v>27533</v>
      </c>
      <c r="V131" s="67">
        <v>28289</v>
      </c>
      <c r="W131" s="34"/>
    </row>
    <row r="132" spans="1:23" ht="14.4" customHeight="1">
      <c r="A132" s="99">
        <v>118</v>
      </c>
      <c r="B132" s="66" t="s">
        <v>206</v>
      </c>
      <c r="C132" s="76" t="s">
        <v>93</v>
      </c>
      <c r="D132" s="81">
        <f>2603758.64*C271</f>
        <v>3460811833.9424</v>
      </c>
      <c r="E132" s="81">
        <f>23012.67*C271</f>
        <v>30587520.457199998</v>
      </c>
      <c r="F132" s="80">
        <v>0</v>
      </c>
      <c r="G132" s="81">
        <f>5541*C271</f>
        <v>7364875.5599999996</v>
      </c>
      <c r="H132" s="68">
        <f t="shared" si="44"/>
        <v>23222644.8972</v>
      </c>
      <c r="I132" s="69">
        <v>4403777846.9363995</v>
      </c>
      <c r="J132" s="70">
        <f t="shared" si="45"/>
        <v>2.5128406724285518E-3</v>
      </c>
      <c r="K132" s="71">
        <f>3384621*C271</f>
        <v>4498702848.3599997</v>
      </c>
      <c r="L132" s="70">
        <f t="shared" si="52"/>
        <v>2.5771663841027857E-3</v>
      </c>
      <c r="M132" s="70">
        <f t="shared" si="53"/>
        <v>2.1555356496839911E-2</v>
      </c>
      <c r="N132" s="72">
        <f t="shared" si="54"/>
        <v>1.6371109202477914E-3</v>
      </c>
      <c r="O132" s="73">
        <f t="shared" si="55"/>
        <v>5.1620757538288634E-3</v>
      </c>
      <c r="P132" s="88">
        <f t="shared" si="56"/>
        <v>155967.05609672467</v>
      </c>
      <c r="Q132" s="88">
        <f t="shared" si="57"/>
        <v>805.11375867296863</v>
      </c>
      <c r="R132" s="75">
        <f>116.92*C271</f>
        <v>155405.3872</v>
      </c>
      <c r="S132" s="75">
        <f>116.92*C271</f>
        <v>155405.3872</v>
      </c>
      <c r="T132" s="75">
        <v>80</v>
      </c>
      <c r="U132" s="67">
        <v>28348.53</v>
      </c>
      <c r="V132" s="67">
        <v>28843.93</v>
      </c>
      <c r="W132" s="34"/>
    </row>
    <row r="133" spans="1:23" ht="15" customHeight="1">
      <c r="A133" s="99">
        <v>119</v>
      </c>
      <c r="B133" s="66" t="s">
        <v>207</v>
      </c>
      <c r="C133" s="66" t="s">
        <v>168</v>
      </c>
      <c r="D133" s="81">
        <f>4574217.28*C271</f>
        <v>6079866639.8848</v>
      </c>
      <c r="E133" s="81">
        <f>25619.14*C271</f>
        <v>34051936.122400001</v>
      </c>
      <c r="F133" s="80">
        <v>0</v>
      </c>
      <c r="G133" s="81">
        <f>7485.16*C271</f>
        <v>9948975.2655999996</v>
      </c>
      <c r="H133" s="68">
        <f t="shared" si="44"/>
        <v>24102960.856800001</v>
      </c>
      <c r="I133" s="69">
        <v>6117832563.7318907</v>
      </c>
      <c r="J133" s="70">
        <f t="shared" si="45"/>
        <v>3.4908978217300518E-3</v>
      </c>
      <c r="K133" s="71">
        <f>4563414.97*C271</f>
        <v>6065508641.5251999</v>
      </c>
      <c r="L133" s="70">
        <f t="shared" si="52"/>
        <v>3.474740497501913E-3</v>
      </c>
      <c r="M133" s="70">
        <f t="shared" si="53"/>
        <v>-8.5526894797482138E-3</v>
      </c>
      <c r="N133" s="72">
        <f t="shared" si="54"/>
        <v>1.6402540748995263E-3</v>
      </c>
      <c r="O133" s="73">
        <f t="shared" si="55"/>
        <v>3.9737740528120328E-3</v>
      </c>
      <c r="P133" s="88">
        <f t="shared" si="56"/>
        <v>2058.4680246524399</v>
      </c>
      <c r="Q133" s="88">
        <f t="shared" si="57"/>
        <v>8.1798868249071059</v>
      </c>
      <c r="R133" s="75">
        <f>1.55*C271</f>
        <v>2060.1979999999999</v>
      </c>
      <c r="S133" s="75">
        <f>1.55*C271</f>
        <v>2060.1979999999999</v>
      </c>
      <c r="T133" s="75">
        <v>120</v>
      </c>
      <c r="U133" s="67">
        <v>2955091</v>
      </c>
      <c r="V133" s="67">
        <v>2946613</v>
      </c>
      <c r="W133" s="34"/>
    </row>
    <row r="134" spans="1:23" ht="15" customHeight="1">
      <c r="A134" s="99">
        <v>120</v>
      </c>
      <c r="B134" s="66" t="s">
        <v>208</v>
      </c>
      <c r="C134" s="66" t="s">
        <v>170</v>
      </c>
      <c r="D134" s="81">
        <v>55822231641.550003</v>
      </c>
      <c r="E134" s="81">
        <v>340636384.13</v>
      </c>
      <c r="F134" s="81">
        <v>-11991780</v>
      </c>
      <c r="G134" s="81">
        <v>84014530.379999995</v>
      </c>
      <c r="H134" s="68">
        <f t="shared" si="44"/>
        <v>244630073.75</v>
      </c>
      <c r="I134" s="69">
        <v>52758320393.18</v>
      </c>
      <c r="J134" s="70">
        <f t="shared" si="45"/>
        <v>3.01044371221467E-2</v>
      </c>
      <c r="K134" s="71">
        <v>55543278865.43</v>
      </c>
      <c r="L134" s="70">
        <f t="shared" si="52"/>
        <v>3.1819010052423463E-2</v>
      </c>
      <c r="M134" s="70">
        <f t="shared" si="53"/>
        <v>5.2787095030606926E-2</v>
      </c>
      <c r="N134" s="72">
        <f t="shared" si="54"/>
        <v>1.5125958008987911E-3</v>
      </c>
      <c r="O134" s="73">
        <f t="shared" si="55"/>
        <v>4.4043145947989248E-3</v>
      </c>
      <c r="P134" s="88">
        <f t="shared" si="56"/>
        <v>180281.86858828089</v>
      </c>
      <c r="Q134" s="88">
        <f t="shared" si="57"/>
        <v>794.01806500098735</v>
      </c>
      <c r="R134" s="75">
        <f>135.3*C271</f>
        <v>179835.348</v>
      </c>
      <c r="S134" s="75">
        <f>135.32*C271</f>
        <v>179861.93119999999</v>
      </c>
      <c r="T134" s="75">
        <v>4146</v>
      </c>
      <c r="U134" s="67">
        <v>293520.65999999997</v>
      </c>
      <c r="V134" s="67">
        <v>308091.32</v>
      </c>
      <c r="W134" s="34"/>
    </row>
    <row r="135" spans="1:23">
      <c r="A135" s="99">
        <v>121</v>
      </c>
      <c r="B135" s="66" t="s">
        <v>209</v>
      </c>
      <c r="C135" s="66" t="s">
        <v>170</v>
      </c>
      <c r="D135" s="81">
        <v>167809408828.13</v>
      </c>
      <c r="E135" s="81">
        <v>1170584320.0999999</v>
      </c>
      <c r="F135" s="80">
        <v>0</v>
      </c>
      <c r="G135" s="81">
        <v>258133998.94999999</v>
      </c>
      <c r="H135" s="68">
        <f t="shared" si="44"/>
        <v>912450321.14999998</v>
      </c>
      <c r="I135" s="69">
        <v>162960272872.20999</v>
      </c>
      <c r="J135" s="70">
        <f t="shared" si="45"/>
        <v>9.2986798130205148E-2</v>
      </c>
      <c r="K135" s="71">
        <v>165590072771.84</v>
      </c>
      <c r="L135" s="70">
        <f t="shared" si="52"/>
        <v>9.4861381930191876E-2</v>
      </c>
      <c r="M135" s="70">
        <f t="shared" si="53"/>
        <v>1.613767486565415E-2</v>
      </c>
      <c r="N135" s="72">
        <f t="shared" si="54"/>
        <v>1.5588736367407278E-3</v>
      </c>
      <c r="O135" s="73">
        <f t="shared" si="55"/>
        <v>5.5102960333088874E-3</v>
      </c>
      <c r="P135" s="88">
        <f t="shared" si="56"/>
        <v>176044.34096878947</v>
      </c>
      <c r="Q135" s="88">
        <f t="shared" si="57"/>
        <v>970.05643372679799</v>
      </c>
      <c r="R135" s="75">
        <f>132.12*C271</f>
        <v>175608.61919999999</v>
      </c>
      <c r="S135" s="75">
        <f>132.16*C271</f>
        <v>175661.7856</v>
      </c>
      <c r="T135" s="75">
        <v>1654</v>
      </c>
      <c r="U135" s="67">
        <v>929194.72</v>
      </c>
      <c r="V135" s="67">
        <v>940615.71</v>
      </c>
      <c r="W135" s="34"/>
    </row>
    <row r="136" spans="1:23">
      <c r="A136" s="99">
        <v>122</v>
      </c>
      <c r="B136" s="78" t="s">
        <v>210</v>
      </c>
      <c r="C136" s="79" t="s">
        <v>211</v>
      </c>
      <c r="D136" s="81">
        <f>1771000*C271</f>
        <v>2353942360</v>
      </c>
      <c r="E136" s="81">
        <f>12804.57*C271</f>
        <v>17019322.2612</v>
      </c>
      <c r="F136" s="80">
        <v>0</v>
      </c>
      <c r="G136" s="81">
        <f>1831.6*C271</f>
        <v>2434489.4559999998</v>
      </c>
      <c r="H136" s="68">
        <f t="shared" si="44"/>
        <v>14584832.805199999</v>
      </c>
      <c r="I136" s="100">
        <v>2369259697.612536</v>
      </c>
      <c r="J136" s="70">
        <f t="shared" si="45"/>
        <v>1.3519238114720765E-3</v>
      </c>
      <c r="K136" s="71">
        <f>1777676.87*C271</f>
        <v>2362816988.5292001</v>
      </c>
      <c r="L136" s="70">
        <f t="shared" si="52"/>
        <v>1.3535840707603771E-3</v>
      </c>
      <c r="M136" s="70">
        <f t="shared" si="53"/>
        <v>-2.7192920598058915E-3</v>
      </c>
      <c r="N136" s="72">
        <f t="shared" si="54"/>
        <v>1.0303334823724176E-3</v>
      </c>
      <c r="O136" s="73">
        <f t="shared" si="55"/>
        <v>6.1726459882441957E-3</v>
      </c>
      <c r="P136" s="88">
        <f t="shared" si="56"/>
        <v>1582.8720894366995</v>
      </c>
      <c r="Q136" s="88">
        <f t="shared" si="57"/>
        <v>9.770509052765151</v>
      </c>
      <c r="R136" s="75">
        <f>1*C271</f>
        <v>1329.16</v>
      </c>
      <c r="S136" s="75">
        <f>1*C271</f>
        <v>1329.16</v>
      </c>
      <c r="T136" s="75">
        <v>21</v>
      </c>
      <c r="U136" s="67">
        <v>1437074</v>
      </c>
      <c r="V136" s="67">
        <v>1492740.3195100001</v>
      </c>
      <c r="W136" s="34"/>
    </row>
    <row r="137" spans="1:23" s="13" customFormat="1" ht="13.8">
      <c r="A137" s="99">
        <v>123</v>
      </c>
      <c r="B137" s="78" t="s">
        <v>212</v>
      </c>
      <c r="C137" s="79" t="s">
        <v>42</v>
      </c>
      <c r="D137" s="81">
        <f>212080.96*C271</f>
        <v>281889528.79360002</v>
      </c>
      <c r="E137" s="81">
        <f>3315.63*C271</f>
        <v>4407002.7708000001</v>
      </c>
      <c r="F137" s="80">
        <v>0</v>
      </c>
      <c r="G137" s="81">
        <f>6034.45*C271</f>
        <v>8020749.5619999999</v>
      </c>
      <c r="H137" s="68">
        <f t="shared" si="44"/>
        <v>-3613746.7911999999</v>
      </c>
      <c r="I137" s="69">
        <v>288955646.19269997</v>
      </c>
      <c r="J137" s="70">
        <f t="shared" si="45"/>
        <v>1.6488104657368685E-4</v>
      </c>
      <c r="K137" s="71">
        <f>207424.4*C271</f>
        <v>275700215.50400001</v>
      </c>
      <c r="L137" s="70">
        <f t="shared" si="52"/>
        <v>1.5794004437208475E-4</v>
      </c>
      <c r="M137" s="70">
        <f t="shared" si="53"/>
        <v>-4.5873582549275135E-2</v>
      </c>
      <c r="N137" s="72">
        <f t="shared" si="54"/>
        <v>2.9092286153413003E-2</v>
      </c>
      <c r="O137" s="73">
        <f t="shared" si="55"/>
        <v>-1.3107522547974104E-2</v>
      </c>
      <c r="P137" s="88">
        <f t="shared" si="56"/>
        <v>188887.51404768432</v>
      </c>
      <c r="Q137" s="88">
        <f t="shared" si="57"/>
        <v>-2475.8473494107975</v>
      </c>
      <c r="R137" s="75">
        <f>150.6138*C271</f>
        <v>200189.83840800001</v>
      </c>
      <c r="S137" s="75">
        <f>150.6138*C271</f>
        <v>200189.83840800001</v>
      </c>
      <c r="T137" s="75">
        <v>11</v>
      </c>
      <c r="U137" s="67">
        <v>1459.6</v>
      </c>
      <c r="V137" s="67">
        <v>1459.6</v>
      </c>
      <c r="W137" s="34"/>
    </row>
    <row r="138" spans="1:23" s="13" customFormat="1" ht="13.8">
      <c r="A138" s="99">
        <v>124</v>
      </c>
      <c r="B138" s="78" t="s">
        <v>213</v>
      </c>
      <c r="C138" s="79" t="s">
        <v>214</v>
      </c>
      <c r="D138" s="81">
        <f>64211.43*C271</f>
        <v>85347264.298800007</v>
      </c>
      <c r="E138" s="81">
        <f>358.29*C271</f>
        <v>476224.73639999999</v>
      </c>
      <c r="F138" s="80">
        <v>0</v>
      </c>
      <c r="G138" s="81">
        <f>348.3*C271</f>
        <v>462946.42800000001</v>
      </c>
      <c r="H138" s="68">
        <f t="shared" si="44"/>
        <v>13278.3084</v>
      </c>
      <c r="I138" s="69">
        <v>80465018.327963993</v>
      </c>
      <c r="J138" s="70">
        <f t="shared" si="45"/>
        <v>4.5914162292014667E-5</v>
      </c>
      <c r="K138" s="71">
        <f>63835.64*C271</f>
        <v>84847779.262400001</v>
      </c>
      <c r="L138" s="70">
        <f t="shared" si="52"/>
        <v>4.8606643259522161E-5</v>
      </c>
      <c r="M138" s="70">
        <f t="shared" si="53"/>
        <v>5.4467904506931161E-2</v>
      </c>
      <c r="N138" s="72">
        <f t="shared" si="54"/>
        <v>5.456199702861912E-3</v>
      </c>
      <c r="O138" s="73">
        <f t="shared" si="55"/>
        <v>1.5649565039216337E-4</v>
      </c>
      <c r="P138" s="88">
        <f t="shared" si="56"/>
        <v>134174.263899932</v>
      </c>
      <c r="Q138" s="88">
        <f t="shared" si="57"/>
        <v>20.997688694909627</v>
      </c>
      <c r="R138" s="75">
        <f>100*C271</f>
        <v>132916</v>
      </c>
      <c r="S138" s="75">
        <f>100*C271</f>
        <v>132916</v>
      </c>
      <c r="T138" s="75">
        <v>6</v>
      </c>
      <c r="U138" s="67">
        <v>603.37</v>
      </c>
      <c r="V138" s="67">
        <v>632.37</v>
      </c>
      <c r="W138" s="34"/>
    </row>
    <row r="139" spans="1:23" ht="13.95" customHeight="1">
      <c r="A139" s="99">
        <v>125</v>
      </c>
      <c r="B139" s="66" t="s">
        <v>215</v>
      </c>
      <c r="C139" s="66" t="s">
        <v>216</v>
      </c>
      <c r="D139" s="81">
        <v>29246139926.259998</v>
      </c>
      <c r="E139" s="81">
        <v>317308087.75</v>
      </c>
      <c r="F139" s="81">
        <v>-534061277.85000002</v>
      </c>
      <c r="G139" s="81">
        <v>88402177.079999998</v>
      </c>
      <c r="H139" s="68">
        <f t="shared" si="44"/>
        <v>-305155367.18000001</v>
      </c>
      <c r="I139" s="69">
        <v>46002583511.309998</v>
      </c>
      <c r="J139" s="70">
        <f t="shared" si="45"/>
        <v>2.624954457328699E-2</v>
      </c>
      <c r="K139" s="71">
        <v>46440616800.589996</v>
      </c>
      <c r="L139" s="70">
        <f t="shared" si="52"/>
        <v>2.6604379197686014E-2</v>
      </c>
      <c r="M139" s="70">
        <f t="shared" si="53"/>
        <v>9.5219280276357919E-3</v>
      </c>
      <c r="N139" s="72">
        <f t="shared" si="54"/>
        <v>1.903553035472968E-3</v>
      </c>
      <c r="O139" s="73">
        <f t="shared" si="55"/>
        <v>-6.5708724001297767E-3</v>
      </c>
      <c r="P139" s="88">
        <f t="shared" si="56"/>
        <v>141237.5971697809</v>
      </c>
      <c r="Q139" s="88">
        <f t="shared" si="57"/>
        <v>-928.05422910356071</v>
      </c>
      <c r="R139" s="67">
        <v>141236.56</v>
      </c>
      <c r="S139" s="67">
        <v>141236.56</v>
      </c>
      <c r="T139" s="75">
        <v>1040</v>
      </c>
      <c r="U139" s="67">
        <v>322599</v>
      </c>
      <c r="V139" s="67">
        <v>328812</v>
      </c>
      <c r="W139" s="34"/>
    </row>
    <row r="140" spans="1:23" ht="13.95" customHeight="1">
      <c r="A140" s="99">
        <v>126</v>
      </c>
      <c r="B140" s="66" t="s">
        <v>217</v>
      </c>
      <c r="C140" s="66" t="s">
        <v>50</v>
      </c>
      <c r="D140" s="81">
        <f>2010321.42*C271</f>
        <v>2672038818.6072001</v>
      </c>
      <c r="E140" s="81">
        <f>97812.77*C271</f>
        <v>130008821.3732</v>
      </c>
      <c r="F140" s="80">
        <v>0</v>
      </c>
      <c r="G140" s="81">
        <f>2695.6*C271</f>
        <v>3582883.696</v>
      </c>
      <c r="H140" s="68">
        <f t="shared" ref="H140:H141" si="58">(E140+F140)-G140</f>
        <v>126425937.6772</v>
      </c>
      <c r="I140" s="69">
        <v>2785927019.4074159</v>
      </c>
      <c r="J140" s="70">
        <f t="shared" si="45"/>
        <v>1.589678446122059E-3</v>
      </c>
      <c r="K140" s="71">
        <f>2020842.31*C271</f>
        <v>2686022764.7596002</v>
      </c>
      <c r="L140" s="70">
        <f t="shared" si="52"/>
        <v>1.5387385674510148E-3</v>
      </c>
      <c r="M140" s="70">
        <f t="shared" si="53"/>
        <v>-3.5860327263370295E-2</v>
      </c>
      <c r="N140" s="72">
        <f t="shared" si="54"/>
        <v>1.3338992293762889E-3</v>
      </c>
      <c r="O140" s="73">
        <f t="shared" si="55"/>
        <v>4.7068081229950098E-2</v>
      </c>
      <c r="P140" s="88">
        <f t="shared" si="56"/>
        <v>208575.33728268862</v>
      </c>
      <c r="Q140" s="88">
        <f t="shared" si="57"/>
        <v>9817.2409177858281</v>
      </c>
      <c r="R140" s="75">
        <f>150.01*C271</f>
        <v>199387.2916</v>
      </c>
      <c r="S140" s="75">
        <f>156.323*C271</f>
        <v>207778.27867999999</v>
      </c>
      <c r="T140" s="75">
        <v>53</v>
      </c>
      <c r="U140" s="67">
        <v>12927.95</v>
      </c>
      <c r="V140" s="67">
        <v>12877.95</v>
      </c>
      <c r="W140" s="34"/>
    </row>
    <row r="141" spans="1:23">
      <c r="A141" s="99">
        <v>127</v>
      </c>
      <c r="B141" s="66" t="s">
        <v>218</v>
      </c>
      <c r="C141" s="66" t="s">
        <v>59</v>
      </c>
      <c r="D141" s="80">
        <f>89439718.3600001*C271</f>
        <v>118879696055.37801</v>
      </c>
      <c r="E141" s="80">
        <f>658877.72*C271</f>
        <v>875753910.31519997</v>
      </c>
      <c r="F141" s="80">
        <v>0</v>
      </c>
      <c r="G141" s="80">
        <f>139629.93*C271</f>
        <v>185590517.7588</v>
      </c>
      <c r="H141" s="68">
        <f t="shared" si="58"/>
        <v>690163392.55639994</v>
      </c>
      <c r="I141" s="69">
        <v>140623760030.68826</v>
      </c>
      <c r="J141" s="70">
        <f t="shared" si="45"/>
        <v>8.0241355489985372E-2</v>
      </c>
      <c r="K141" s="69">
        <f>101293176.74*C271</f>
        <v>134634838795.73801</v>
      </c>
      <c r="L141" s="70">
        <f t="shared" si="52"/>
        <v>7.7128095001865626E-2</v>
      </c>
      <c r="M141" s="70">
        <f t="shared" si="53"/>
        <v>-4.2588259861941515E-2</v>
      </c>
      <c r="N141" s="72">
        <f t="shared" si="54"/>
        <v>1.3784732051439501E-3</v>
      </c>
      <c r="O141" s="73">
        <f t="shared" si="55"/>
        <v>5.1261872389767194E-3</v>
      </c>
      <c r="P141" s="88">
        <f t="shared" si="56"/>
        <v>162858.99670383931</v>
      </c>
      <c r="Q141" s="88">
        <f t="shared" si="57"/>
        <v>834.84571065577279</v>
      </c>
      <c r="R141" s="75">
        <f>122.527759414848*C271</f>
        <v>162858.99670383899</v>
      </c>
      <c r="S141" s="75">
        <f>122.527759414848*C271</f>
        <v>162858.99670383899</v>
      </c>
      <c r="T141" s="75">
        <v>1250</v>
      </c>
      <c r="U141" s="75">
        <v>867610.11</v>
      </c>
      <c r="V141" s="75">
        <v>826695.74</v>
      </c>
      <c r="W141" s="35"/>
    </row>
    <row r="142" spans="1:23" ht="5.55" customHeight="1">
      <c r="A142" s="180"/>
      <c r="B142" s="180"/>
      <c r="C142" s="180"/>
      <c r="D142" s="180"/>
      <c r="E142" s="180"/>
      <c r="F142" s="180"/>
      <c r="G142" s="180"/>
      <c r="H142" s="180"/>
      <c r="I142" s="180"/>
      <c r="J142" s="180"/>
      <c r="K142" s="180"/>
      <c r="L142" s="180"/>
      <c r="M142" s="180"/>
      <c r="N142" s="180"/>
      <c r="O142" s="180"/>
      <c r="P142" s="180"/>
      <c r="Q142" s="180"/>
      <c r="R142" s="180"/>
      <c r="S142" s="180"/>
      <c r="T142" s="180"/>
      <c r="U142" s="180"/>
      <c r="V142" s="180"/>
      <c r="W142" s="38"/>
    </row>
    <row r="143" spans="1:23" ht="13.8" customHeight="1">
      <c r="A143" s="179" t="s">
        <v>219</v>
      </c>
      <c r="B143" s="179"/>
      <c r="C143" s="179"/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37"/>
    </row>
    <row r="144" spans="1:23">
      <c r="A144" s="101">
        <v>128</v>
      </c>
      <c r="B144" s="91" t="s">
        <v>220</v>
      </c>
      <c r="C144" s="75" t="s">
        <v>70</v>
      </c>
      <c r="D144" s="102">
        <f>488578.25*C271</f>
        <v>649398666.76999998</v>
      </c>
      <c r="E144" s="75">
        <f>3440.47*C271</f>
        <v>4572935.1052000001</v>
      </c>
      <c r="F144" s="75">
        <v>0</v>
      </c>
      <c r="G144" s="75">
        <f>908.51*C271</f>
        <v>1207555.1516</v>
      </c>
      <c r="H144" s="68">
        <f>(E144+F144)-G144</f>
        <v>3365379.9536000001</v>
      </c>
      <c r="I144" s="75">
        <v>644276035.75449598</v>
      </c>
      <c r="J144" s="70">
        <f t="shared" ref="J144:J164" si="59">(I144/$I$165)</f>
        <v>3.6763049435865669E-4</v>
      </c>
      <c r="K144" s="75">
        <f>555834.57*C271</f>
        <v>738793077.06120002</v>
      </c>
      <c r="L144" s="70">
        <f t="shared" ref="L144:L164" si="60">(K144/$K$165)</f>
        <v>4.2323148409415022E-4</v>
      </c>
      <c r="M144" s="70">
        <f t="shared" ref="M144:M165" si="61">((K144-I144)/I144)</f>
        <v>0.14670271135572727</v>
      </c>
      <c r="N144" s="72">
        <f t="shared" ref="N144" si="62">(G144/K144)</f>
        <v>1.6344971130529001E-3</v>
      </c>
      <c r="O144" s="73">
        <f t="shared" ref="O144" si="63">H144/K144</f>
        <v>4.5552402399152703E-3</v>
      </c>
      <c r="P144" s="74">
        <f t="shared" ref="P144" si="64">K144/V144</f>
        <v>1392.4490352114999</v>
      </c>
      <c r="Q144" s="74">
        <f t="shared" ref="Q144" si="65">H144/V144</f>
        <v>6.3429398772266099</v>
      </c>
      <c r="R144" s="75">
        <f>1.0476*C271</f>
        <v>1392.4280160000001</v>
      </c>
      <c r="S144" s="75">
        <f>1.0476*C271</f>
        <v>1392.4280160000001</v>
      </c>
      <c r="T144" s="75">
        <v>59</v>
      </c>
      <c r="U144" s="80">
        <v>468429</v>
      </c>
      <c r="V144" s="80">
        <v>530571</v>
      </c>
      <c r="W144" s="39"/>
    </row>
    <row r="145" spans="1:23">
      <c r="A145" s="101">
        <v>129</v>
      </c>
      <c r="B145" s="91" t="s">
        <v>221</v>
      </c>
      <c r="C145" s="75" t="s">
        <v>76</v>
      </c>
      <c r="D145" s="103">
        <f>876022.67*C271</f>
        <v>1164374292.0572</v>
      </c>
      <c r="E145" s="103">
        <f>6653.54*C271</f>
        <v>8843619.2263999991</v>
      </c>
      <c r="F145" s="75">
        <v>0</v>
      </c>
      <c r="G145" s="67">
        <f>2144.05*C271</f>
        <v>2849785.4980000001</v>
      </c>
      <c r="H145" s="68">
        <f>(E145+F145)-G145</f>
        <v>5993833.7284000004</v>
      </c>
      <c r="I145" s="75">
        <v>1393311953.4445438</v>
      </c>
      <c r="J145" s="70">
        <f t="shared" si="59"/>
        <v>7.9503804862273092E-4</v>
      </c>
      <c r="K145" s="67">
        <f>1034824.17*C271</f>
        <v>1375446893.7972</v>
      </c>
      <c r="L145" s="70">
        <f t="shared" si="60"/>
        <v>7.8795057537640596E-4</v>
      </c>
      <c r="M145" s="70">
        <f t="shared" ref="M145:M164" si="66">((K145-I145)/I145)</f>
        <v>-1.2822009890303387E-2</v>
      </c>
      <c r="N145" s="72">
        <f t="shared" ref="N145:N164" si="67">(G145/K145)</f>
        <v>2.0718978761387068E-3</v>
      </c>
      <c r="O145" s="73">
        <f t="shared" ref="O145:O164" si="68">H145/K145</f>
        <v>4.3577354788688401E-3</v>
      </c>
      <c r="P145" s="74">
        <f t="shared" ref="P145:P164" si="69">K145/V145</f>
        <v>159509.09124402181</v>
      </c>
      <c r="Q145" s="74">
        <f t="shared" ref="Q145:Q164" si="70">H145/V145</f>
        <v>695.09842611620093</v>
      </c>
      <c r="R145" s="75">
        <f>120.01*C271</f>
        <v>159512.49160000001</v>
      </c>
      <c r="S145" s="75">
        <f>120.01*C271</f>
        <v>159512.49160000001</v>
      </c>
      <c r="T145" s="75">
        <v>31</v>
      </c>
      <c r="U145" s="81">
        <v>8506</v>
      </c>
      <c r="V145" s="81">
        <v>8623</v>
      </c>
      <c r="W145" s="40"/>
    </row>
    <row r="146" spans="1:23">
      <c r="A146" s="101">
        <v>130</v>
      </c>
      <c r="B146" s="91" t="s">
        <v>222</v>
      </c>
      <c r="C146" s="75" t="s">
        <v>30</v>
      </c>
      <c r="D146" s="103">
        <f>11038592.65*C271</f>
        <v>14672055806.674</v>
      </c>
      <c r="E146" s="103">
        <f>101370.74*C271</f>
        <v>134737932.7784</v>
      </c>
      <c r="F146" s="75">
        <v>0</v>
      </c>
      <c r="G146" s="103">
        <f>22774.44*C271</f>
        <v>30270874.670400001</v>
      </c>
      <c r="H146" s="68">
        <f t="shared" ref="H146:H164" si="71">(E146+F146)-G146</f>
        <v>104467058.108</v>
      </c>
      <c r="I146" s="75">
        <v>26168612059.560417</v>
      </c>
      <c r="J146" s="70">
        <f t="shared" si="59"/>
        <v>1.4932077641022157E-2</v>
      </c>
      <c r="K146" s="67">
        <f>21719463.13*C271</f>
        <v>28868641613.8708</v>
      </c>
      <c r="L146" s="70">
        <f t="shared" si="60"/>
        <v>1.6537943320506454E-2</v>
      </c>
      <c r="M146" s="70">
        <f t="shared" si="66"/>
        <v>0.10317817193227703</v>
      </c>
      <c r="N146" s="72">
        <f t="shared" si="67"/>
        <v>1.0485728797109545E-3</v>
      </c>
      <c r="O146" s="73">
        <f t="shared" si="68"/>
        <v>3.6187036267686969E-3</v>
      </c>
      <c r="P146" s="74">
        <f t="shared" si="69"/>
        <v>180163.5278681583</v>
      </c>
      <c r="Q146" s="74">
        <f t="shared" si="70"/>
        <v>651.95841170794768</v>
      </c>
      <c r="R146" s="75">
        <f>134.8692*C271</f>
        <v>179262.745872</v>
      </c>
      <c r="S146" s="75">
        <f>136.2246*C271</f>
        <v>181064.28933599999</v>
      </c>
      <c r="T146" s="75">
        <v>715</v>
      </c>
      <c r="U146" s="81">
        <v>145412.5</v>
      </c>
      <c r="V146" s="81">
        <v>160235.76999999999</v>
      </c>
      <c r="W146" s="40"/>
    </row>
    <row r="147" spans="1:23">
      <c r="A147" s="101">
        <v>131</v>
      </c>
      <c r="B147" s="91" t="s">
        <v>223</v>
      </c>
      <c r="C147" s="91" t="s">
        <v>156</v>
      </c>
      <c r="D147" s="102">
        <f>464125.7*C271</f>
        <v>616897315.41199994</v>
      </c>
      <c r="E147" s="102">
        <f>3150.96*C271</f>
        <v>4188129.9936000002</v>
      </c>
      <c r="F147" s="75">
        <v>0</v>
      </c>
      <c r="G147" s="75">
        <f>837.15*C271</f>
        <v>1112706.294</v>
      </c>
      <c r="H147" s="68">
        <f t="shared" ref="H147" si="72">(E147+F147)-G147</f>
        <v>3075423.6995999999</v>
      </c>
      <c r="I147" s="75">
        <v>616928833.76867998</v>
      </c>
      <c r="J147" s="70">
        <f t="shared" si="59"/>
        <v>3.5202590125347008E-4</v>
      </c>
      <c r="K147" s="67">
        <f>464895.87*C271</f>
        <v>617920994.56920004</v>
      </c>
      <c r="L147" s="70">
        <f t="shared" si="60"/>
        <v>3.5398764241911248E-4</v>
      </c>
      <c r="M147" s="70">
        <f t="shared" si="66"/>
        <v>1.6082256918665554E-3</v>
      </c>
      <c r="N147" s="72">
        <f t="shared" si="67"/>
        <v>1.8007258270545615E-3</v>
      </c>
      <c r="O147" s="73">
        <f t="shared" si="68"/>
        <v>4.9770500219758883E-3</v>
      </c>
      <c r="P147" s="74">
        <f t="shared" si="69"/>
        <v>142739.8924853777</v>
      </c>
      <c r="Q147" s="74">
        <f t="shared" si="70"/>
        <v>710.42358503118498</v>
      </c>
      <c r="R147" s="75">
        <f>107.39*C271</f>
        <v>142738.49239999999</v>
      </c>
      <c r="S147" s="75">
        <f>107.39*C271</f>
        <v>142738.49239999999</v>
      </c>
      <c r="T147" s="75">
        <v>20</v>
      </c>
      <c r="U147" s="81">
        <v>4329</v>
      </c>
      <c r="V147" s="81">
        <v>4329</v>
      </c>
      <c r="W147" s="40"/>
    </row>
    <row r="148" spans="1:23" ht="14.1" customHeight="1">
      <c r="A148" s="101">
        <v>132</v>
      </c>
      <c r="B148" s="91" t="s">
        <v>224</v>
      </c>
      <c r="C148" s="91" t="s">
        <v>85</v>
      </c>
      <c r="D148" s="103">
        <f>14870235.14*C271</f>
        <v>19764921738.6824</v>
      </c>
      <c r="E148" s="103">
        <f>98768.93*C271</f>
        <v>131279710.99879999</v>
      </c>
      <c r="F148" s="75">
        <v>0</v>
      </c>
      <c r="G148" s="67">
        <f>24988.4*C271</f>
        <v>33213581.743999999</v>
      </c>
      <c r="H148" s="68">
        <f t="shared" si="71"/>
        <v>98066129.254800007</v>
      </c>
      <c r="I148" s="75">
        <v>19106540451.982117</v>
      </c>
      <c r="J148" s="70">
        <f t="shared" si="59"/>
        <v>1.0902387365098952E-2</v>
      </c>
      <c r="K148" s="67">
        <f>15140583.56*C271</f>
        <v>20124258044.6096</v>
      </c>
      <c r="L148" s="70">
        <f t="shared" si="60"/>
        <v>1.1528559028184037E-2</v>
      </c>
      <c r="M148" s="70">
        <f t="shared" si="66"/>
        <v>5.3265403812122622E-2</v>
      </c>
      <c r="N148" s="72">
        <f t="shared" si="67"/>
        <v>1.6504251570604587E-3</v>
      </c>
      <c r="O148" s="73">
        <f t="shared" si="68"/>
        <v>4.8730307988208085E-3</v>
      </c>
      <c r="P148" s="74">
        <f t="shared" si="69"/>
        <v>157128.69837680733</v>
      </c>
      <c r="Q148" s="74">
        <f t="shared" si="70"/>
        <v>765.69298656880744</v>
      </c>
      <c r="R148" s="75">
        <f>118.67*C271</f>
        <v>157731.4172</v>
      </c>
      <c r="S148" s="75">
        <f>118.67*C271</f>
        <v>157731.4172</v>
      </c>
      <c r="T148" s="75">
        <v>491</v>
      </c>
      <c r="U148" s="81">
        <v>122251</v>
      </c>
      <c r="V148" s="81">
        <v>128075</v>
      </c>
      <c r="W148" s="40"/>
    </row>
    <row r="149" spans="1:23" ht="14.1" customHeight="1">
      <c r="A149" s="101">
        <v>133</v>
      </c>
      <c r="B149" s="91" t="s">
        <v>225</v>
      </c>
      <c r="C149" s="91" t="s">
        <v>34</v>
      </c>
      <c r="D149" s="103">
        <v>358778215.13</v>
      </c>
      <c r="E149" s="67">
        <v>3678745</v>
      </c>
      <c r="F149" s="67">
        <v>-10690911.699999999</v>
      </c>
      <c r="G149" s="67">
        <v>964072.49</v>
      </c>
      <c r="H149" s="68">
        <f t="shared" si="71"/>
        <v>-7976239.1900000004</v>
      </c>
      <c r="I149" s="75">
        <v>412479699.30000001</v>
      </c>
      <c r="J149" s="70">
        <f t="shared" si="59"/>
        <v>2.353651344318387E-4</v>
      </c>
      <c r="K149" s="67">
        <v>362036754.82999998</v>
      </c>
      <c r="L149" s="70">
        <f t="shared" si="60"/>
        <v>2.0739955178361539E-4</v>
      </c>
      <c r="M149" s="70">
        <f t="shared" si="66"/>
        <v>-0.1222919444413977</v>
      </c>
      <c r="N149" s="72">
        <f t="shared" si="67"/>
        <v>2.6629133013102366E-3</v>
      </c>
      <c r="O149" s="73">
        <f t="shared" si="68"/>
        <v>-2.203157299248627E-2</v>
      </c>
      <c r="P149" s="74">
        <f t="shared" si="69"/>
        <v>1349.0367433221822</v>
      </c>
      <c r="Q149" s="74">
        <f t="shared" si="70"/>
        <v>-29.72140148004862</v>
      </c>
      <c r="R149" s="75">
        <v>1.0125</v>
      </c>
      <c r="S149" s="75">
        <v>1.0125</v>
      </c>
      <c r="T149" s="75">
        <v>14</v>
      </c>
      <c r="U149" s="81">
        <v>298979.84000000003</v>
      </c>
      <c r="V149" s="81">
        <v>268366.86</v>
      </c>
      <c r="W149" s="40"/>
    </row>
    <row r="150" spans="1:23" ht="15" customHeight="1">
      <c r="A150" s="101">
        <v>134</v>
      </c>
      <c r="B150" s="91" t="s">
        <v>226</v>
      </c>
      <c r="C150" s="75" t="s">
        <v>83</v>
      </c>
      <c r="D150" s="103">
        <f>12394592.34*C271</f>
        <v>16474396354.634399</v>
      </c>
      <c r="E150" s="103">
        <f>96010.06*C271</f>
        <v>127612731.3496</v>
      </c>
      <c r="F150" s="75">
        <v>0</v>
      </c>
      <c r="G150" s="67">
        <f>14865.25*C271</f>
        <v>19758295.690000001</v>
      </c>
      <c r="H150" s="68">
        <f t="shared" si="71"/>
        <v>107854435.6596</v>
      </c>
      <c r="I150" s="75">
        <v>16554311414.508995</v>
      </c>
      <c r="J150" s="70">
        <f t="shared" si="59"/>
        <v>9.4460593772606825E-3</v>
      </c>
      <c r="K150" s="67">
        <f>12426948.48*C271</f>
        <v>16517402841.6768</v>
      </c>
      <c r="L150" s="70">
        <f t="shared" si="60"/>
        <v>9.462304311068568E-3</v>
      </c>
      <c r="M150" s="70">
        <f t="shared" si="66"/>
        <v>-2.2295444315398607E-3</v>
      </c>
      <c r="N150" s="72">
        <f t="shared" si="67"/>
        <v>1.1962108013825129E-3</v>
      </c>
      <c r="O150" s="73">
        <f t="shared" si="68"/>
        <v>6.5297454262882729E-3</v>
      </c>
      <c r="P150" s="74">
        <f t="shared" si="69"/>
        <v>1868.2401548906937</v>
      </c>
      <c r="Q150" s="74">
        <f t="shared" si="70"/>
        <v>12.1991326066056</v>
      </c>
      <c r="R150" s="75">
        <f>1.41*C271</f>
        <v>1874.1156000000001</v>
      </c>
      <c r="S150" s="75">
        <f>1.41*C271</f>
        <v>1874.1156000000001</v>
      </c>
      <c r="T150" s="67">
        <v>414</v>
      </c>
      <c r="U150" s="81">
        <v>8860615.8000000007</v>
      </c>
      <c r="V150" s="81">
        <v>8841156.0999999996</v>
      </c>
      <c r="W150" s="40"/>
    </row>
    <row r="151" spans="1:23" ht="15" customHeight="1">
      <c r="A151" s="101">
        <v>135</v>
      </c>
      <c r="B151" s="91" t="s">
        <v>227</v>
      </c>
      <c r="C151" s="75" t="s">
        <v>83</v>
      </c>
      <c r="D151" s="103">
        <f>99854.38*C271</f>
        <v>132722447.7208</v>
      </c>
      <c r="E151" s="103">
        <f>569.59*C271</f>
        <v>757076.24439999997</v>
      </c>
      <c r="F151" s="75">
        <v>0</v>
      </c>
      <c r="G151" s="67">
        <f>68.41*C271</f>
        <v>90927.835600000006</v>
      </c>
      <c r="H151" s="68">
        <f t="shared" si="71"/>
        <v>666148.40879999998</v>
      </c>
      <c r="I151" s="75">
        <v>0</v>
      </c>
      <c r="J151" s="70">
        <f t="shared" si="59"/>
        <v>0</v>
      </c>
      <c r="K151" s="67">
        <f>101710.05*C271</f>
        <v>135188930.058</v>
      </c>
      <c r="L151" s="70">
        <f t="shared" si="60"/>
        <v>7.7445516583810574E-5</v>
      </c>
      <c r="M151" s="70" t="e">
        <f t="shared" si="66"/>
        <v>#DIV/0!</v>
      </c>
      <c r="N151" s="72">
        <f t="shared" si="67"/>
        <v>6.7259823390117301E-4</v>
      </c>
      <c r="O151" s="73">
        <f t="shared" si="68"/>
        <v>4.9275366593566714E-3</v>
      </c>
      <c r="P151" s="74">
        <f t="shared" si="69"/>
        <v>133845.12500297019</v>
      </c>
      <c r="Q151" s="74">
        <f t="shared" si="70"/>
        <v>659.52676012831171</v>
      </c>
      <c r="R151" s="75">
        <f>100.7*C271</f>
        <v>133846.41200000001</v>
      </c>
      <c r="S151" s="75">
        <f>100.7*C271</f>
        <v>133846.41200000001</v>
      </c>
      <c r="T151" s="67">
        <v>1</v>
      </c>
      <c r="U151" s="81">
        <v>1010.04</v>
      </c>
      <c r="V151" s="81">
        <v>1010.04</v>
      </c>
      <c r="W151" s="40"/>
    </row>
    <row r="152" spans="1:23" ht="15" customHeight="1">
      <c r="A152" s="187">
        <v>136</v>
      </c>
      <c r="B152" s="188" t="s">
        <v>228</v>
      </c>
      <c r="C152" s="75" t="s">
        <v>106</v>
      </c>
      <c r="D152" s="103">
        <f>187274.72*C271</f>
        <v>248918066.83520001</v>
      </c>
      <c r="E152" s="67">
        <f>1787.2*C271</f>
        <v>2375474.7520000003</v>
      </c>
      <c r="F152" s="75">
        <v>0</v>
      </c>
      <c r="G152" s="75">
        <f>294.91*C271</f>
        <v>391982.57560000004</v>
      </c>
      <c r="H152" s="68">
        <f t="shared" si="71"/>
        <v>1983492.1764000002</v>
      </c>
      <c r="I152" s="75">
        <v>256381068.30695999</v>
      </c>
      <c r="J152" s="70">
        <f t="shared" si="59"/>
        <v>1.4629365932493555E-4</v>
      </c>
      <c r="K152" s="67">
        <f>192329.62*C271</f>
        <v>255636837.71920002</v>
      </c>
      <c r="L152" s="70">
        <f t="shared" si="60"/>
        <v>1.4644636174368205E-4</v>
      </c>
      <c r="M152" s="70">
        <f t="shared" si="66"/>
        <v>-2.9028297318307414E-3</v>
      </c>
      <c r="N152" s="72">
        <f t="shared" si="67"/>
        <v>1.5333571604831332E-3</v>
      </c>
      <c r="O152" s="73">
        <f t="shared" si="68"/>
        <v>7.7590232851289373E-3</v>
      </c>
      <c r="P152" s="74">
        <f t="shared" si="69"/>
        <v>1426.9111363363363</v>
      </c>
      <c r="Q152" s="74">
        <f t="shared" si="70"/>
        <v>11.071436732643425</v>
      </c>
      <c r="R152" s="75">
        <f>1.08*C271</f>
        <v>1435.4928</v>
      </c>
      <c r="S152" s="75">
        <f>1.08*C271</f>
        <v>1435.4928</v>
      </c>
      <c r="T152" s="75">
        <v>10</v>
      </c>
      <c r="U152" s="81">
        <v>179154</v>
      </c>
      <c r="V152" s="81">
        <v>179154</v>
      </c>
      <c r="W152" s="40"/>
    </row>
    <row r="153" spans="1:23" ht="15" customHeight="1">
      <c r="A153" s="101">
        <v>137</v>
      </c>
      <c r="B153" s="75" t="s">
        <v>229</v>
      </c>
      <c r="C153" s="75" t="s">
        <v>44</v>
      </c>
      <c r="D153" s="103">
        <f>123763490.85*C271</f>
        <v>164501481498.186</v>
      </c>
      <c r="E153" s="103">
        <f>700051.63*C271</f>
        <v>930480624.53079998</v>
      </c>
      <c r="F153" s="75">
        <v>0</v>
      </c>
      <c r="G153" s="67">
        <f>99948.76*C271</f>
        <v>132847893.8416</v>
      </c>
      <c r="H153" s="68">
        <f t="shared" ref="H153" si="73">(E153+F153)-G153</f>
        <v>797632730.68920004</v>
      </c>
      <c r="I153" s="75">
        <v>156867855239.10239</v>
      </c>
      <c r="J153" s="70">
        <f t="shared" si="59"/>
        <v>8.9510402327782013E-2</v>
      </c>
      <c r="K153" s="67">
        <f>120649648.76*C271</f>
        <v>160362687145.84201</v>
      </c>
      <c r="L153" s="70">
        <f t="shared" si="60"/>
        <v>9.186677593682753E-2</v>
      </c>
      <c r="M153" s="70">
        <f t="shared" si="66"/>
        <v>2.2278827624771839E-2</v>
      </c>
      <c r="N153" s="72">
        <f t="shared" si="67"/>
        <v>8.2842147513268686E-4</v>
      </c>
      <c r="O153" s="73">
        <f t="shared" si="68"/>
        <v>4.9739296895405108E-3</v>
      </c>
      <c r="P153" s="74">
        <f t="shared" si="69"/>
        <v>132915.99973559973</v>
      </c>
      <c r="Q153" s="74">
        <f t="shared" si="70"/>
        <v>661.11483729985821</v>
      </c>
      <c r="R153" s="75">
        <f>100*C271</f>
        <v>132916</v>
      </c>
      <c r="S153" s="75">
        <f>100*C271</f>
        <v>132916</v>
      </c>
      <c r="T153" s="75">
        <v>4694</v>
      </c>
      <c r="U153" s="81">
        <v>1176856.44</v>
      </c>
      <c r="V153" s="81">
        <v>1206496.49</v>
      </c>
      <c r="W153" s="40"/>
    </row>
    <row r="154" spans="1:23" ht="15" customHeight="1">
      <c r="A154" s="101">
        <v>138</v>
      </c>
      <c r="B154" s="91" t="s">
        <v>230</v>
      </c>
      <c r="C154" s="91" t="s">
        <v>231</v>
      </c>
      <c r="D154" s="103">
        <f>1196149.25*C271</f>
        <v>1589873737.1300001</v>
      </c>
      <c r="E154" s="103">
        <f>7725.19*C271</f>
        <v>10268013.5404</v>
      </c>
      <c r="F154" s="75">
        <v>0</v>
      </c>
      <c r="G154" s="67">
        <f>2022.11*C271</f>
        <v>2687707.7275999999</v>
      </c>
      <c r="H154" s="68">
        <f t="shared" si="71"/>
        <v>7580305.8128000004</v>
      </c>
      <c r="I154" s="75">
        <v>1588277696.3875437</v>
      </c>
      <c r="J154" s="70">
        <f t="shared" si="59"/>
        <v>9.0628749526278887E-4</v>
      </c>
      <c r="K154" s="67">
        <f>1183783.09*C271</f>
        <v>1573437131.9044001</v>
      </c>
      <c r="L154" s="70">
        <f t="shared" si="60"/>
        <v>9.0137300029082218E-4</v>
      </c>
      <c r="M154" s="70">
        <f t="shared" si="66"/>
        <v>-9.3438096605509679E-3</v>
      </c>
      <c r="N154" s="72">
        <f t="shared" si="67"/>
        <v>1.7081761152712527E-3</v>
      </c>
      <c r="O154" s="73">
        <f t="shared" si="68"/>
        <v>4.8176731431431412E-3</v>
      </c>
      <c r="P154" s="74">
        <f t="shared" si="69"/>
        <v>1543.3590699969507</v>
      </c>
      <c r="Q154" s="74">
        <f t="shared" si="70"/>
        <v>7.4353995417506846</v>
      </c>
      <c r="R154" s="75">
        <f>1.16*C271</f>
        <v>1541.8255999999999</v>
      </c>
      <c r="S154" s="75">
        <f>1.16*C271</f>
        <v>1541.8255999999999</v>
      </c>
      <c r="T154" s="75">
        <v>73</v>
      </c>
      <c r="U154" s="81">
        <v>1031577.45</v>
      </c>
      <c r="V154" s="81">
        <v>1019488.7</v>
      </c>
      <c r="W154" s="40"/>
    </row>
    <row r="155" spans="1:23" ht="15" customHeight="1">
      <c r="A155" s="101">
        <v>139</v>
      </c>
      <c r="B155" s="91" t="s">
        <v>232</v>
      </c>
      <c r="C155" s="91" t="s">
        <v>48</v>
      </c>
      <c r="D155" s="103">
        <f>6074779.72*C271</f>
        <v>8074354212.6351995</v>
      </c>
      <c r="E155" s="103">
        <f>33879.57*C271</f>
        <v>45031369.261200003</v>
      </c>
      <c r="F155" s="75">
        <v>0</v>
      </c>
      <c r="G155" s="67">
        <f>9376.12*C271</f>
        <v>12462363.6592</v>
      </c>
      <c r="H155" s="68">
        <f t="shared" si="71"/>
        <v>32569005.602000006</v>
      </c>
      <c r="I155" s="75">
        <v>8301773015.616024</v>
      </c>
      <c r="J155" s="70">
        <f t="shared" si="59"/>
        <v>4.7370765765176563E-3</v>
      </c>
      <c r="K155" s="67">
        <f>6017628.68*C271</f>
        <v>7998391336.3087997</v>
      </c>
      <c r="L155" s="70">
        <f t="shared" si="60"/>
        <v>4.5820286366210043E-3</v>
      </c>
      <c r="M155" s="70">
        <f t="shared" si="66"/>
        <v>-3.6544203116195675E-2</v>
      </c>
      <c r="N155" s="72">
        <f t="shared" si="67"/>
        <v>1.5581087665249562E-3</v>
      </c>
      <c r="O155" s="73">
        <f t="shared" si="68"/>
        <v>4.0719444989084979E-3</v>
      </c>
      <c r="P155" s="74">
        <f t="shared" si="69"/>
        <v>14075.222340076878</v>
      </c>
      <c r="Q155" s="74">
        <f t="shared" si="70"/>
        <v>57.313524178590036</v>
      </c>
      <c r="R155" s="75">
        <f>10.7*C271</f>
        <v>14222.012000000001</v>
      </c>
      <c r="S155" s="75">
        <f>10.7*C271</f>
        <v>14222.012000000001</v>
      </c>
      <c r="T155" s="75">
        <v>168</v>
      </c>
      <c r="U155" s="81">
        <v>575205.63</v>
      </c>
      <c r="V155" s="81">
        <v>568260.39</v>
      </c>
      <c r="W155" s="40"/>
    </row>
    <row r="156" spans="1:23">
      <c r="A156" s="101">
        <v>140</v>
      </c>
      <c r="B156" s="75" t="s">
        <v>233</v>
      </c>
      <c r="C156" s="75" t="s">
        <v>52</v>
      </c>
      <c r="D156" s="103">
        <f>28366324.67*C271</f>
        <v>37703384098.377197</v>
      </c>
      <c r="E156" s="67">
        <f>278675.9*1332.9396</f>
        <v>371458142.67563999</v>
      </c>
      <c r="F156" s="67">
        <f>(545130.85)*C271</f>
        <v>724566120.58599997</v>
      </c>
      <c r="G156" s="67">
        <f>45411.61*C271</f>
        <v>60359295.547600001</v>
      </c>
      <c r="H156" s="68">
        <f t="shared" si="71"/>
        <v>1035664967.71404</v>
      </c>
      <c r="I156" s="75">
        <v>39308999663.559891</v>
      </c>
      <c r="J156" s="70">
        <f t="shared" si="59"/>
        <v>2.2430117181272091E-2</v>
      </c>
      <c r="K156" s="67">
        <f>28262853.29*C271</f>
        <v>37565854078.936401</v>
      </c>
      <c r="L156" s="70">
        <f t="shared" si="60"/>
        <v>2.1520304760212983E-2</v>
      </c>
      <c r="M156" s="70">
        <f t="shared" si="66"/>
        <v>-4.4344694587570871E-2</v>
      </c>
      <c r="N156" s="72">
        <f t="shared" si="67"/>
        <v>1.6067595700278285E-3</v>
      </c>
      <c r="O156" s="73">
        <f t="shared" si="68"/>
        <v>2.7569317751642685E-2</v>
      </c>
      <c r="P156" s="74">
        <f t="shared" si="69"/>
        <v>1435.2833210816989</v>
      </c>
      <c r="Q156" s="74">
        <f t="shared" si="70"/>
        <v>39.569781942534341</v>
      </c>
      <c r="R156" s="75">
        <f>1.08*C271</f>
        <v>1435.4928</v>
      </c>
      <c r="S156" s="75">
        <f>1.09*C271</f>
        <v>1448.7844</v>
      </c>
      <c r="T156" s="75">
        <v>607</v>
      </c>
      <c r="U156" s="81">
        <v>27013354</v>
      </c>
      <c r="V156" s="81">
        <v>26173128</v>
      </c>
      <c r="W156" s="40"/>
    </row>
    <row r="157" spans="1:23">
      <c r="A157" s="101">
        <v>141</v>
      </c>
      <c r="B157" s="91" t="s">
        <v>234</v>
      </c>
      <c r="C157" s="75" t="s">
        <v>119</v>
      </c>
      <c r="D157" s="103">
        <f>319729.87*C271</f>
        <v>424972154.00919998</v>
      </c>
      <c r="E157" s="75">
        <f>194.84*C271</f>
        <v>258973.5344</v>
      </c>
      <c r="F157" s="75">
        <v>0</v>
      </c>
      <c r="G157" s="75">
        <f>108.74*C271</f>
        <v>144532.8584</v>
      </c>
      <c r="H157" s="68">
        <f t="shared" si="71"/>
        <v>114440.67600000001</v>
      </c>
      <c r="I157" s="75">
        <v>413243999.66717994</v>
      </c>
      <c r="J157" s="70">
        <f t="shared" si="59"/>
        <v>2.3580125203707575E-4</v>
      </c>
      <c r="K157" s="67">
        <f>307161.48*C271</f>
        <v>408266752.7568</v>
      </c>
      <c r="L157" s="70">
        <f t="shared" si="60"/>
        <v>2.3388327400534955E-4</v>
      </c>
      <c r="M157" s="70">
        <f t="shared" si="66"/>
        <v>-1.2044329535065339E-2</v>
      </c>
      <c r="N157" s="72">
        <f t="shared" si="67"/>
        <v>3.540157444221196E-4</v>
      </c>
      <c r="O157" s="73">
        <f t="shared" si="68"/>
        <v>2.8030858556873733E-4</v>
      </c>
      <c r="P157" s="74">
        <f t="shared" si="69"/>
        <v>1701.0051569976877</v>
      </c>
      <c r="Q157" s="74">
        <f t="shared" si="70"/>
        <v>0.47680634960314983</v>
      </c>
      <c r="R157" s="75">
        <f>1.35*C271</f>
        <v>1794.366</v>
      </c>
      <c r="S157" s="75">
        <f>1.35*C271</f>
        <v>1794.366</v>
      </c>
      <c r="T157" s="75">
        <v>2</v>
      </c>
      <c r="U157" s="81">
        <v>240015</v>
      </c>
      <c r="V157" s="81">
        <v>240015</v>
      </c>
      <c r="W157" s="40"/>
    </row>
    <row r="158" spans="1:23">
      <c r="A158" s="101">
        <v>142</v>
      </c>
      <c r="B158" s="91" t="s">
        <v>235</v>
      </c>
      <c r="C158" s="75" t="s">
        <v>124</v>
      </c>
      <c r="D158" s="103">
        <f>495142.84*C271</f>
        <v>658124057.21440005</v>
      </c>
      <c r="E158" s="75">
        <f>11602.1911*C271</f>
        <v>15421168.322476</v>
      </c>
      <c r="F158" s="75">
        <v>0</v>
      </c>
      <c r="G158" s="67">
        <f>1019.43*C271</f>
        <v>1354985.5788</v>
      </c>
      <c r="H158" s="68">
        <f t="shared" si="71"/>
        <v>14066182.743675999</v>
      </c>
      <c r="I158" s="75">
        <v>689390056.31569195</v>
      </c>
      <c r="J158" s="70">
        <f t="shared" si="59"/>
        <v>3.9337301582617715E-4</v>
      </c>
      <c r="K158" s="67">
        <f>531565.01*C271</f>
        <v>706534948.69159997</v>
      </c>
      <c r="L158" s="70">
        <f t="shared" si="60"/>
        <v>4.0475180965232475E-4</v>
      </c>
      <c r="M158" s="70">
        <f t="shared" si="66"/>
        <v>2.4869654296343472E-2</v>
      </c>
      <c r="N158" s="72">
        <f t="shared" si="67"/>
        <v>1.9177898861326484E-3</v>
      </c>
      <c r="O158" s="73">
        <f t="shared" si="68"/>
        <v>1.9908686427648804E-2</v>
      </c>
      <c r="P158" s="74">
        <f t="shared" si="69"/>
        <v>1419.3488885055315</v>
      </c>
      <c r="Q158" s="74">
        <f t="shared" si="70"/>
        <v>28.257371952688491</v>
      </c>
      <c r="R158" s="75">
        <f>1.0679*C271</f>
        <v>1419.4099639999999</v>
      </c>
      <c r="S158" s="75">
        <f>1.0679*C271</f>
        <v>1419.4099639999999</v>
      </c>
      <c r="T158" s="75">
        <v>19</v>
      </c>
      <c r="U158" s="81">
        <v>472969.63</v>
      </c>
      <c r="V158" s="81">
        <v>497788.07339999999</v>
      </c>
      <c r="W158" s="40"/>
    </row>
    <row r="159" spans="1:23">
      <c r="A159" s="101">
        <v>143</v>
      </c>
      <c r="B159" s="91" t="s">
        <v>236</v>
      </c>
      <c r="C159" s="91" t="s">
        <v>56</v>
      </c>
      <c r="D159" s="103">
        <f>593069471.09*C271</f>
        <v>788284218193.98401</v>
      </c>
      <c r="E159" s="67">
        <f>2864122.73*C271</f>
        <v>3806877367.8067999</v>
      </c>
      <c r="F159" s="75">
        <v>0</v>
      </c>
      <c r="G159" s="67">
        <f>925379.14*C271</f>
        <v>1229976937.7224</v>
      </c>
      <c r="H159" s="68">
        <f t="shared" si="71"/>
        <v>2576900430.0844002</v>
      </c>
      <c r="I159" s="75">
        <v>796122842707.13257</v>
      </c>
      <c r="J159" s="70">
        <f t="shared" si="59"/>
        <v>0.45427583518901637</v>
      </c>
      <c r="K159" s="67">
        <f>593736955.65*C271</f>
        <v>789171411971.75403</v>
      </c>
      <c r="L159" s="70">
        <f t="shared" si="60"/>
        <v>0.45209165903677445</v>
      </c>
      <c r="M159" s="70">
        <f t="shared" si="66"/>
        <v>-8.7316056800241099E-3</v>
      </c>
      <c r="N159" s="72">
        <f t="shared" si="67"/>
        <v>1.5585675292637479E-3</v>
      </c>
      <c r="O159" s="73">
        <f t="shared" si="68"/>
        <v>3.2653240994196487E-3</v>
      </c>
      <c r="P159" s="74">
        <f t="shared" si="69"/>
        <v>2286.812554437266</v>
      </c>
      <c r="Q159" s="74">
        <f t="shared" si="70"/>
        <v>7.4671841448594121</v>
      </c>
      <c r="R159" s="75">
        <f>1.7205*C271</f>
        <v>2286.8197799999998</v>
      </c>
      <c r="S159" s="75">
        <f>1.7205*C271</f>
        <v>2286.8197799999998</v>
      </c>
      <c r="T159" s="67">
        <v>14112</v>
      </c>
      <c r="U159" s="81">
        <v>348284654.98000002</v>
      </c>
      <c r="V159" s="81">
        <v>345096676.35000002</v>
      </c>
      <c r="W159" s="40"/>
    </row>
    <row r="160" spans="1:23">
      <c r="A160" s="101">
        <v>144</v>
      </c>
      <c r="B160" s="91" t="s">
        <v>237</v>
      </c>
      <c r="C160" s="91" t="s">
        <v>135</v>
      </c>
      <c r="D160" s="102">
        <v>735251556.82000005</v>
      </c>
      <c r="E160" s="75">
        <v>15022751.15</v>
      </c>
      <c r="F160" s="75">
        <v>16284197.09</v>
      </c>
      <c r="G160" s="75">
        <v>12970634.439999999</v>
      </c>
      <c r="H160" s="68">
        <f t="shared" si="71"/>
        <v>18336313.800000001</v>
      </c>
      <c r="I160" s="75">
        <v>665903683.22000003</v>
      </c>
      <c r="J160" s="70">
        <f t="shared" si="59"/>
        <v>3.7997145116647402E-4</v>
      </c>
      <c r="K160" s="75">
        <v>893284144.39999998</v>
      </c>
      <c r="L160" s="70">
        <f t="shared" si="60"/>
        <v>5.1173459239232564E-4</v>
      </c>
      <c r="M160" s="70">
        <f t="shared" si="66"/>
        <v>0.34146148596219494</v>
      </c>
      <c r="N160" s="72">
        <f t="shared" si="67"/>
        <v>1.4520166423318864E-2</v>
      </c>
      <c r="O160" s="73">
        <f t="shared" si="68"/>
        <v>2.0526854657558165E-2</v>
      </c>
      <c r="P160" s="74">
        <f t="shared" si="69"/>
        <v>161063.82705119767</v>
      </c>
      <c r="Q160" s="74">
        <f t="shared" si="70"/>
        <v>3306.1337684700202</v>
      </c>
      <c r="R160" s="75">
        <v>161063.75</v>
      </c>
      <c r="S160" s="75">
        <v>161063.75</v>
      </c>
      <c r="T160" s="75">
        <v>4</v>
      </c>
      <c r="U160" s="80">
        <v>4168.1899999999996</v>
      </c>
      <c r="V160" s="80">
        <v>5546.15</v>
      </c>
      <c r="W160" s="39"/>
    </row>
    <row r="161" spans="1:23">
      <c r="A161" s="101">
        <v>145</v>
      </c>
      <c r="B161" s="91" t="s">
        <v>238</v>
      </c>
      <c r="C161" s="91" t="s">
        <v>59</v>
      </c>
      <c r="D161" s="102">
        <f>71202201.01*C271</f>
        <v>94639117494.451599</v>
      </c>
      <c r="E161" s="75">
        <f>2027532.04*C271</f>
        <v>2694914486.2863998</v>
      </c>
      <c r="F161" s="75">
        <v>0</v>
      </c>
      <c r="G161" s="75">
        <f>-238949.3*C271</f>
        <v>-317601851.588</v>
      </c>
      <c r="H161" s="68">
        <f t="shared" si="71"/>
        <v>3012516337.8743997</v>
      </c>
      <c r="I161" s="75">
        <v>171227434816.03143</v>
      </c>
      <c r="J161" s="70">
        <f t="shared" si="59"/>
        <v>9.7704125275224513E-2</v>
      </c>
      <c r="K161" s="75">
        <f>126944519.97*C271</f>
        <v>168729578163.32501</v>
      </c>
      <c r="L161" s="70">
        <f t="shared" si="60"/>
        <v>9.6659906533921647E-2</v>
      </c>
      <c r="M161" s="70">
        <f t="shared" si="66"/>
        <v>-1.4587946466581974E-2</v>
      </c>
      <c r="N161" s="72">
        <f t="shared" si="67"/>
        <v>-1.8823128407312868E-3</v>
      </c>
      <c r="O161" s="73">
        <f t="shared" si="68"/>
        <v>1.7854109342692583E-2</v>
      </c>
      <c r="P161" s="74">
        <f t="shared" si="69"/>
        <v>1638.7398495880175</v>
      </c>
      <c r="Q161" s="74">
        <f t="shared" si="70"/>
        <v>29.258240458772061</v>
      </c>
      <c r="R161" s="75">
        <f>1.23*C271</f>
        <v>1634.8668</v>
      </c>
      <c r="S161" s="75">
        <f>1.23*C271</f>
        <v>1634.8668</v>
      </c>
      <c r="T161" s="75">
        <v>455</v>
      </c>
      <c r="U161" s="80">
        <v>105619744.95999999</v>
      </c>
      <c r="V161" s="80">
        <v>102963004.29000001</v>
      </c>
      <c r="W161" s="39"/>
    </row>
    <row r="162" spans="1:23">
      <c r="A162" s="101">
        <v>146</v>
      </c>
      <c r="B162" s="91" t="s">
        <v>239</v>
      </c>
      <c r="C162" s="75" t="s">
        <v>128</v>
      </c>
      <c r="D162" s="102">
        <f>1313076.116*C271</f>
        <v>1745288250.3425601</v>
      </c>
      <c r="E162" s="75">
        <f>-16157.5329*C271</f>
        <v>-21475946.429364</v>
      </c>
      <c r="F162" s="75">
        <v>0</v>
      </c>
      <c r="G162" s="75">
        <f>2119.6918*C271</f>
        <v>2817409.5528879999</v>
      </c>
      <c r="H162" s="68">
        <f t="shared" ref="H162:H163" si="74">(E162+F162)-G162</f>
        <v>-24293355.982251998</v>
      </c>
      <c r="I162" s="75">
        <v>1815406955.9718585</v>
      </c>
      <c r="J162" s="70">
        <f t="shared" si="59"/>
        <v>1.0358897734020229E-3</v>
      </c>
      <c r="K162" s="75">
        <f>1353639.8633*C271</f>
        <v>1799203960.70383</v>
      </c>
      <c r="L162" s="70">
        <f t="shared" si="60"/>
        <v>1.0307077666534168E-3</v>
      </c>
      <c r="M162" s="70">
        <f t="shared" si="66"/>
        <v>-8.9252689126964376E-3</v>
      </c>
      <c r="N162" s="72">
        <f t="shared" si="67"/>
        <v>1.5659200482116872E-3</v>
      </c>
      <c r="O162" s="73">
        <f t="shared" si="68"/>
        <v>-1.3502280182147159E-2</v>
      </c>
      <c r="P162" s="74">
        <f t="shared" si="69"/>
        <v>153764.17819352404</v>
      </c>
      <c r="Q162" s="74">
        <f t="shared" si="70"/>
        <v>-2076.1670159465639</v>
      </c>
      <c r="R162" s="75">
        <f>116.37*C271</f>
        <v>154674.3492</v>
      </c>
      <c r="S162" s="75">
        <f>116.37*C271</f>
        <v>154674.3492</v>
      </c>
      <c r="T162" s="75">
        <v>24</v>
      </c>
      <c r="U162" s="80">
        <v>11725.6740902895</v>
      </c>
      <c r="V162" s="80">
        <v>11701.060558067</v>
      </c>
      <c r="W162" s="39"/>
    </row>
    <row r="163" spans="1:23">
      <c r="A163" s="101">
        <v>147</v>
      </c>
      <c r="B163" s="91" t="s">
        <v>240</v>
      </c>
      <c r="C163" s="91" t="s">
        <v>142</v>
      </c>
      <c r="D163" s="102">
        <f>3926235.96*C271</f>
        <v>5218595788.5936003</v>
      </c>
      <c r="E163" s="75">
        <f>24246.93*C271</f>
        <v>32228049.478799999</v>
      </c>
      <c r="F163" s="75">
        <f>(63587.1)*C271</f>
        <v>84517429.835999995</v>
      </c>
      <c r="G163" s="75">
        <f>6917.87*C271</f>
        <v>9194956.0891999993</v>
      </c>
      <c r="H163" s="68">
        <f t="shared" si="74"/>
        <v>107550523.2256</v>
      </c>
      <c r="I163" s="75">
        <v>5470749757.061676</v>
      </c>
      <c r="J163" s="70">
        <f t="shared" si="59"/>
        <v>3.1216657551848886E-3</v>
      </c>
      <c r="K163" s="67">
        <f>3933784.78*C271</f>
        <v>5228629378.1848001</v>
      </c>
      <c r="L163" s="70">
        <f t="shared" si="60"/>
        <v>2.995318500154426E-3</v>
      </c>
      <c r="M163" s="70">
        <f t="shared" si="66"/>
        <v>-4.4257257163763608E-2</v>
      </c>
      <c r="N163" s="72">
        <f t="shared" si="67"/>
        <v>1.7585786683530762E-3</v>
      </c>
      <c r="O163" s="73">
        <f t="shared" si="68"/>
        <v>2.0569544224023358E-2</v>
      </c>
      <c r="P163" s="74">
        <f t="shared" si="69"/>
        <v>1553.0032671293598</v>
      </c>
      <c r="Q163" s="74">
        <f t="shared" si="70"/>
        <v>31.944569383270128</v>
      </c>
      <c r="R163" s="75">
        <f>1.17*C271</f>
        <v>1555.1171999999999</v>
      </c>
      <c r="S163" s="75">
        <f>1.17*C271</f>
        <v>1555.1171999999999</v>
      </c>
      <c r="T163" s="75">
        <v>58</v>
      </c>
      <c r="U163" s="81">
        <v>3437578.56</v>
      </c>
      <c r="V163" s="81">
        <v>3366785.82</v>
      </c>
      <c r="W163" s="40"/>
    </row>
    <row r="164" spans="1:23">
      <c r="A164" s="101">
        <v>148</v>
      </c>
      <c r="B164" s="91" t="s">
        <v>241</v>
      </c>
      <c r="C164" s="75" t="s">
        <v>61</v>
      </c>
      <c r="D164" s="102">
        <f>1233281.92*C271</f>
        <v>1639228996.7872</v>
      </c>
      <c r="E164" s="67">
        <f>13409.98*C271</f>
        <v>17824009.016800001</v>
      </c>
      <c r="F164" s="75">
        <v>0</v>
      </c>
      <c r="G164" s="67">
        <f>3401.27*C271</f>
        <v>4520832.0332000004</v>
      </c>
      <c r="H164" s="68">
        <f t="shared" si="71"/>
        <v>13303176.9836</v>
      </c>
      <c r="I164" s="75">
        <v>2404442518.3899717</v>
      </c>
      <c r="J164" s="70">
        <f t="shared" si="59"/>
        <v>1.3719994887866824E-3</v>
      </c>
      <c r="K164" s="75">
        <f>1788350.43*C271</f>
        <v>2377003857.5387998</v>
      </c>
      <c r="L164" s="70">
        <f t="shared" si="60"/>
        <v>1.3617112850129341E-3</v>
      </c>
      <c r="M164" s="70">
        <f t="shared" si="66"/>
        <v>-1.1411651824201251E-2</v>
      </c>
      <c r="N164" s="72">
        <f t="shared" si="67"/>
        <v>1.9019035324077959E-3</v>
      </c>
      <c r="O164" s="73">
        <f t="shared" si="68"/>
        <v>5.5966156476390371E-3</v>
      </c>
      <c r="P164" s="74">
        <f t="shared" si="69"/>
        <v>2090.2934400866238</v>
      </c>
      <c r="Q164" s="74">
        <f t="shared" si="70"/>
        <v>11.698568974946031</v>
      </c>
      <c r="R164" s="75">
        <f>1.5726*C271</f>
        <v>2090.237016</v>
      </c>
      <c r="S164" s="75">
        <f>1.5726*C271</f>
        <v>2090.237016</v>
      </c>
      <c r="T164" s="75">
        <v>11</v>
      </c>
      <c r="U164" s="81">
        <v>1163131.69</v>
      </c>
      <c r="V164" s="81">
        <v>1137162.76</v>
      </c>
      <c r="W164" s="40"/>
    </row>
    <row r="165" spans="1:23" ht="15" customHeight="1">
      <c r="A165" s="175" t="s">
        <v>64</v>
      </c>
      <c r="B165" s="175"/>
      <c r="C165" s="175"/>
      <c r="D165" s="175"/>
      <c r="E165" s="175"/>
      <c r="F165" s="175"/>
      <c r="G165" s="175"/>
      <c r="H165" s="175"/>
      <c r="I165" s="85">
        <f>SUM(I124:I164)</f>
        <v>1752509777183.8987</v>
      </c>
      <c r="J165" s="83">
        <f>(I165/$I$269)</f>
        <v>0.18248271055759369</v>
      </c>
      <c r="K165" s="85">
        <f>SUM(K124:K164)</f>
        <v>1745600468836.6978</v>
      </c>
      <c r="L165" s="83">
        <f>(K165/$K$269)</f>
        <v>0.17843096626773816</v>
      </c>
      <c r="M165" s="83">
        <f t="shared" si="61"/>
        <v>-3.9425219973970521E-3</v>
      </c>
      <c r="N165" s="72"/>
      <c r="O165" s="72"/>
      <c r="P165" s="84"/>
      <c r="Q165" s="84"/>
      <c r="R165" s="85"/>
      <c r="S165" s="85"/>
      <c r="T165" s="104">
        <f>SUM(T124:T164)</f>
        <v>32114</v>
      </c>
      <c r="U165" s="104"/>
      <c r="V165" s="85"/>
      <c r="W165" s="32"/>
    </row>
    <row r="166" spans="1:23" ht="4.2" customHeight="1">
      <c r="A166" s="181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41"/>
    </row>
    <row r="167" spans="1:23">
      <c r="A167" s="174" t="s">
        <v>242</v>
      </c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24"/>
    </row>
    <row r="168" spans="1:23">
      <c r="A168" s="101">
        <v>149</v>
      </c>
      <c r="B168" s="105" t="s">
        <v>243</v>
      </c>
      <c r="C168" s="105" t="s">
        <v>322</v>
      </c>
      <c r="D168" s="106">
        <v>2834481504.0100002</v>
      </c>
      <c r="E168" s="106">
        <v>48718957.979999997</v>
      </c>
      <c r="F168" s="107">
        <v>0</v>
      </c>
      <c r="G168" s="106">
        <v>4307555.62</v>
      </c>
      <c r="H168" s="68">
        <f t="shared" ref="H168:H173" si="75">(E168+F168)-G168</f>
        <v>44411402.359999999</v>
      </c>
      <c r="I168" s="108">
        <v>2724426696.8600001</v>
      </c>
      <c r="J168" s="70">
        <f>(I168/$I$174)</f>
        <v>5.2150306529360367E-3</v>
      </c>
      <c r="K168" s="108">
        <v>2781430715.6300001</v>
      </c>
      <c r="L168" s="70">
        <f>(K168/$K$174)</f>
        <v>5.3141383826477004E-3</v>
      </c>
      <c r="M168" s="70">
        <f t="shared" ref="M168:M174" si="76">((K168-I168)/I168)</f>
        <v>2.092330795161388E-2</v>
      </c>
      <c r="N168" s="72">
        <f>(G168/K168)</f>
        <v>1.5486834152632599E-3</v>
      </c>
      <c r="O168" s="73">
        <f>H168/K168</f>
        <v>1.5967107183520401E-2</v>
      </c>
      <c r="P168" s="74">
        <f>K168/V168</f>
        <v>131.07590554335499</v>
      </c>
      <c r="Q168" s="74">
        <f>H168/V168</f>
        <v>2.09290303298775</v>
      </c>
      <c r="R168" s="107">
        <v>131.08000000000001</v>
      </c>
      <c r="S168" s="107">
        <v>131.08000000000001</v>
      </c>
      <c r="T168" s="107">
        <v>8</v>
      </c>
      <c r="U168" s="106">
        <v>21220000</v>
      </c>
      <c r="V168" s="107">
        <v>21220000</v>
      </c>
      <c r="W168" s="42"/>
    </row>
    <row r="169" spans="1:23">
      <c r="A169" s="101">
        <v>150</v>
      </c>
      <c r="B169" s="105" t="s">
        <v>244</v>
      </c>
      <c r="C169" s="105" t="s">
        <v>28</v>
      </c>
      <c r="D169" s="106">
        <v>16845295533</v>
      </c>
      <c r="E169" s="106">
        <v>2427136804</v>
      </c>
      <c r="F169" s="107">
        <v>0</v>
      </c>
      <c r="G169" s="106">
        <v>492900496</v>
      </c>
      <c r="H169" s="68">
        <f t="shared" si="75"/>
        <v>1934236308</v>
      </c>
      <c r="I169" s="108">
        <v>258096589313</v>
      </c>
      <c r="J169" s="70">
        <f t="shared" ref="J169:J173" si="77">(I169/$I$174)</f>
        <v>0.49404215067956531</v>
      </c>
      <c r="K169" s="108">
        <v>260029929789</v>
      </c>
      <c r="L169" s="70">
        <f t="shared" ref="L169:L173" si="78">(K169/$K$174)</f>
        <v>0.49680728078675929</v>
      </c>
      <c r="M169" s="70">
        <f t="shared" ref="M169:M173" si="79">((K169-I169)/I169)</f>
        <v>7.4907633655530064E-3</v>
      </c>
      <c r="N169" s="72">
        <f t="shared" ref="N169:N173" si="80">(G169/K169)</f>
        <v>1.8955529326949467E-3</v>
      </c>
      <c r="O169" s="73">
        <f t="shared" ref="O169:O173" si="81">H169/K169</f>
        <v>7.4385141340057529E-3</v>
      </c>
      <c r="P169" s="74">
        <f t="shared" ref="P169:P173" si="82">K169/V169</f>
        <v>104.0119719156</v>
      </c>
      <c r="Q169" s="74">
        <f t="shared" ref="Q169:Q173" si="83">H169/V169</f>
        <v>0.77369452319999998</v>
      </c>
      <c r="R169" s="107">
        <v>104.012</v>
      </c>
      <c r="S169" s="107">
        <v>104.012</v>
      </c>
      <c r="T169" s="107">
        <v>45</v>
      </c>
      <c r="U169" s="106">
        <v>2500000000</v>
      </c>
      <c r="V169" s="107">
        <v>2500000000</v>
      </c>
      <c r="W169" s="42"/>
    </row>
    <row r="170" spans="1:23">
      <c r="A170" s="101">
        <v>151</v>
      </c>
      <c r="B170" s="91" t="s">
        <v>245</v>
      </c>
      <c r="C170" s="91" t="s">
        <v>52</v>
      </c>
      <c r="D170" s="106">
        <v>194408853956</v>
      </c>
      <c r="E170" s="106">
        <v>852100403</v>
      </c>
      <c r="F170" s="107">
        <v>0</v>
      </c>
      <c r="G170" s="106">
        <v>603647699</v>
      </c>
      <c r="H170" s="68">
        <f t="shared" si="75"/>
        <v>248452704</v>
      </c>
      <c r="I170" s="108">
        <v>190925366980</v>
      </c>
      <c r="J170" s="70">
        <f t="shared" si="77"/>
        <v>0.36546464706549853</v>
      </c>
      <c r="K170" s="108">
        <v>190467608877</v>
      </c>
      <c r="L170" s="70">
        <f t="shared" si="78"/>
        <v>0.36390308962095991</v>
      </c>
      <c r="M170" s="70">
        <f t="shared" si="79"/>
        <v>-2.3975761327092357E-3</v>
      </c>
      <c r="N170" s="72">
        <f t="shared" si="80"/>
        <v>3.1692932071711107E-3</v>
      </c>
      <c r="O170" s="73">
        <f t="shared" si="81"/>
        <v>1.3044354652472462E-3</v>
      </c>
      <c r="P170" s="74">
        <f t="shared" si="82"/>
        <v>114.9628545549313</v>
      </c>
      <c r="Q170" s="74">
        <f t="shared" si="83"/>
        <v>0.14996162466751328</v>
      </c>
      <c r="R170" s="107">
        <v>113</v>
      </c>
      <c r="S170" s="107">
        <v>113</v>
      </c>
      <c r="T170" s="107">
        <v>2247</v>
      </c>
      <c r="U170" s="106">
        <v>1656775222</v>
      </c>
      <c r="V170" s="106">
        <v>1656775222</v>
      </c>
      <c r="W170" s="43"/>
    </row>
    <row r="171" spans="1:23">
      <c r="A171" s="101">
        <v>152</v>
      </c>
      <c r="B171" s="91" t="s">
        <v>246</v>
      </c>
      <c r="C171" s="91" t="s">
        <v>182</v>
      </c>
      <c r="D171" s="106">
        <v>6371296757.6800003</v>
      </c>
      <c r="E171" s="106">
        <v>43071212.310000002</v>
      </c>
      <c r="F171" s="107">
        <v>0</v>
      </c>
      <c r="G171" s="106">
        <v>10863944.52</v>
      </c>
      <c r="H171" s="68">
        <f t="shared" si="75"/>
        <v>32207267.789999999</v>
      </c>
      <c r="I171" s="108">
        <v>6133682910.6499996</v>
      </c>
      <c r="J171" s="70">
        <f t="shared" si="77"/>
        <v>1.1740945143173146E-2</v>
      </c>
      <c r="K171" s="108">
        <v>6243390178.4399996</v>
      </c>
      <c r="L171" s="70">
        <f t="shared" si="78"/>
        <v>1.1928479540637669E-2</v>
      </c>
      <c r="M171" s="70">
        <f t="shared" si="79"/>
        <v>1.7886035093127115E-2</v>
      </c>
      <c r="N171" s="72">
        <f t="shared" si="80"/>
        <v>1.7400713730043556E-3</v>
      </c>
      <c r="O171" s="73">
        <f t="shared" si="81"/>
        <v>5.158618453996326E-3</v>
      </c>
      <c r="P171" s="74">
        <f t="shared" si="82"/>
        <v>312.16950892199998</v>
      </c>
      <c r="Q171" s="74">
        <f t="shared" si="83"/>
        <v>1.6103633895</v>
      </c>
      <c r="R171" s="107">
        <v>418.75</v>
      </c>
      <c r="S171" s="107">
        <v>418.75</v>
      </c>
      <c r="T171" s="107">
        <v>5693</v>
      </c>
      <c r="U171" s="106">
        <v>20000000</v>
      </c>
      <c r="V171" s="107">
        <v>20000000</v>
      </c>
      <c r="W171" s="42"/>
    </row>
    <row r="172" spans="1:23">
      <c r="A172" s="101">
        <v>153</v>
      </c>
      <c r="B172" s="91" t="s">
        <v>247</v>
      </c>
      <c r="C172" s="91" t="s">
        <v>182</v>
      </c>
      <c r="D172" s="106">
        <v>25805398375.830002</v>
      </c>
      <c r="E172" s="106">
        <v>114000079.3</v>
      </c>
      <c r="F172" s="107">
        <v>0</v>
      </c>
      <c r="G172" s="106">
        <v>40057178.539999999</v>
      </c>
      <c r="H172" s="68">
        <f t="shared" si="75"/>
        <v>73942900.760000005</v>
      </c>
      <c r="I172" s="108">
        <v>27601520023.720001</v>
      </c>
      <c r="J172" s="70">
        <f t="shared" si="77"/>
        <v>5.2834151550939817E-2</v>
      </c>
      <c r="K172" s="108">
        <v>27676062924.48</v>
      </c>
      <c r="L172" s="70">
        <f t="shared" si="78"/>
        <v>5.2877257535512374E-2</v>
      </c>
      <c r="M172" s="70">
        <f t="shared" si="79"/>
        <v>2.7006810022034353E-3</v>
      </c>
      <c r="N172" s="72">
        <f t="shared" si="80"/>
        <v>1.4473582694657292E-3</v>
      </c>
      <c r="O172" s="73">
        <f t="shared" si="81"/>
        <v>2.6717275850170188E-3</v>
      </c>
      <c r="P172" s="74">
        <f t="shared" si="82"/>
        <v>147.11366903728779</v>
      </c>
      <c r="Q172" s="74">
        <f t="shared" si="83"/>
        <v>0.39304764769998596</v>
      </c>
      <c r="R172" s="107">
        <v>70</v>
      </c>
      <c r="S172" s="107">
        <v>70</v>
      </c>
      <c r="T172" s="107">
        <v>8409</v>
      </c>
      <c r="U172" s="106">
        <v>188127066</v>
      </c>
      <c r="V172" s="107">
        <v>188127066</v>
      </c>
      <c r="W172" s="42"/>
    </row>
    <row r="173" spans="1:23" ht="16.05" customHeight="1">
      <c r="A173" s="101">
        <v>154</v>
      </c>
      <c r="B173" s="91" t="s">
        <v>248</v>
      </c>
      <c r="C173" s="91" t="s">
        <v>182</v>
      </c>
      <c r="D173" s="106">
        <v>38403192417.889999</v>
      </c>
      <c r="E173" s="106">
        <v>410973346.01999998</v>
      </c>
      <c r="F173" s="107">
        <v>0</v>
      </c>
      <c r="G173" s="106">
        <v>76647152.150000006</v>
      </c>
      <c r="H173" s="68">
        <f t="shared" si="75"/>
        <v>334326193.87</v>
      </c>
      <c r="I173" s="108">
        <v>36936570012.43</v>
      </c>
      <c r="J173" s="70">
        <f t="shared" si="77"/>
        <v>7.070307490788727E-2</v>
      </c>
      <c r="K173" s="108">
        <v>36203588406.290001</v>
      </c>
      <c r="L173" s="70">
        <f t="shared" si="78"/>
        <v>6.9169754133483002E-2</v>
      </c>
      <c r="M173" s="70">
        <f t="shared" si="79"/>
        <v>-1.9844333296062257E-2</v>
      </c>
      <c r="N173" s="72">
        <f t="shared" si="80"/>
        <v>2.1171147812707801E-3</v>
      </c>
      <c r="O173" s="73">
        <f t="shared" si="81"/>
        <v>9.2346148154726637E-3</v>
      </c>
      <c r="P173" s="74">
        <f t="shared" si="82"/>
        <v>1.9506275350191926</v>
      </c>
      <c r="Q173" s="74">
        <f t="shared" si="83"/>
        <v>1.8013293934357157E-2</v>
      </c>
      <c r="R173" s="107">
        <v>20.65</v>
      </c>
      <c r="S173" s="107">
        <v>20.65</v>
      </c>
      <c r="T173" s="106">
        <v>220273</v>
      </c>
      <c r="U173" s="106">
        <v>18559969936</v>
      </c>
      <c r="V173" s="106">
        <v>18559969936</v>
      </c>
      <c r="W173" s="43"/>
    </row>
    <row r="174" spans="1:23" ht="15" customHeight="1">
      <c r="A174" s="175" t="s">
        <v>64</v>
      </c>
      <c r="B174" s="175"/>
      <c r="C174" s="175"/>
      <c r="D174" s="175"/>
      <c r="E174" s="175"/>
      <c r="F174" s="175"/>
      <c r="G174" s="175"/>
      <c r="H174" s="175"/>
      <c r="I174" s="85">
        <f>SUM(I168:I173)</f>
        <v>522418155936.65997</v>
      </c>
      <c r="J174" s="83">
        <f>(I174/$I$269)</f>
        <v>5.4397574484868469E-2</v>
      </c>
      <c r="K174" s="85">
        <f>SUM(K168:K173)</f>
        <v>523402010890.84003</v>
      </c>
      <c r="L174" s="83">
        <f>(K174/$K$269)</f>
        <v>5.3500860143539872E-2</v>
      </c>
      <c r="M174" s="83">
        <f t="shared" si="76"/>
        <v>1.8832709832147184E-3</v>
      </c>
      <c r="N174" s="72"/>
      <c r="O174" s="72"/>
      <c r="P174" s="97"/>
      <c r="Q174" s="97"/>
      <c r="R174" s="85"/>
      <c r="S174" s="85"/>
      <c r="T174" s="85">
        <f>SUM(T168:T173)</f>
        <v>236675</v>
      </c>
      <c r="U174" s="85"/>
      <c r="V174" s="85"/>
      <c r="W174" s="32"/>
    </row>
    <row r="175" spans="1:23" ht="4.95" customHeight="1">
      <c r="A175" s="181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41"/>
    </row>
    <row r="176" spans="1:23" ht="13.95" customHeight="1">
      <c r="A176" s="174" t="s">
        <v>249</v>
      </c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24"/>
    </row>
    <row r="177" spans="1:23">
      <c r="A177" s="101">
        <v>155</v>
      </c>
      <c r="B177" s="91" t="s">
        <v>250</v>
      </c>
      <c r="C177" s="91" t="s">
        <v>68</v>
      </c>
      <c r="D177" s="71">
        <v>984999908.80999994</v>
      </c>
      <c r="E177" s="71">
        <v>28391612.370000001</v>
      </c>
      <c r="F177" s="71">
        <v>17841374.550000001</v>
      </c>
      <c r="G177" s="67">
        <v>1970194.86</v>
      </c>
      <c r="H177" s="68">
        <f>(E177+F177)-G177</f>
        <v>44262792.060000002</v>
      </c>
      <c r="I177" s="67">
        <v>1031240704.4</v>
      </c>
      <c r="J177" s="70">
        <f>(I177/$I$208)</f>
        <v>6.5367081295692039E-3</v>
      </c>
      <c r="K177" s="67">
        <v>983251530.36000001</v>
      </c>
      <c r="L177" s="70">
        <f>(K177/$K$208)</f>
        <v>4.9699264339786858E-3</v>
      </c>
      <c r="M177" s="70">
        <f t="shared" ref="M177:M208" si="84">((K177-I177)/I177)</f>
        <v>-4.6535376110780256E-2</v>
      </c>
      <c r="N177" s="72">
        <f t="shared" ref="N177" si="85">(G177/K177)</f>
        <v>2.0037546844993452E-3</v>
      </c>
      <c r="O177" s="73">
        <f t="shared" ref="O177" si="86">H177/K177</f>
        <v>4.5016753794213743E-2</v>
      </c>
      <c r="P177" s="74">
        <f t="shared" ref="P177" si="87">K177/V177</f>
        <v>9.1863659957371731</v>
      </c>
      <c r="Q177" s="74">
        <f t="shared" ref="Q177" si="88">H177/V177</f>
        <v>0.41354037629363755</v>
      </c>
      <c r="R177" s="67">
        <v>9.9116</v>
      </c>
      <c r="S177" s="67">
        <v>10.1149</v>
      </c>
      <c r="T177" s="75">
        <v>12028</v>
      </c>
      <c r="U177" s="67">
        <v>107033785.81</v>
      </c>
      <c r="V177" s="67">
        <v>107033785.81</v>
      </c>
      <c r="W177" s="34"/>
    </row>
    <row r="178" spans="1:23">
      <c r="A178" s="101">
        <v>156</v>
      </c>
      <c r="B178" s="91" t="s">
        <v>251</v>
      </c>
      <c r="C178" s="91" t="s">
        <v>252</v>
      </c>
      <c r="D178" s="71">
        <v>1623963497.1400001</v>
      </c>
      <c r="E178" s="71">
        <v>47903184.049999997</v>
      </c>
      <c r="F178" s="71">
        <v>508578084.86000001</v>
      </c>
      <c r="G178" s="67">
        <v>4301847.1100000003</v>
      </c>
      <c r="H178" s="68">
        <f>(E178+F178)-G178</f>
        <v>552179421.79999995</v>
      </c>
      <c r="I178" s="67">
        <v>3124682418.0700002</v>
      </c>
      <c r="J178" s="70">
        <f t="shared" ref="J178:J207" si="89">(I178/$I$208)</f>
        <v>1.9806371953096976E-2</v>
      </c>
      <c r="K178" s="67">
        <v>3124682418.0700002</v>
      </c>
      <c r="L178" s="70">
        <f t="shared" ref="L178:L207" si="90">(K178/$K$208)</f>
        <v>1.5793966516043666E-2</v>
      </c>
      <c r="M178" s="70">
        <f t="shared" ref="M178:M207" si="91">((K178-I178)/I178)</f>
        <v>0</v>
      </c>
      <c r="N178" s="72">
        <f t="shared" ref="N178:N207" si="92">(G178/K178)</f>
        <v>1.3767309871628782E-3</v>
      </c>
      <c r="O178" s="73">
        <f t="shared" ref="O178:O207" si="93">H178/K178</f>
        <v>0.17671537389104028</v>
      </c>
      <c r="P178" s="74">
        <f t="shared" ref="P178:P207" si="94">K178/V178</f>
        <v>3207.7437343266547</v>
      </c>
      <c r="Q178" s="74">
        <f t="shared" ref="Q178:Q207" si="95">H178/V178</f>
        <v>566.8576333581766</v>
      </c>
      <c r="R178" s="67">
        <v>3193.36</v>
      </c>
      <c r="S178" s="67">
        <v>3217.14</v>
      </c>
      <c r="T178" s="75">
        <v>271</v>
      </c>
      <c r="U178" s="67">
        <v>1073106</v>
      </c>
      <c r="V178" s="67">
        <v>974106</v>
      </c>
      <c r="W178" s="34"/>
    </row>
    <row r="179" spans="1:23">
      <c r="A179" s="101">
        <v>157</v>
      </c>
      <c r="B179" s="91" t="s">
        <v>253</v>
      </c>
      <c r="C179" s="91" t="s">
        <v>254</v>
      </c>
      <c r="D179" s="71">
        <v>103122603.45</v>
      </c>
      <c r="E179" s="71">
        <v>1377951.28</v>
      </c>
      <c r="F179" s="71">
        <v>4094172.78</v>
      </c>
      <c r="G179" s="67">
        <v>103066.54</v>
      </c>
      <c r="H179" s="68">
        <f>(E179+F179)-G179</f>
        <v>5369057.5199999996</v>
      </c>
      <c r="I179" s="75">
        <v>0</v>
      </c>
      <c r="J179" s="70">
        <f t="shared" si="89"/>
        <v>0</v>
      </c>
      <c r="K179" s="67">
        <v>113595201.48999999</v>
      </c>
      <c r="L179" s="70">
        <f t="shared" si="90"/>
        <v>5.7417637016194875E-4</v>
      </c>
      <c r="M179" s="70" t="e">
        <f t="shared" si="91"/>
        <v>#DIV/0!</v>
      </c>
      <c r="N179" s="72">
        <f t="shared" si="92"/>
        <v>9.0731420560113312E-4</v>
      </c>
      <c r="O179" s="73">
        <f t="shared" si="93"/>
        <v>4.726482676711171E-2</v>
      </c>
      <c r="P179" s="74">
        <f t="shared" si="94"/>
        <v>1007.4822150148329</v>
      </c>
      <c r="Q179" s="74">
        <f t="shared" si="95"/>
        <v>47.618472363622068</v>
      </c>
      <c r="R179" s="67">
        <v>997.279</v>
      </c>
      <c r="S179" s="67">
        <v>1014.0415</v>
      </c>
      <c r="T179" s="75">
        <v>27</v>
      </c>
      <c r="U179" s="67">
        <v>112170.88</v>
      </c>
      <c r="V179" s="67">
        <v>112751.57</v>
      </c>
      <c r="W179" s="34"/>
    </row>
    <row r="180" spans="1:23">
      <c r="A180" s="101">
        <v>158</v>
      </c>
      <c r="B180" s="91" t="s">
        <v>255</v>
      </c>
      <c r="C180" s="75" t="s">
        <v>28</v>
      </c>
      <c r="D180" s="71">
        <v>15502841159</v>
      </c>
      <c r="E180" s="71">
        <v>82449876</v>
      </c>
      <c r="F180" s="71">
        <v>389832070</v>
      </c>
      <c r="G180" s="67">
        <v>51074875</v>
      </c>
      <c r="H180" s="68">
        <f t="shared" ref="H180:H207" si="96">(E180+F180)-G180</f>
        <v>421207071</v>
      </c>
      <c r="I180" s="67">
        <v>17062607539</v>
      </c>
      <c r="J180" s="70">
        <f t="shared" si="89"/>
        <v>0.10815446377935864</v>
      </c>
      <c r="K180" s="67">
        <v>17852518635</v>
      </c>
      <c r="L180" s="70">
        <f t="shared" si="90"/>
        <v>9.023703654414679E-2</v>
      </c>
      <c r="M180" s="70">
        <f t="shared" si="91"/>
        <v>4.6294864029105771E-2</v>
      </c>
      <c r="N180" s="72">
        <f t="shared" si="92"/>
        <v>2.8609338572467479E-3</v>
      </c>
      <c r="O180" s="73">
        <f t="shared" si="93"/>
        <v>2.3593705718039152E-2</v>
      </c>
      <c r="P180" s="74">
        <f t="shared" si="94"/>
        <v>1449.1797002058031</v>
      </c>
      <c r="Q180" s="74">
        <f t="shared" si="95"/>
        <v>34.191519379211918</v>
      </c>
      <c r="R180" s="67">
        <v>1441.9338</v>
      </c>
      <c r="S180" s="67">
        <v>1485.4092000000001</v>
      </c>
      <c r="T180" s="67">
        <v>24392</v>
      </c>
      <c r="U180" s="67">
        <v>12078471</v>
      </c>
      <c r="V180" s="67">
        <v>12319051</v>
      </c>
      <c r="W180" s="34"/>
    </row>
    <row r="181" spans="1:23">
      <c r="A181" s="101">
        <v>159</v>
      </c>
      <c r="B181" s="91" t="s">
        <v>256</v>
      </c>
      <c r="C181" s="91" t="s">
        <v>154</v>
      </c>
      <c r="D181" s="71">
        <v>3999301101.0999999</v>
      </c>
      <c r="E181" s="71">
        <v>79435755.25</v>
      </c>
      <c r="F181" s="71">
        <v>66510943.200000003</v>
      </c>
      <c r="G181" s="67">
        <v>8358262.25</v>
      </c>
      <c r="H181" s="68">
        <f t="shared" si="96"/>
        <v>137588436.19999999</v>
      </c>
      <c r="I181" s="67">
        <v>3736585012.3000002</v>
      </c>
      <c r="J181" s="70">
        <f t="shared" si="89"/>
        <v>2.3685028648029242E-2</v>
      </c>
      <c r="K181" s="67">
        <v>3923391533.2600002</v>
      </c>
      <c r="L181" s="70">
        <f t="shared" si="90"/>
        <v>1.9831108002301142E-2</v>
      </c>
      <c r="M181" s="70">
        <f t="shared" si="91"/>
        <v>4.9993916997759943E-2</v>
      </c>
      <c r="N181" s="72">
        <f t="shared" si="92"/>
        <v>2.1303665920528211E-3</v>
      </c>
      <c r="O181" s="73">
        <f t="shared" si="93"/>
        <v>3.5068749838911908E-2</v>
      </c>
      <c r="P181" s="74">
        <f t="shared" si="94"/>
        <v>9.2907257155022531</v>
      </c>
      <c r="Q181" s="74">
        <f t="shared" si="95"/>
        <v>0.32581413593889441</v>
      </c>
      <c r="R181" s="75">
        <v>9.1286000000000005</v>
      </c>
      <c r="S181" s="75">
        <v>9.3513000000000002</v>
      </c>
      <c r="T181" s="75">
        <v>2738</v>
      </c>
      <c r="U181" s="67">
        <v>416835608.83999997</v>
      </c>
      <c r="V181" s="67">
        <v>422291180.83999997</v>
      </c>
      <c r="W181" s="34"/>
    </row>
    <row r="182" spans="1:23">
      <c r="A182" s="101">
        <v>160</v>
      </c>
      <c r="B182" s="91" t="s">
        <v>257</v>
      </c>
      <c r="C182" s="75" t="s">
        <v>32</v>
      </c>
      <c r="D182" s="69">
        <v>4934020201.25</v>
      </c>
      <c r="E182" s="69">
        <v>38020577.859999999</v>
      </c>
      <c r="F182" s="69">
        <v>132933715.14</v>
      </c>
      <c r="G182" s="75">
        <v>6040403.0499999998</v>
      </c>
      <c r="H182" s="68">
        <f t="shared" ref="H182" si="97">(E182+F182)-G182</f>
        <v>164913889.94999999</v>
      </c>
      <c r="I182" s="75">
        <v>4409348468.9700003</v>
      </c>
      <c r="J182" s="70">
        <f t="shared" si="89"/>
        <v>2.7949463069332006E-2</v>
      </c>
      <c r="K182" s="75">
        <v>4953401886.5100002</v>
      </c>
      <c r="L182" s="70">
        <f t="shared" si="90"/>
        <v>2.5037380785842746E-2</v>
      </c>
      <c r="M182" s="70">
        <f t="shared" si="91"/>
        <v>0.12338635092433234</v>
      </c>
      <c r="N182" s="72">
        <f t="shared" si="92"/>
        <v>1.2194453808503441E-3</v>
      </c>
      <c r="O182" s="73">
        <f t="shared" si="93"/>
        <v>3.3293056717066165E-2</v>
      </c>
      <c r="P182" s="74">
        <f t="shared" si="94"/>
        <v>1.8205321005129802</v>
      </c>
      <c r="Q182" s="74">
        <f t="shared" si="95"/>
        <v>6.0611078477618256E-2</v>
      </c>
      <c r="R182" s="75">
        <v>1.8126</v>
      </c>
      <c r="S182" s="75">
        <v>1.83</v>
      </c>
      <c r="T182" s="75">
        <v>1035</v>
      </c>
      <c r="U182" s="75">
        <v>2512815906.9899998</v>
      </c>
      <c r="V182" s="75">
        <v>2720853911.4000001</v>
      </c>
      <c r="W182" s="35"/>
    </row>
    <row r="183" spans="1:23">
      <c r="A183" s="101">
        <v>161</v>
      </c>
      <c r="B183" s="91" t="s">
        <v>258</v>
      </c>
      <c r="C183" s="91" t="s">
        <v>83</v>
      </c>
      <c r="D183" s="71">
        <v>10762441646.190001</v>
      </c>
      <c r="E183" s="71">
        <v>258189041.53999999</v>
      </c>
      <c r="F183" s="71">
        <v>2920873881.0700002</v>
      </c>
      <c r="G183" s="67">
        <v>27259271.829999998</v>
      </c>
      <c r="H183" s="68">
        <f t="shared" si="96"/>
        <v>3151803650.7800002</v>
      </c>
      <c r="I183" s="67">
        <v>10629500590.059999</v>
      </c>
      <c r="J183" s="70">
        <f t="shared" si="89"/>
        <v>6.7377036829371545E-2</v>
      </c>
      <c r="K183" s="67">
        <v>10736844925.129999</v>
      </c>
      <c r="L183" s="70">
        <f t="shared" si="90"/>
        <v>5.4270273437963715E-2</v>
      </c>
      <c r="M183" s="70">
        <f t="shared" si="91"/>
        <v>1.0098718576711022E-2</v>
      </c>
      <c r="N183" s="72">
        <f t="shared" si="92"/>
        <v>2.5388530820817409E-3</v>
      </c>
      <c r="O183" s="73">
        <f t="shared" si="93"/>
        <v>0.29355026292715491</v>
      </c>
      <c r="P183" s="74">
        <f t="shared" si="94"/>
        <v>14644.225128145639</v>
      </c>
      <c r="Q183" s="74">
        <f t="shared" si="95"/>
        <v>4298.8161367316015</v>
      </c>
      <c r="R183" s="67">
        <v>14644.23</v>
      </c>
      <c r="S183" s="67">
        <v>14752.49</v>
      </c>
      <c r="T183" s="67">
        <v>1685</v>
      </c>
      <c r="U183" s="67">
        <v>736628.18</v>
      </c>
      <c r="V183" s="67">
        <v>733179.45</v>
      </c>
      <c r="W183" s="34"/>
    </row>
    <row r="184" spans="1:23" ht="14.1" customHeight="1">
      <c r="A184" s="101">
        <v>162</v>
      </c>
      <c r="B184" s="91" t="s">
        <v>259</v>
      </c>
      <c r="C184" s="75" t="s">
        <v>85</v>
      </c>
      <c r="D184" s="71">
        <v>2952554423.8699999</v>
      </c>
      <c r="E184" s="71">
        <v>33878005.920000002</v>
      </c>
      <c r="F184" s="71">
        <v>63543423.299999997</v>
      </c>
      <c r="G184" s="67">
        <v>6055429</v>
      </c>
      <c r="H184" s="68">
        <f t="shared" si="96"/>
        <v>91366000.219999999</v>
      </c>
      <c r="I184" s="67">
        <v>3408030554.4499998</v>
      </c>
      <c r="J184" s="70">
        <f t="shared" si="89"/>
        <v>2.160242602531386E-2</v>
      </c>
      <c r="K184" s="67">
        <v>3476363548.8699999</v>
      </c>
      <c r="L184" s="70">
        <f t="shared" si="90"/>
        <v>1.7571567968293119E-2</v>
      </c>
      <c r="M184" s="70">
        <f t="shared" si="91"/>
        <v>2.0050581509832709E-2</v>
      </c>
      <c r="N184" s="72">
        <f t="shared" si="92"/>
        <v>1.7418860009530163E-3</v>
      </c>
      <c r="O184" s="73">
        <f t="shared" si="93"/>
        <v>2.6282061394211412E-2</v>
      </c>
      <c r="P184" s="74">
        <f t="shared" si="94"/>
        <v>297.58555878857334</v>
      </c>
      <c r="Q184" s="74">
        <f t="shared" si="95"/>
        <v>7.8211619261119942</v>
      </c>
      <c r="R184" s="75">
        <v>310.26</v>
      </c>
      <c r="S184" s="75">
        <v>312.57</v>
      </c>
      <c r="T184" s="75">
        <v>622</v>
      </c>
      <c r="U184" s="67">
        <v>11766686</v>
      </c>
      <c r="V184" s="67">
        <v>11681896</v>
      </c>
      <c r="W184" s="34"/>
    </row>
    <row r="185" spans="1:23">
      <c r="A185" s="101">
        <v>163</v>
      </c>
      <c r="B185" s="91" t="s">
        <v>260</v>
      </c>
      <c r="C185" s="75" t="s">
        <v>34</v>
      </c>
      <c r="D185" s="71">
        <v>6840690434.9399996</v>
      </c>
      <c r="E185" s="71">
        <v>46756196.200000003</v>
      </c>
      <c r="F185" s="71">
        <v>191604574.80000001</v>
      </c>
      <c r="G185" s="67">
        <v>14757051.35</v>
      </c>
      <c r="H185" s="68">
        <f t="shared" si="96"/>
        <v>223603719.65000001</v>
      </c>
      <c r="I185" s="67">
        <v>6973820855.7700005</v>
      </c>
      <c r="J185" s="70">
        <f t="shared" si="89"/>
        <v>4.4204841107968032E-2</v>
      </c>
      <c r="K185" s="67">
        <v>6847407560</v>
      </c>
      <c r="L185" s="70">
        <f t="shared" si="90"/>
        <v>3.4610789595424893E-2</v>
      </c>
      <c r="M185" s="70">
        <f t="shared" si="91"/>
        <v>-1.8126834397446362E-2</v>
      </c>
      <c r="N185" s="72">
        <f t="shared" si="92"/>
        <v>2.1551296926161059E-3</v>
      </c>
      <c r="O185" s="73">
        <f t="shared" si="93"/>
        <v>3.265523742974049E-2</v>
      </c>
      <c r="P185" s="74">
        <f t="shared" si="94"/>
        <v>2.8605931050230273</v>
      </c>
      <c r="Q185" s="74">
        <f t="shared" si="95"/>
        <v>9.3413347034405542E-2</v>
      </c>
      <c r="R185" s="75">
        <v>2.8275000000000001</v>
      </c>
      <c r="S185" s="75">
        <v>2.8818999999999999</v>
      </c>
      <c r="T185" s="67">
        <v>7219</v>
      </c>
      <c r="U185" s="67">
        <v>2532861634.4699998</v>
      </c>
      <c r="V185" s="67">
        <v>2393702043.1100001</v>
      </c>
      <c r="W185" s="34"/>
    </row>
    <row r="186" spans="1:23">
      <c r="A186" s="101">
        <v>164</v>
      </c>
      <c r="B186" s="91" t="s">
        <v>261</v>
      </c>
      <c r="C186" s="91" t="s">
        <v>36</v>
      </c>
      <c r="D186" s="69">
        <v>1894771981.47</v>
      </c>
      <c r="E186" s="69">
        <v>15658002.91</v>
      </c>
      <c r="F186" s="69">
        <v>263779648.77000001</v>
      </c>
      <c r="G186" s="75">
        <v>4340790.6923515098</v>
      </c>
      <c r="H186" s="68">
        <f t="shared" si="96"/>
        <v>275096860.98764801</v>
      </c>
      <c r="I186" s="75">
        <v>1750114337.0799999</v>
      </c>
      <c r="J186" s="70">
        <f t="shared" si="89"/>
        <v>1.1093420348959661E-2</v>
      </c>
      <c r="K186" s="75">
        <v>1912098703.4100001</v>
      </c>
      <c r="L186" s="70">
        <f t="shared" si="90"/>
        <v>9.664861530369934E-3</v>
      </c>
      <c r="M186" s="70">
        <f t="shared" si="91"/>
        <v>9.2556447826297447E-2</v>
      </c>
      <c r="N186" s="72">
        <f t="shared" si="92"/>
        <v>2.2701708257059257E-3</v>
      </c>
      <c r="O186" s="73">
        <f t="shared" si="93"/>
        <v>0.14387168428964758</v>
      </c>
      <c r="P186" s="74">
        <f t="shared" si="94"/>
        <v>292.50340396038132</v>
      </c>
      <c r="Q186" s="74">
        <f t="shared" si="95"/>
        <v>42.082957388235229</v>
      </c>
      <c r="R186" s="75">
        <v>292.50340396038098</v>
      </c>
      <c r="S186" s="75">
        <v>295.51356979985798</v>
      </c>
      <c r="T186" s="75">
        <v>254</v>
      </c>
      <c r="U186" s="75">
        <v>6158527.1600000001</v>
      </c>
      <c r="V186" s="75">
        <v>6537013.5099999998</v>
      </c>
      <c r="W186" s="35"/>
    </row>
    <row r="187" spans="1:23">
      <c r="A187" s="101">
        <v>165</v>
      </c>
      <c r="B187" s="91" t="s">
        <v>262</v>
      </c>
      <c r="C187" s="91" t="s">
        <v>205</v>
      </c>
      <c r="D187" s="71">
        <v>2026781382.5899999</v>
      </c>
      <c r="E187" s="71">
        <v>18498977.960000001</v>
      </c>
      <c r="F187" s="69">
        <v>0</v>
      </c>
      <c r="G187" s="67">
        <v>4781100.2699999996</v>
      </c>
      <c r="H187" s="68">
        <f t="shared" si="96"/>
        <v>13717877.689999999</v>
      </c>
      <c r="I187" s="67">
        <v>2998691722.4699998</v>
      </c>
      <c r="J187" s="70">
        <f t="shared" si="89"/>
        <v>1.9007756847365893E-2</v>
      </c>
      <c r="K187" s="67">
        <v>2646471400.0500002</v>
      </c>
      <c r="L187" s="70">
        <f t="shared" si="90"/>
        <v>1.3376809251505997E-2</v>
      </c>
      <c r="M187" s="70">
        <f t="shared" si="91"/>
        <v>-0.11745799669259713</v>
      </c>
      <c r="N187" s="72">
        <f t="shared" si="92"/>
        <v>1.8065943466873172E-3</v>
      </c>
      <c r="O187" s="73">
        <f t="shared" si="93"/>
        <v>5.1834596397833076E-3</v>
      </c>
      <c r="P187" s="74">
        <f t="shared" si="94"/>
        <v>211.72606247990421</v>
      </c>
      <c r="Q187" s="74">
        <f t="shared" si="95"/>
        <v>1.0974734995548223</v>
      </c>
      <c r="R187" s="75">
        <v>128.76</v>
      </c>
      <c r="S187" s="75">
        <v>129.74</v>
      </c>
      <c r="T187" s="75">
        <v>276</v>
      </c>
      <c r="U187" s="67">
        <v>14268093</v>
      </c>
      <c r="V187" s="67">
        <v>12499507</v>
      </c>
      <c r="W187" s="34"/>
    </row>
    <row r="188" spans="1:23">
      <c r="A188" s="101">
        <v>166</v>
      </c>
      <c r="B188" s="91" t="s">
        <v>263</v>
      </c>
      <c r="C188" s="75" t="s">
        <v>93</v>
      </c>
      <c r="D188" s="71">
        <v>750564445.26999998</v>
      </c>
      <c r="E188" s="71">
        <v>36799189</v>
      </c>
      <c r="F188" s="71">
        <v>-8237288</v>
      </c>
      <c r="G188" s="67">
        <v>1720924</v>
      </c>
      <c r="H188" s="68">
        <f t="shared" si="96"/>
        <v>26840977</v>
      </c>
      <c r="I188" s="67">
        <v>864352758</v>
      </c>
      <c r="J188" s="70">
        <f t="shared" si="89"/>
        <v>5.4788583072091571E-3</v>
      </c>
      <c r="K188" s="67">
        <v>856469872</v>
      </c>
      <c r="L188" s="70">
        <f t="shared" si="90"/>
        <v>4.3290980235755807E-3</v>
      </c>
      <c r="M188" s="70">
        <f t="shared" si="91"/>
        <v>-9.1199870967496807E-3</v>
      </c>
      <c r="N188" s="72">
        <f t="shared" si="92"/>
        <v>2.0093222847189654E-3</v>
      </c>
      <c r="O188" s="73">
        <f t="shared" si="93"/>
        <v>3.1339079023669385E-2</v>
      </c>
      <c r="P188" s="74">
        <f t="shared" si="94"/>
        <v>2.0624156007875518</v>
      </c>
      <c r="Q188" s="74">
        <f t="shared" si="95"/>
        <v>6.4634205492729649E-2</v>
      </c>
      <c r="R188" s="75">
        <v>2.2820999999999998</v>
      </c>
      <c r="S188" s="75">
        <v>2.3081</v>
      </c>
      <c r="T188" s="75">
        <v>277</v>
      </c>
      <c r="U188" s="67">
        <v>433106555.75</v>
      </c>
      <c r="V188" s="67">
        <v>415275113.16000003</v>
      </c>
      <c r="W188" s="34"/>
    </row>
    <row r="189" spans="1:23">
      <c r="A189" s="101">
        <v>167</v>
      </c>
      <c r="B189" s="75" t="s">
        <v>264</v>
      </c>
      <c r="C189" s="66" t="s">
        <v>170</v>
      </c>
      <c r="D189" s="71">
        <v>22475463213.150002</v>
      </c>
      <c r="E189" s="71">
        <v>126062541.20999999</v>
      </c>
      <c r="F189" s="71">
        <v>749247062.86000001</v>
      </c>
      <c r="G189" s="67">
        <v>35218952.390000001</v>
      </c>
      <c r="H189" s="68">
        <f t="shared" si="96"/>
        <v>840090651.67999995</v>
      </c>
      <c r="I189" s="67">
        <v>21295980856.25</v>
      </c>
      <c r="J189" s="70">
        <f t="shared" si="89"/>
        <v>0.13498847611062115</v>
      </c>
      <c r="K189" s="67">
        <v>22194943710.400002</v>
      </c>
      <c r="L189" s="70">
        <f t="shared" si="90"/>
        <v>0.11218618434959253</v>
      </c>
      <c r="M189" s="70">
        <f t="shared" si="91"/>
        <v>4.2212794058094374E-2</v>
      </c>
      <c r="N189" s="72">
        <f t="shared" si="92"/>
        <v>1.5868007078340672E-3</v>
      </c>
      <c r="O189" s="73">
        <f t="shared" si="93"/>
        <v>3.7850542116326893E-2</v>
      </c>
      <c r="P189" s="74">
        <f t="shared" si="94"/>
        <v>617.64757049889556</v>
      </c>
      <c r="Q189" s="74">
        <f t="shared" si="95"/>
        <v>23.37829538021543</v>
      </c>
      <c r="R189" s="75">
        <v>617.65</v>
      </c>
      <c r="S189" s="75">
        <v>622.9</v>
      </c>
      <c r="T189" s="67">
        <v>7395</v>
      </c>
      <c r="U189" s="67">
        <v>35919308</v>
      </c>
      <c r="V189" s="67">
        <v>35934641</v>
      </c>
      <c r="W189" s="34"/>
    </row>
    <row r="190" spans="1:23" ht="15.6" customHeight="1">
      <c r="A190" s="109">
        <v>168</v>
      </c>
      <c r="B190" s="110" t="s">
        <v>265</v>
      </c>
      <c r="C190" s="91" t="s">
        <v>104</v>
      </c>
      <c r="D190" s="71">
        <v>5404574246</v>
      </c>
      <c r="E190" s="71">
        <v>53473318.43</v>
      </c>
      <c r="F190" s="71">
        <v>80523720.349999994</v>
      </c>
      <c r="G190" s="67">
        <v>16581203.960000001</v>
      </c>
      <c r="H190" s="68">
        <f t="shared" si="96"/>
        <v>117415834.81999999</v>
      </c>
      <c r="I190" s="67">
        <v>5296897781.6300001</v>
      </c>
      <c r="J190" s="70">
        <f t="shared" si="89"/>
        <v>3.3575356987894614E-2</v>
      </c>
      <c r="K190" s="67">
        <v>5441954645.7600002</v>
      </c>
      <c r="L190" s="70">
        <f t="shared" si="90"/>
        <v>2.7506811239412246E-2</v>
      </c>
      <c r="M190" s="70">
        <f t="shared" si="91"/>
        <v>2.7385248896640433E-2</v>
      </c>
      <c r="N190" s="72">
        <f t="shared" si="92"/>
        <v>3.046920645124991E-3</v>
      </c>
      <c r="O190" s="73">
        <f t="shared" si="93"/>
        <v>2.1576040680802513E-2</v>
      </c>
      <c r="P190" s="74">
        <f t="shared" si="94"/>
        <v>3.9923588504948029</v>
      </c>
      <c r="Q190" s="74">
        <f t="shared" si="95"/>
        <v>8.6139296970637824E-2</v>
      </c>
      <c r="R190" s="75">
        <v>3.95</v>
      </c>
      <c r="S190" s="75">
        <v>4.0279999999999996</v>
      </c>
      <c r="T190" s="67">
        <v>10278</v>
      </c>
      <c r="U190" s="67">
        <v>1356354432.3</v>
      </c>
      <c r="V190" s="67">
        <v>1363092559.95</v>
      </c>
      <c r="W190" s="34"/>
    </row>
    <row r="191" spans="1:23">
      <c r="A191" s="101">
        <v>169</v>
      </c>
      <c r="B191" s="91" t="s">
        <v>266</v>
      </c>
      <c r="C191" s="75" t="s">
        <v>106</v>
      </c>
      <c r="D191" s="71">
        <v>293662687.45999998</v>
      </c>
      <c r="E191" s="71">
        <v>27115018.879999999</v>
      </c>
      <c r="F191" s="71">
        <v>2246392.71</v>
      </c>
      <c r="G191" s="67">
        <v>671076.97</v>
      </c>
      <c r="H191" s="68">
        <f t="shared" si="96"/>
        <v>28690334.620000001</v>
      </c>
      <c r="I191" s="67">
        <v>402314141.70999998</v>
      </c>
      <c r="J191" s="70">
        <f t="shared" si="89"/>
        <v>2.5501418917385529E-3</v>
      </c>
      <c r="K191" s="67">
        <v>427069114.02999997</v>
      </c>
      <c r="L191" s="70">
        <f t="shared" si="90"/>
        <v>2.1586562679200083E-3</v>
      </c>
      <c r="M191" s="70">
        <f t="shared" si="91"/>
        <v>6.1531449565210942E-2</v>
      </c>
      <c r="N191" s="72">
        <f t="shared" si="92"/>
        <v>1.5713544903012101E-3</v>
      </c>
      <c r="O191" s="73">
        <f t="shared" si="93"/>
        <v>6.717960554268651E-2</v>
      </c>
      <c r="P191" s="74">
        <f t="shared" si="94"/>
        <v>387.40812931023845</v>
      </c>
      <c r="Q191" s="74">
        <f t="shared" si="95"/>
        <v>26.025925311091907</v>
      </c>
      <c r="R191" s="75">
        <v>389.51</v>
      </c>
      <c r="S191" s="75">
        <v>391.91</v>
      </c>
      <c r="T191" s="75">
        <v>39</v>
      </c>
      <c r="U191" s="67">
        <v>1085910.3700000001</v>
      </c>
      <c r="V191" s="67">
        <v>1102375.2</v>
      </c>
      <c r="W191" s="34"/>
    </row>
    <row r="192" spans="1:23">
      <c r="A192" s="109">
        <v>170</v>
      </c>
      <c r="B192" s="111" t="s">
        <v>267</v>
      </c>
      <c r="C192" s="91" t="s">
        <v>108</v>
      </c>
      <c r="D192" s="69">
        <v>112682674.89</v>
      </c>
      <c r="E192" s="69">
        <v>1028338.16</v>
      </c>
      <c r="F192" s="69">
        <v>0</v>
      </c>
      <c r="G192" s="75">
        <v>184823.29</v>
      </c>
      <c r="H192" s="68">
        <f t="shared" si="96"/>
        <v>843514.87</v>
      </c>
      <c r="I192" s="75">
        <v>70759000</v>
      </c>
      <c r="J192" s="70">
        <f t="shared" si="89"/>
        <v>4.4851888464710927E-4</v>
      </c>
      <c r="K192" s="75">
        <v>78761000</v>
      </c>
      <c r="L192" s="70">
        <f t="shared" si="90"/>
        <v>3.9810400877105965E-4</v>
      </c>
      <c r="M192" s="70">
        <f t="shared" si="91"/>
        <v>0.11308808773442247</v>
      </c>
      <c r="N192" s="72">
        <f t="shared" si="92"/>
        <v>2.346634628813753E-3</v>
      </c>
      <c r="O192" s="73">
        <f t="shared" si="93"/>
        <v>1.0709803963890758E-2</v>
      </c>
      <c r="P192" s="74">
        <f t="shared" si="94"/>
        <v>0.98985773175145786</v>
      </c>
      <c r="Q192" s="74">
        <f t="shared" si="95"/>
        <v>1.0601182259199678E-2</v>
      </c>
      <c r="R192" s="75">
        <v>1.6</v>
      </c>
      <c r="S192" s="75">
        <v>1.6</v>
      </c>
      <c r="T192" s="75">
        <v>31</v>
      </c>
      <c r="U192" s="75">
        <v>807000</v>
      </c>
      <c r="V192" s="75">
        <v>79568000</v>
      </c>
      <c r="W192" s="35"/>
    </row>
    <row r="193" spans="1:23">
      <c r="A193" s="101">
        <v>171</v>
      </c>
      <c r="B193" s="75" t="s">
        <v>268</v>
      </c>
      <c r="C193" s="75" t="s">
        <v>44</v>
      </c>
      <c r="D193" s="71">
        <v>13974325324.23</v>
      </c>
      <c r="E193" s="71">
        <v>105505316.39</v>
      </c>
      <c r="F193" s="71">
        <v>227527496.50999999</v>
      </c>
      <c r="G193" s="67">
        <v>29396161.829999998</v>
      </c>
      <c r="H193" s="68">
        <f t="shared" si="96"/>
        <v>303636651.06999999</v>
      </c>
      <c r="I193" s="67">
        <v>13927036019.790001</v>
      </c>
      <c r="J193" s="70">
        <f t="shared" si="89"/>
        <v>8.8279069263787327E-2</v>
      </c>
      <c r="K193" s="67">
        <v>13912375774.280001</v>
      </c>
      <c r="L193" s="70">
        <f t="shared" si="90"/>
        <v>7.0321257567453985E-2</v>
      </c>
      <c r="M193" s="70">
        <f t="shared" si="91"/>
        <v>-1.0526464848061249E-3</v>
      </c>
      <c r="N193" s="72">
        <f t="shared" si="92"/>
        <v>2.112950534612865E-3</v>
      </c>
      <c r="O193" s="73">
        <f t="shared" si="93"/>
        <v>2.1824931700834105E-2</v>
      </c>
      <c r="P193" s="74">
        <f t="shared" si="94"/>
        <v>8.023280590415089</v>
      </c>
      <c r="Q193" s="74">
        <f t="shared" si="95"/>
        <v>0.17510755090243724</v>
      </c>
      <c r="R193" s="75">
        <v>8.0399999999999991</v>
      </c>
      <c r="S193" s="75">
        <v>8.23</v>
      </c>
      <c r="T193" s="67">
        <v>17647</v>
      </c>
      <c r="U193" s="67">
        <v>1766543471.0799999</v>
      </c>
      <c r="V193" s="67">
        <v>1734000901.1900001</v>
      </c>
      <c r="W193" s="34"/>
    </row>
    <row r="194" spans="1:23">
      <c r="A194" s="101">
        <v>172</v>
      </c>
      <c r="B194" s="91" t="s">
        <v>269</v>
      </c>
      <c r="C194" s="91" t="s">
        <v>270</v>
      </c>
      <c r="D194" s="81">
        <v>147991538.38999999</v>
      </c>
      <c r="E194" s="81">
        <v>1584765.5</v>
      </c>
      <c r="F194" s="81">
        <v>-2396588.2200000002</v>
      </c>
      <c r="G194" s="81">
        <v>437488.25</v>
      </c>
      <c r="H194" s="68">
        <f t="shared" si="96"/>
        <v>-1249310.97</v>
      </c>
      <c r="I194" s="81">
        <v>161740887.80000001</v>
      </c>
      <c r="J194" s="70">
        <f t="shared" si="89"/>
        <v>1.0252242484756603E-3</v>
      </c>
      <c r="K194" s="81">
        <v>149452280.75</v>
      </c>
      <c r="L194" s="70">
        <f t="shared" si="90"/>
        <v>7.5541895210259988E-4</v>
      </c>
      <c r="M194" s="70">
        <f t="shared" si="91"/>
        <v>-7.5977121290415048E-2</v>
      </c>
      <c r="N194" s="72">
        <f t="shared" si="92"/>
        <v>2.9272771737208834E-3</v>
      </c>
      <c r="O194" s="73">
        <f t="shared" si="93"/>
        <v>-8.3592633296096421E-3</v>
      </c>
      <c r="P194" s="74">
        <f t="shared" si="94"/>
        <v>3.2762448416920509</v>
      </c>
      <c r="Q194" s="74">
        <f t="shared" si="95"/>
        <v>-2.7386993363979109E-2</v>
      </c>
      <c r="R194" s="80">
        <v>3.2679</v>
      </c>
      <c r="S194" s="80">
        <v>3.2810000000000001</v>
      </c>
      <c r="T194" s="80">
        <v>162</v>
      </c>
      <c r="U194" s="81">
        <v>51271180</v>
      </c>
      <c r="V194" s="81">
        <v>45616945</v>
      </c>
      <c r="W194" s="40"/>
    </row>
    <row r="195" spans="1:23">
      <c r="A195" s="101">
        <v>173</v>
      </c>
      <c r="B195" s="75" t="s">
        <v>271</v>
      </c>
      <c r="C195" s="75" t="s">
        <v>174</v>
      </c>
      <c r="D195" s="71">
        <v>2278231789.3299999</v>
      </c>
      <c r="E195" s="71">
        <v>2278231789.3299999</v>
      </c>
      <c r="F195" s="71">
        <v>41066530.770000003</v>
      </c>
      <c r="G195" s="112">
        <v>3793848.21</v>
      </c>
      <c r="H195" s="68">
        <f t="shared" si="96"/>
        <v>2315504471.8899999</v>
      </c>
      <c r="I195" s="67">
        <v>2282808644.1999998</v>
      </c>
      <c r="J195" s="70">
        <f t="shared" si="89"/>
        <v>1.4470000804976945E-2</v>
      </c>
      <c r="K195" s="67">
        <v>2282808644.1999998</v>
      </c>
      <c r="L195" s="70">
        <f t="shared" si="90"/>
        <v>1.1538645681406374E-2</v>
      </c>
      <c r="M195" s="70">
        <f t="shared" si="91"/>
        <v>0</v>
      </c>
      <c r="N195" s="72">
        <f t="shared" si="92"/>
        <v>1.6619212563607306E-3</v>
      </c>
      <c r="O195" s="73">
        <f t="shared" si="93"/>
        <v>1.0143226318040592</v>
      </c>
      <c r="P195" s="74">
        <f t="shared" si="94"/>
        <v>494.75320508399773</v>
      </c>
      <c r="Q195" s="74">
        <f t="shared" si="95"/>
        <v>501.83937307429397</v>
      </c>
      <c r="R195" s="75">
        <v>487.82</v>
      </c>
      <c r="S195" s="75">
        <v>492.27</v>
      </c>
      <c r="T195" s="75">
        <v>284</v>
      </c>
      <c r="U195" s="67">
        <v>4614035.08</v>
      </c>
      <c r="V195" s="67">
        <v>4614035.08</v>
      </c>
      <c r="W195" s="34"/>
    </row>
    <row r="196" spans="1:23">
      <c r="A196" s="101">
        <v>174</v>
      </c>
      <c r="B196" s="78" t="s">
        <v>272</v>
      </c>
      <c r="C196" s="79" t="s">
        <v>214</v>
      </c>
      <c r="D196" s="71">
        <v>94707932</v>
      </c>
      <c r="E196" s="71">
        <v>1054730.46</v>
      </c>
      <c r="F196" s="71">
        <v>0</v>
      </c>
      <c r="G196" s="67">
        <v>1568519.64</v>
      </c>
      <c r="H196" s="68">
        <f t="shared" si="96"/>
        <v>-513789.18</v>
      </c>
      <c r="I196" s="67">
        <v>59176750.270000003</v>
      </c>
      <c r="J196" s="70">
        <f t="shared" si="89"/>
        <v>3.7510267284926192E-4</v>
      </c>
      <c r="K196" s="67">
        <v>94707932.400000006</v>
      </c>
      <c r="L196" s="70">
        <f t="shared" si="90"/>
        <v>4.787091015967106E-4</v>
      </c>
      <c r="M196" s="70">
        <f t="shared" si="91"/>
        <v>0.60042469327709502</v>
      </c>
      <c r="N196" s="72">
        <f t="shared" si="92"/>
        <v>1.6561650120027326E-2</v>
      </c>
      <c r="O196" s="73">
        <f t="shared" si="93"/>
        <v>-5.424985711122968E-3</v>
      </c>
      <c r="P196" s="74">
        <f t="shared" si="94"/>
        <v>1.0000118090763777</v>
      </c>
      <c r="Q196" s="74">
        <f t="shared" si="95"/>
        <v>-5.4250497751935781E-3</v>
      </c>
      <c r="R196" s="75">
        <v>1</v>
      </c>
      <c r="S196" s="75">
        <v>1</v>
      </c>
      <c r="T196" s="75">
        <v>18</v>
      </c>
      <c r="U196" s="67">
        <v>59176746.32</v>
      </c>
      <c r="V196" s="67">
        <v>94706814</v>
      </c>
      <c r="W196" s="34"/>
    </row>
    <row r="197" spans="1:23">
      <c r="A197" s="101">
        <v>175</v>
      </c>
      <c r="B197" s="91" t="s">
        <v>273</v>
      </c>
      <c r="C197" s="75" t="s">
        <v>40</v>
      </c>
      <c r="D197" s="71">
        <v>35934655632.839996</v>
      </c>
      <c r="E197" s="71">
        <v>15827549.039999999</v>
      </c>
      <c r="F197" s="71">
        <v>0</v>
      </c>
      <c r="G197" s="67">
        <v>9811158.8300000001</v>
      </c>
      <c r="H197" s="68">
        <f t="shared" si="96"/>
        <v>6016390.209999999</v>
      </c>
      <c r="I197" s="67">
        <v>3123371287.79</v>
      </c>
      <c r="J197" s="70">
        <f t="shared" si="89"/>
        <v>1.9798061113616306E-2</v>
      </c>
      <c r="K197" s="67">
        <v>3404747593.1999998</v>
      </c>
      <c r="L197" s="70">
        <f t="shared" si="90"/>
        <v>1.7209579178864374E-2</v>
      </c>
      <c r="M197" s="70">
        <f t="shared" si="91"/>
        <v>9.0087370179128767E-2</v>
      </c>
      <c r="N197" s="72">
        <f t="shared" si="92"/>
        <v>2.8816112094755442E-3</v>
      </c>
      <c r="O197" s="73">
        <f t="shared" si="93"/>
        <v>1.7670590977187271E-3</v>
      </c>
      <c r="P197" s="74">
        <f t="shared" si="94"/>
        <v>4564.3107355720895</v>
      </c>
      <c r="Q197" s="74">
        <f t="shared" si="95"/>
        <v>8.0654068101079144</v>
      </c>
      <c r="R197" s="75">
        <v>552.20000000000005</v>
      </c>
      <c r="S197" s="75">
        <v>552.20000000000005</v>
      </c>
      <c r="T197" s="75">
        <v>830</v>
      </c>
      <c r="U197" s="75">
        <v>745950</v>
      </c>
      <c r="V197" s="75">
        <v>745950</v>
      </c>
      <c r="W197" s="35"/>
    </row>
    <row r="198" spans="1:23">
      <c r="A198" s="101">
        <v>176</v>
      </c>
      <c r="B198" s="91" t="s">
        <v>274</v>
      </c>
      <c r="C198" s="75" t="s">
        <v>119</v>
      </c>
      <c r="D198" s="71">
        <v>68744383.609999999</v>
      </c>
      <c r="E198" s="71">
        <v>688967.11</v>
      </c>
      <c r="F198" s="71">
        <v>33286684.300000001</v>
      </c>
      <c r="G198" s="67">
        <v>55530.37</v>
      </c>
      <c r="H198" s="68">
        <f t="shared" si="96"/>
        <v>33920121.039999999</v>
      </c>
      <c r="I198" s="67">
        <v>82170831.269999996</v>
      </c>
      <c r="J198" s="70">
        <f t="shared" si="89"/>
        <v>5.2085486781534797E-4</v>
      </c>
      <c r="K198" s="67">
        <v>67542471.950000003</v>
      </c>
      <c r="L198" s="70">
        <f t="shared" si="90"/>
        <v>3.4139902801642755E-4</v>
      </c>
      <c r="M198" s="70">
        <f t="shared" si="91"/>
        <v>-0.17802374752585357</v>
      </c>
      <c r="N198" s="72">
        <f t="shared" si="92"/>
        <v>8.2215483675379458E-4</v>
      </c>
      <c r="O198" s="73">
        <f t="shared" si="93"/>
        <v>0.50220431767895934</v>
      </c>
      <c r="P198" s="74">
        <f t="shared" si="94"/>
        <v>3.0447607025111929</v>
      </c>
      <c r="Q198" s="74">
        <f t="shared" si="95"/>
        <v>1.5290919711003423</v>
      </c>
      <c r="R198" s="75">
        <v>3.93</v>
      </c>
      <c r="S198" s="75">
        <v>3.93</v>
      </c>
      <c r="T198" s="75">
        <v>12</v>
      </c>
      <c r="U198" s="67">
        <v>26474155.210000001</v>
      </c>
      <c r="V198" s="67">
        <v>22183179.09</v>
      </c>
      <c r="W198" s="34"/>
    </row>
    <row r="199" spans="1:23">
      <c r="A199" s="101">
        <v>177</v>
      </c>
      <c r="B199" s="75" t="s">
        <v>275</v>
      </c>
      <c r="C199" s="75" t="s">
        <v>50</v>
      </c>
      <c r="D199" s="71">
        <v>700581298.34000003</v>
      </c>
      <c r="E199" s="71">
        <v>11656197.58</v>
      </c>
      <c r="F199" s="71">
        <v>306455920.93000001</v>
      </c>
      <c r="G199" s="67">
        <v>881091.62</v>
      </c>
      <c r="H199" s="68">
        <f t="shared" si="96"/>
        <v>317231026.88999999</v>
      </c>
      <c r="I199" s="67">
        <v>704387241.60000002</v>
      </c>
      <c r="J199" s="70">
        <f t="shared" si="89"/>
        <v>4.4648875756029046E-3</v>
      </c>
      <c r="K199" s="67">
        <v>738390592.53999996</v>
      </c>
      <c r="L199" s="70">
        <f t="shared" si="90"/>
        <v>3.7322565093004414E-3</v>
      </c>
      <c r="M199" s="70">
        <f t="shared" si="91"/>
        <v>4.8273661037303968E-2</v>
      </c>
      <c r="N199" s="72">
        <f t="shared" si="92"/>
        <v>1.1932595416324588E-3</v>
      </c>
      <c r="O199" s="73">
        <f t="shared" si="93"/>
        <v>0.42962495743445567</v>
      </c>
      <c r="P199" s="74">
        <f t="shared" si="94"/>
        <v>4.9387381232060772</v>
      </c>
      <c r="Q199" s="74">
        <f t="shared" si="95"/>
        <v>2.1218051559623343</v>
      </c>
      <c r="R199" s="75">
        <v>4.46</v>
      </c>
      <c r="S199" s="75">
        <v>4.5</v>
      </c>
      <c r="T199" s="75">
        <v>156</v>
      </c>
      <c r="U199" s="67">
        <v>144938279</v>
      </c>
      <c r="V199" s="67">
        <v>149509970.78999999</v>
      </c>
      <c r="W199" s="34"/>
    </row>
    <row r="200" spans="1:23">
      <c r="A200" s="101">
        <v>178</v>
      </c>
      <c r="B200" s="75" t="s">
        <v>276</v>
      </c>
      <c r="C200" s="75" t="s">
        <v>131</v>
      </c>
      <c r="D200" s="71">
        <v>309795086.50999999</v>
      </c>
      <c r="E200" s="71">
        <v>2534650.17</v>
      </c>
      <c r="F200" s="71">
        <v>-1352420.78</v>
      </c>
      <c r="G200" s="67">
        <v>492229.43</v>
      </c>
      <c r="H200" s="68">
        <f t="shared" ref="H200" si="98">(E200+F200)-G200</f>
        <v>689999.96</v>
      </c>
      <c r="I200" s="67">
        <v>324826599.72000003</v>
      </c>
      <c r="J200" s="70">
        <f t="shared" si="89"/>
        <v>2.0589729110095877E-3</v>
      </c>
      <c r="K200" s="67">
        <v>342155579.05000001</v>
      </c>
      <c r="L200" s="70">
        <f t="shared" si="90"/>
        <v>1.7294537606580439E-3</v>
      </c>
      <c r="M200" s="70">
        <f t="shared" si="91"/>
        <v>5.3348399869153372E-2</v>
      </c>
      <c r="N200" s="72">
        <f t="shared" si="92"/>
        <v>1.4386129005018191E-3</v>
      </c>
      <c r="O200" s="73">
        <f t="shared" si="93"/>
        <v>2.0166263601949586E-3</v>
      </c>
      <c r="P200" s="74">
        <f t="shared" si="94"/>
        <v>162.10924009402191</v>
      </c>
      <c r="Q200" s="74">
        <f t="shared" si="95"/>
        <v>0.32691376680477807</v>
      </c>
      <c r="R200" s="75">
        <v>161.46</v>
      </c>
      <c r="S200" s="75">
        <v>162.55000000000001</v>
      </c>
      <c r="T200" s="75">
        <v>127</v>
      </c>
      <c r="U200" s="67">
        <v>2040752.44</v>
      </c>
      <c r="V200" s="67">
        <v>2110648.2200000002</v>
      </c>
      <c r="W200" s="34"/>
    </row>
    <row r="201" spans="1:23">
      <c r="A201" s="101">
        <v>179</v>
      </c>
      <c r="B201" s="91" t="s">
        <v>277</v>
      </c>
      <c r="C201" s="91" t="s">
        <v>56</v>
      </c>
      <c r="D201" s="71">
        <v>14873616423.99</v>
      </c>
      <c r="E201" s="71">
        <v>281622908.56999999</v>
      </c>
      <c r="F201" s="71">
        <v>176684793.59999999</v>
      </c>
      <c r="G201" s="67">
        <v>27391091.539999999</v>
      </c>
      <c r="H201" s="68">
        <f t="shared" si="96"/>
        <v>430916610.63</v>
      </c>
      <c r="I201" s="67">
        <v>14706676589.32</v>
      </c>
      <c r="J201" s="70">
        <f t="shared" si="89"/>
        <v>9.3220963844988763E-2</v>
      </c>
      <c r="K201" s="67">
        <v>15124893017.879999</v>
      </c>
      <c r="L201" s="70">
        <f t="shared" si="90"/>
        <v>7.6450026569640284E-2</v>
      </c>
      <c r="M201" s="70">
        <f t="shared" si="91"/>
        <v>2.8437181304694532E-2</v>
      </c>
      <c r="N201" s="72">
        <f t="shared" si="92"/>
        <v>1.8109940683626276E-3</v>
      </c>
      <c r="O201" s="73">
        <f t="shared" si="93"/>
        <v>2.8490555941161955E-2</v>
      </c>
      <c r="P201" s="74">
        <f t="shared" si="94"/>
        <v>13984.698456867989</v>
      </c>
      <c r="Q201" s="74">
        <f t="shared" si="95"/>
        <v>398.43183370567874</v>
      </c>
      <c r="R201" s="67">
        <v>13907.23</v>
      </c>
      <c r="S201" s="67">
        <v>14037.79</v>
      </c>
      <c r="T201" s="67">
        <v>10301</v>
      </c>
      <c r="U201" s="67">
        <v>1089383.17</v>
      </c>
      <c r="V201" s="67">
        <v>1081531.58</v>
      </c>
      <c r="W201" s="34"/>
    </row>
    <row r="202" spans="1:23">
      <c r="A202" s="101">
        <v>180</v>
      </c>
      <c r="B202" s="91" t="s">
        <v>278</v>
      </c>
      <c r="C202" s="91" t="s">
        <v>135</v>
      </c>
      <c r="D202" s="102">
        <v>360954216.56999999</v>
      </c>
      <c r="E202" s="75">
        <v>15248606.01</v>
      </c>
      <c r="F202" s="75">
        <v>55232234.497100003</v>
      </c>
      <c r="G202" s="75">
        <v>3651499.12</v>
      </c>
      <c r="H202" s="68">
        <f t="shared" si="96"/>
        <v>66829341.387100004</v>
      </c>
      <c r="I202" s="75">
        <v>370037313.08999997</v>
      </c>
      <c r="J202" s="70">
        <f t="shared" si="89"/>
        <v>2.3455493003708356E-3</v>
      </c>
      <c r="K202" s="75">
        <v>373826014.46899998</v>
      </c>
      <c r="L202" s="70">
        <f t="shared" si="90"/>
        <v>1.8895346039666464E-3</v>
      </c>
      <c r="M202" s="70">
        <f t="shared" si="91"/>
        <v>1.0238700922786469E-2</v>
      </c>
      <c r="N202" s="72">
        <f t="shared" si="92"/>
        <v>9.7679106821572086E-3</v>
      </c>
      <c r="O202" s="73">
        <f t="shared" si="93"/>
        <v>0.17877124330693661</v>
      </c>
      <c r="P202" s="74">
        <f t="shared" si="94"/>
        <v>2002.282563624957</v>
      </c>
      <c r="Q202" s="74">
        <f t="shared" si="95"/>
        <v>357.95054335103396</v>
      </c>
      <c r="R202" s="75">
        <v>1984.33</v>
      </c>
      <c r="S202" s="75">
        <v>2013.82</v>
      </c>
      <c r="T202" s="75">
        <v>194</v>
      </c>
      <c r="U202" s="80">
        <v>189645.41</v>
      </c>
      <c r="V202" s="81">
        <v>186699.93</v>
      </c>
      <c r="W202" s="40"/>
    </row>
    <row r="203" spans="1:23">
      <c r="A203" s="109">
        <v>181</v>
      </c>
      <c r="B203" s="111" t="s">
        <v>279</v>
      </c>
      <c r="C203" s="91" t="s">
        <v>108</v>
      </c>
      <c r="D203" s="69">
        <v>819164290.83000004</v>
      </c>
      <c r="E203" s="69">
        <v>12883408.99</v>
      </c>
      <c r="F203" s="69">
        <v>0</v>
      </c>
      <c r="G203" s="75">
        <v>1339432.79</v>
      </c>
      <c r="H203" s="68">
        <f t="shared" si="96"/>
        <v>11543976.199999999</v>
      </c>
      <c r="I203" s="75">
        <v>817809800.34000003</v>
      </c>
      <c r="J203" s="70">
        <f t="shared" si="89"/>
        <v>5.1838372433467396E-3</v>
      </c>
      <c r="K203" s="75">
        <v>817800704.00999999</v>
      </c>
      <c r="L203" s="70">
        <f t="shared" si="90"/>
        <v>4.1336415058490341E-3</v>
      </c>
      <c r="M203" s="70">
        <f t="shared" si="91"/>
        <v>-1.1122794072975361E-5</v>
      </c>
      <c r="N203" s="72">
        <f t="shared" si="92"/>
        <v>1.6378474406199845E-3</v>
      </c>
      <c r="O203" s="73">
        <f t="shared" si="93"/>
        <v>1.4115879508779244E-2</v>
      </c>
      <c r="P203" s="74">
        <f t="shared" si="94"/>
        <v>1.5494518833080713</v>
      </c>
      <c r="Q203" s="74">
        <f t="shared" si="95"/>
        <v>2.1871876089427811E-2</v>
      </c>
      <c r="R203" s="75">
        <v>1.7</v>
      </c>
      <c r="S203" s="75">
        <v>1.7</v>
      </c>
      <c r="T203" s="75">
        <v>44</v>
      </c>
      <c r="U203" s="75">
        <v>528000000</v>
      </c>
      <c r="V203" s="75">
        <v>527800000</v>
      </c>
      <c r="W203" s="35"/>
    </row>
    <row r="204" spans="1:23">
      <c r="A204" s="101">
        <v>182</v>
      </c>
      <c r="B204" s="91" t="s">
        <v>280</v>
      </c>
      <c r="C204" s="91" t="s">
        <v>59</v>
      </c>
      <c r="D204" s="69">
        <v>46657230214.007896</v>
      </c>
      <c r="E204" s="69">
        <v>180535273.34</v>
      </c>
      <c r="F204" s="69">
        <v>927089886.62</v>
      </c>
      <c r="G204" s="75">
        <v>51440551.469999999</v>
      </c>
      <c r="H204" s="68">
        <f t="shared" si="96"/>
        <v>1056184608.49</v>
      </c>
      <c r="I204" s="75">
        <v>12631536539.1241</v>
      </c>
      <c r="J204" s="70">
        <f t="shared" si="89"/>
        <v>8.006730846828175E-2</v>
      </c>
      <c r="K204" s="75">
        <v>48434715403.207901</v>
      </c>
      <c r="L204" s="70">
        <f t="shared" si="90"/>
        <v>0.24481728730847063</v>
      </c>
      <c r="M204" s="70">
        <f t="shared" si="91"/>
        <v>2.8344278428193883</v>
      </c>
      <c r="N204" s="72">
        <f t="shared" si="92"/>
        <v>1.0620595381178397E-3</v>
      </c>
      <c r="O204" s="73">
        <f t="shared" si="93"/>
        <v>2.1806355208191176E-2</v>
      </c>
      <c r="P204" s="74">
        <f t="shared" si="94"/>
        <v>2.9661370637519955</v>
      </c>
      <c r="Q204" s="74">
        <f t="shared" si="95"/>
        <v>6.4680638408357208E-2</v>
      </c>
      <c r="R204" s="75">
        <v>2.9661370637519999</v>
      </c>
      <c r="S204" s="75">
        <v>2.9661370637519999</v>
      </c>
      <c r="T204" s="75">
        <v>2145</v>
      </c>
      <c r="U204" s="75">
        <v>4430477573.46</v>
      </c>
      <c r="V204" s="75">
        <v>16329223620.549999</v>
      </c>
      <c r="W204" s="35"/>
    </row>
    <row r="205" spans="1:23">
      <c r="A205" s="101">
        <v>183</v>
      </c>
      <c r="B205" s="91" t="s">
        <v>281</v>
      </c>
      <c r="C205" s="91" t="s">
        <v>59</v>
      </c>
      <c r="D205" s="69">
        <v>3642146371.2399998</v>
      </c>
      <c r="E205" s="69">
        <v>29280326.710000001</v>
      </c>
      <c r="F205" s="69">
        <v>194771364.68000001</v>
      </c>
      <c r="G205" s="75">
        <v>8222982</v>
      </c>
      <c r="H205" s="68">
        <f t="shared" si="96"/>
        <v>215828709.38999999</v>
      </c>
      <c r="I205" s="75">
        <v>5132430323.6000004</v>
      </c>
      <c r="J205" s="70">
        <f t="shared" si="89"/>
        <v>3.2532849874504645E-2</v>
      </c>
      <c r="K205" s="75">
        <v>5637530949.7399998</v>
      </c>
      <c r="L205" s="70">
        <f t="shared" si="90"/>
        <v>2.8495367893531229E-2</v>
      </c>
      <c r="M205" s="70">
        <f t="shared" si="91"/>
        <v>9.8413537894014816E-2</v>
      </c>
      <c r="N205" s="72">
        <f t="shared" si="92"/>
        <v>1.4586140765008554E-3</v>
      </c>
      <c r="O205" s="73">
        <f t="shared" si="93"/>
        <v>3.8284261552471638E-2</v>
      </c>
      <c r="P205" s="74">
        <f t="shared" si="94"/>
        <v>2.3044155934580859</v>
      </c>
      <c r="Q205" s="74">
        <f t="shared" si="95"/>
        <v>8.8222849305543513E-2</v>
      </c>
      <c r="R205" s="75">
        <v>2.3044155934580899</v>
      </c>
      <c r="S205" s="75">
        <v>2.3044155934580899</v>
      </c>
      <c r="T205" s="75">
        <v>985</v>
      </c>
      <c r="U205" s="75">
        <v>2309195107.9200001</v>
      </c>
      <c r="V205" s="75">
        <v>2446403750.1500001</v>
      </c>
      <c r="W205" s="35"/>
    </row>
    <row r="206" spans="1:23">
      <c r="A206" s="101">
        <v>184</v>
      </c>
      <c r="B206" s="113" t="s">
        <v>282</v>
      </c>
      <c r="C206" s="91" t="s">
        <v>140</v>
      </c>
      <c r="D206" s="71">
        <v>12450295723.030001</v>
      </c>
      <c r="E206" s="71">
        <v>86441113.859999999</v>
      </c>
      <c r="F206" s="71">
        <v>349929267.80000001</v>
      </c>
      <c r="G206" s="67">
        <v>20639922.84</v>
      </c>
      <c r="H206" s="68">
        <f t="shared" si="96"/>
        <v>415730458.81999999</v>
      </c>
      <c r="I206" s="67">
        <v>12431694875.219999</v>
      </c>
      <c r="J206" s="70">
        <f t="shared" si="89"/>
        <v>7.8800575470355128E-2</v>
      </c>
      <c r="K206" s="67">
        <v>12847425334.059999</v>
      </c>
      <c r="L206" s="70">
        <f t="shared" si="90"/>
        <v>6.4938377215578214E-2</v>
      </c>
      <c r="M206" s="70">
        <f t="shared" si="91"/>
        <v>3.3441172986691657E-2</v>
      </c>
      <c r="N206" s="72">
        <f t="shared" si="92"/>
        <v>1.6065415679265475E-3</v>
      </c>
      <c r="O206" s="73">
        <f t="shared" si="93"/>
        <v>3.2359048448240509E-2</v>
      </c>
      <c r="P206" s="74">
        <f t="shared" si="94"/>
        <v>875.81603190785233</v>
      </c>
      <c r="Q206" s="74">
        <f t="shared" si="95"/>
        <v>28.340573408251945</v>
      </c>
      <c r="R206" s="75">
        <v>869.62</v>
      </c>
      <c r="S206" s="75">
        <v>878.99</v>
      </c>
      <c r="T206" s="67">
        <v>42</v>
      </c>
      <c r="U206" s="67">
        <v>14669091.300000001</v>
      </c>
      <c r="V206" s="67">
        <v>14669091.300000001</v>
      </c>
      <c r="W206" s="34"/>
    </row>
    <row r="207" spans="1:23">
      <c r="A207" s="101">
        <v>185</v>
      </c>
      <c r="B207" s="91" t="s">
        <v>283</v>
      </c>
      <c r="C207" s="91" t="s">
        <v>145</v>
      </c>
      <c r="D207" s="71">
        <v>7983623891.4700003</v>
      </c>
      <c r="E207" s="71">
        <v>47114641.109999999</v>
      </c>
      <c r="F207" s="71">
        <v>80206366.900000006</v>
      </c>
      <c r="G207" s="71">
        <v>68279312.189999998</v>
      </c>
      <c r="H207" s="68">
        <f t="shared" si="96"/>
        <v>59041695.82</v>
      </c>
      <c r="I207" s="67">
        <v>7950842756.8199997</v>
      </c>
      <c r="J207" s="70">
        <f t="shared" si="89"/>
        <v>5.0397873419543153E-2</v>
      </c>
      <c r="K207" s="67">
        <v>8042660510.9799995</v>
      </c>
      <c r="L207" s="70">
        <f t="shared" si="90"/>
        <v>4.0652294798261025E-2</v>
      </c>
      <c r="M207" s="70">
        <f t="shared" si="91"/>
        <v>1.1548178849498849E-2</v>
      </c>
      <c r="N207" s="72">
        <f t="shared" si="92"/>
        <v>8.4896424630610395E-3</v>
      </c>
      <c r="O207" s="73">
        <f t="shared" si="93"/>
        <v>7.3410652780128054E-3</v>
      </c>
      <c r="P207" s="74">
        <f t="shared" si="94"/>
        <v>46.540072537972335</v>
      </c>
      <c r="Q207" s="74">
        <f t="shared" si="95"/>
        <v>0.341653710544706</v>
      </c>
      <c r="R207" s="75">
        <v>46.540199999999999</v>
      </c>
      <c r="S207" s="75">
        <v>47.089500000000001</v>
      </c>
      <c r="T207" s="75">
        <v>6338</v>
      </c>
      <c r="U207" s="190">
        <v>173685233.13</v>
      </c>
      <c r="V207" s="190">
        <v>172811516.44999999</v>
      </c>
      <c r="W207" s="44"/>
    </row>
    <row r="208" spans="1:23" ht="15" customHeight="1">
      <c r="A208" s="175" t="s">
        <v>64</v>
      </c>
      <c r="B208" s="175"/>
      <c r="C208" s="175"/>
      <c r="D208" s="175"/>
      <c r="E208" s="175"/>
      <c r="F208" s="175"/>
      <c r="G208" s="175"/>
      <c r="H208" s="175"/>
      <c r="I208" s="85">
        <f>SUM(I177:I207)</f>
        <v>157761473200.11411</v>
      </c>
      <c r="J208" s="83">
        <f>(I208/$I$269)</f>
        <v>1.6427150151125842E-2</v>
      </c>
      <c r="K208" s="85">
        <f>SUM(K177:K207)</f>
        <v>197840258487.05688</v>
      </c>
      <c r="L208" s="83">
        <f>(K208/$K$269)</f>
        <v>2.0222742327761754E-2</v>
      </c>
      <c r="M208" s="83">
        <f t="shared" si="84"/>
        <v>0.25404672303043496</v>
      </c>
      <c r="N208" s="72"/>
      <c r="O208" s="72"/>
      <c r="P208" s="84"/>
      <c r="Q208" s="84"/>
      <c r="R208" s="85"/>
      <c r="S208" s="85"/>
      <c r="T208" s="85">
        <f>SUM(T177:T207)</f>
        <v>107852</v>
      </c>
      <c r="U208" s="85"/>
      <c r="V208" s="114"/>
      <c r="W208" s="45"/>
    </row>
    <row r="209" spans="1:23" ht="6" customHeight="1">
      <c r="A209" s="181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41"/>
    </row>
    <row r="210" spans="1:23">
      <c r="A210" s="174" t="s">
        <v>284</v>
      </c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24"/>
    </row>
    <row r="211" spans="1:23">
      <c r="A211" s="101">
        <v>186</v>
      </c>
      <c r="B211" s="75" t="s">
        <v>285</v>
      </c>
      <c r="C211" s="91" t="s">
        <v>286</v>
      </c>
      <c r="D211" s="75">
        <v>500109318.38999999</v>
      </c>
      <c r="E211" s="67">
        <v>9093996.7400000002</v>
      </c>
      <c r="F211" s="91">
        <v>0</v>
      </c>
      <c r="G211" s="67">
        <v>1685510.16</v>
      </c>
      <c r="H211" s="68">
        <f>(E211+F211)-G211</f>
        <v>7408486.5800000001</v>
      </c>
      <c r="I211" s="67">
        <v>635663379.21000004</v>
      </c>
      <c r="J211" s="70">
        <f t="shared" ref="J211:J213" si="99">(I211/$I$214)</f>
        <v>3.2334271026688829E-2</v>
      </c>
      <c r="K211" s="67">
        <v>635663379.21000004</v>
      </c>
      <c r="L211" s="70">
        <f t="shared" ref="L211:L213" si="100">(K211/$K$214)</f>
        <v>3.2334271026688829E-2</v>
      </c>
      <c r="M211" s="70">
        <f t="shared" ref="M211" si="101">((K211-I211)/I211)</f>
        <v>0</v>
      </c>
      <c r="N211" s="72">
        <f t="shared" ref="N211" si="102">(G211/K211)</f>
        <v>2.6515766286469818E-3</v>
      </c>
      <c r="O211" s="73">
        <f t="shared" ref="O211" si="103">H211/K211</f>
        <v>1.1654732398155827E-2</v>
      </c>
      <c r="P211" s="74">
        <f t="shared" ref="P211" si="104">K211/V211</f>
        <v>1099.5448642744091</v>
      </c>
      <c r="Q211" s="74">
        <f t="shared" ref="Q211" si="105">H211/V211</f>
        <v>12.814901152884801</v>
      </c>
      <c r="R211" s="67">
        <v>1111.97</v>
      </c>
      <c r="S211" s="67">
        <v>1111.97</v>
      </c>
      <c r="T211" s="75">
        <v>35</v>
      </c>
      <c r="U211" s="67">
        <v>578598</v>
      </c>
      <c r="V211" s="67">
        <v>578115</v>
      </c>
      <c r="W211" s="34"/>
    </row>
    <row r="212" spans="1:23">
      <c r="A212" s="101">
        <v>187</v>
      </c>
      <c r="B212" s="75" t="s">
        <v>287</v>
      </c>
      <c r="C212" s="91" t="s">
        <v>56</v>
      </c>
      <c r="D212" s="67">
        <v>17814289590.799999</v>
      </c>
      <c r="E212" s="67">
        <v>27805114.91</v>
      </c>
      <c r="F212" s="115">
        <v>554661866.64999998</v>
      </c>
      <c r="G212" s="67">
        <v>53487289.700000003</v>
      </c>
      <c r="H212" s="68">
        <f>(E212+F212)-G212</f>
        <v>528979691.86000001</v>
      </c>
      <c r="I212" s="67">
        <v>17051730251.360001</v>
      </c>
      <c r="J212" s="70">
        <f t="shared" si="99"/>
        <v>0.86736987760201822</v>
      </c>
      <c r="K212" s="67">
        <v>17051730251.360001</v>
      </c>
      <c r="L212" s="70">
        <f t="shared" si="100"/>
        <v>0.86736987760201822</v>
      </c>
      <c r="M212" s="70">
        <f t="shared" ref="M212:M213" si="106">((K212-I212)/I212)</f>
        <v>0</v>
      </c>
      <c r="N212" s="72">
        <f t="shared" ref="N212:N213" si="107">(G212/K212)</f>
        <v>3.1367661176632793E-3</v>
      </c>
      <c r="O212" s="73">
        <f t="shared" ref="O212:O213" si="108">H212/K212</f>
        <v>3.1022053719024202E-2</v>
      </c>
      <c r="P212" s="74">
        <f t="shared" ref="P212:P213" si="109">K212/V212</f>
        <v>6.6356920894397327</v>
      </c>
      <c r="Q212" s="74">
        <f t="shared" ref="Q212:Q213" si="110">H212/V212</f>
        <v>0.20585279646150334</v>
      </c>
      <c r="R212" s="75">
        <v>6.97</v>
      </c>
      <c r="S212" s="75">
        <v>7.08</v>
      </c>
      <c r="T212" s="67">
        <v>18424</v>
      </c>
      <c r="U212" s="67">
        <v>2505002616.5599999</v>
      </c>
      <c r="V212" s="67">
        <v>2569698837.9699998</v>
      </c>
      <c r="W212" s="34"/>
    </row>
    <row r="213" spans="1:23">
      <c r="A213" s="101">
        <v>188</v>
      </c>
      <c r="B213" s="75" t="s">
        <v>288</v>
      </c>
      <c r="C213" s="91" t="s">
        <v>145</v>
      </c>
      <c r="D213" s="71">
        <v>1970557119.01</v>
      </c>
      <c r="E213" s="71">
        <v>14530643.77</v>
      </c>
      <c r="F213" s="71">
        <v>13736498.4</v>
      </c>
      <c r="G213" s="71">
        <v>13235539.91</v>
      </c>
      <c r="H213" s="68">
        <f>(E213+F213)-G213</f>
        <v>15031602.26</v>
      </c>
      <c r="I213" s="67">
        <v>1971728379.1800001</v>
      </c>
      <c r="J213" s="70">
        <f t="shared" si="99"/>
        <v>0.10029585137129296</v>
      </c>
      <c r="K213" s="67">
        <v>1971728379.1800001</v>
      </c>
      <c r="L213" s="70">
        <f t="shared" si="100"/>
        <v>0.10029585137129296</v>
      </c>
      <c r="M213" s="70">
        <f t="shared" si="106"/>
        <v>0</v>
      </c>
      <c r="N213" s="72">
        <f t="shared" si="107"/>
        <v>6.7126588275330194E-3</v>
      </c>
      <c r="O213" s="73">
        <f t="shared" si="108"/>
        <v>7.62356641955487E-3</v>
      </c>
      <c r="P213" s="74">
        <f t="shared" si="109"/>
        <v>54.008924840757054</v>
      </c>
      <c r="Q213" s="74">
        <f t="shared" si="110"/>
        <v>0.41174062577225834</v>
      </c>
      <c r="R213" s="75">
        <v>54.432400000000001</v>
      </c>
      <c r="S213" s="75">
        <v>54.958599999999997</v>
      </c>
      <c r="T213" s="75">
        <v>1568</v>
      </c>
      <c r="U213" s="190">
        <v>36750157.770000003</v>
      </c>
      <c r="V213" s="190">
        <v>36507454.740000002</v>
      </c>
      <c r="W213" s="36"/>
    </row>
    <row r="214" spans="1:23" ht="15" customHeight="1">
      <c r="A214" s="175" t="s">
        <v>64</v>
      </c>
      <c r="B214" s="175"/>
      <c r="C214" s="175"/>
      <c r="D214" s="175"/>
      <c r="E214" s="175"/>
      <c r="F214" s="175"/>
      <c r="G214" s="175"/>
      <c r="H214" s="175"/>
      <c r="I214" s="85">
        <f>SUM(I211:I213)</f>
        <v>19659122009.75</v>
      </c>
      <c r="J214" s="83">
        <f>(I214/$I$269)</f>
        <v>2.0470355818991712E-3</v>
      </c>
      <c r="K214" s="85">
        <f>SUM(K211:K213)</f>
        <v>19659122009.75</v>
      </c>
      <c r="L214" s="83">
        <f>(K214/$K$269)</f>
        <v>2.009506871015402E-3</v>
      </c>
      <c r="M214" s="83">
        <f t="shared" ref="M214" si="111">((K214-I214)/I214)</f>
        <v>0</v>
      </c>
      <c r="N214" s="72"/>
      <c r="O214" s="116"/>
      <c r="P214" s="84"/>
      <c r="Q214" s="84"/>
      <c r="R214" s="85"/>
      <c r="S214" s="85"/>
      <c r="T214" s="85">
        <f>SUM(T211:T213)</f>
        <v>20027</v>
      </c>
      <c r="U214" s="85"/>
      <c r="V214" s="114"/>
      <c r="W214" s="45"/>
    </row>
    <row r="215" spans="1:23" ht="4.95" customHeight="1">
      <c r="A215" s="180"/>
      <c r="B215" s="180"/>
      <c r="C215" s="180"/>
      <c r="D215" s="180"/>
      <c r="E215" s="180"/>
      <c r="F215" s="180"/>
      <c r="G215" s="180"/>
      <c r="H215" s="180"/>
      <c r="I215" s="180"/>
      <c r="J215" s="180"/>
      <c r="K215" s="180"/>
      <c r="L215" s="180"/>
      <c r="M215" s="180"/>
      <c r="N215" s="180"/>
      <c r="O215" s="180"/>
      <c r="P215" s="180"/>
      <c r="Q215" s="180"/>
      <c r="R215" s="180"/>
      <c r="S215" s="180"/>
      <c r="T215" s="180"/>
      <c r="U215" s="180"/>
      <c r="V215" s="180"/>
      <c r="W215" s="38"/>
    </row>
    <row r="216" spans="1:23">
      <c r="A216" s="174" t="s">
        <v>289</v>
      </c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24"/>
    </row>
    <row r="217" spans="1:23" ht="13.05" customHeight="1">
      <c r="A217" s="182" t="s">
        <v>290</v>
      </c>
      <c r="B217" s="182"/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46"/>
    </row>
    <row r="218" spans="1:23" ht="15" customHeight="1">
      <c r="A218" s="167">
        <v>189</v>
      </c>
      <c r="B218" s="76" t="s">
        <v>291</v>
      </c>
      <c r="C218" s="66" t="s">
        <v>292</v>
      </c>
      <c r="D218" s="117">
        <v>12517998380.299999</v>
      </c>
      <c r="E218" s="71">
        <v>-418813818.25999999</v>
      </c>
      <c r="F218" s="71">
        <v>-40115698.340000004</v>
      </c>
      <c r="G218" s="81">
        <v>50279260.990000002</v>
      </c>
      <c r="H218" s="68">
        <f>(E218+F218)-G218</f>
        <v>-509208777.58999997</v>
      </c>
      <c r="I218" s="71">
        <v>16933351528.58</v>
      </c>
      <c r="J218" s="70">
        <f>(I218/$I$243)</f>
        <v>0.11444319051712529</v>
      </c>
      <c r="K218" s="71">
        <v>16933351528.58</v>
      </c>
      <c r="L218" s="70">
        <f>(K218/$K$243)</f>
        <v>0.11200808368194191</v>
      </c>
      <c r="M218" s="70">
        <f>((K218-I218)/I218)</f>
        <v>0</v>
      </c>
      <c r="N218" s="72">
        <f>(G218/K218)</f>
        <v>2.9692445057399887E-3</v>
      </c>
      <c r="O218" s="73">
        <f>H218/K218</f>
        <v>-3.0071352191003698E-2</v>
      </c>
      <c r="P218" s="74">
        <f>K218/V218</f>
        <v>3.9137583926978157</v>
      </c>
      <c r="Q218" s="74">
        <f>H218/V218</f>
        <v>-0.117692007017313</v>
      </c>
      <c r="R218" s="69">
        <v>3.88</v>
      </c>
      <c r="S218" s="69">
        <v>3.95</v>
      </c>
      <c r="T218" s="71">
        <v>17423</v>
      </c>
      <c r="U218" s="67">
        <v>4435580466.7399998</v>
      </c>
      <c r="V218" s="67">
        <v>4326621582</v>
      </c>
      <c r="W218" s="34"/>
    </row>
    <row r="219" spans="1:23">
      <c r="A219" s="167">
        <v>190</v>
      </c>
      <c r="B219" s="66" t="s">
        <v>293</v>
      </c>
      <c r="C219" s="66" t="s">
        <v>56</v>
      </c>
      <c r="D219" s="81">
        <v>33548270051.029999</v>
      </c>
      <c r="E219" s="81">
        <v>311081805.69999999</v>
      </c>
      <c r="F219" s="81">
        <v>290066493.82999998</v>
      </c>
      <c r="G219" s="81">
        <v>61070604.68</v>
      </c>
      <c r="H219" s="68">
        <f>(E219+F219)-G219</f>
        <v>540077694.85000002</v>
      </c>
      <c r="I219" s="81">
        <v>33622561452.360001</v>
      </c>
      <c r="J219" s="70">
        <f>(I219/$I$243)</f>
        <v>0.22723636248097567</v>
      </c>
      <c r="K219" s="81">
        <v>33622561452.360001</v>
      </c>
      <c r="L219" s="70">
        <f>(K219/$K$243)</f>
        <v>0.22240125768374591</v>
      </c>
      <c r="M219" s="70">
        <f>((K219-I219)/I219)</f>
        <v>0</v>
      </c>
      <c r="N219" s="72">
        <f>(G219/K219)</f>
        <v>1.816357887144657E-3</v>
      </c>
      <c r="O219" s="73">
        <f>H219/K219</f>
        <v>1.6062955096839936E-2</v>
      </c>
      <c r="P219" s="74">
        <f>K219/V219</f>
        <v>1456.5071059320207</v>
      </c>
      <c r="Q219" s="74">
        <f>H219/V219</f>
        <v>23.395808240814336</v>
      </c>
      <c r="R219" s="81">
        <v>1480.24</v>
      </c>
      <c r="S219" s="81">
        <v>1500.15</v>
      </c>
      <c r="T219" s="81">
        <v>12445</v>
      </c>
      <c r="U219" s="81">
        <v>22943758.140000001</v>
      </c>
      <c r="V219" s="81">
        <v>23084378.59</v>
      </c>
      <c r="W219" s="40"/>
    </row>
    <row r="220" spans="1:23" ht="7.05" customHeight="1">
      <c r="A220" s="180"/>
      <c r="B220" s="180"/>
      <c r="C220" s="180"/>
      <c r="D220" s="180"/>
      <c r="E220" s="180"/>
      <c r="F220" s="180"/>
      <c r="G220" s="180"/>
      <c r="H220" s="180"/>
      <c r="I220" s="180"/>
      <c r="J220" s="180"/>
      <c r="K220" s="180"/>
      <c r="L220" s="180"/>
      <c r="M220" s="180"/>
      <c r="N220" s="180"/>
      <c r="O220" s="180"/>
      <c r="P220" s="180"/>
      <c r="Q220" s="180"/>
      <c r="R220" s="180"/>
      <c r="S220" s="180"/>
      <c r="T220" s="180"/>
      <c r="U220" s="180"/>
      <c r="V220" s="180"/>
      <c r="W220" s="38"/>
    </row>
    <row r="221" spans="1:23">
      <c r="A221" s="183" t="s">
        <v>219</v>
      </c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47"/>
    </row>
    <row r="222" spans="1:23">
      <c r="A222" s="118">
        <v>191</v>
      </c>
      <c r="B222" s="119" t="s">
        <v>294</v>
      </c>
      <c r="C222" s="120" t="s">
        <v>70</v>
      </c>
      <c r="D222" s="121">
        <v>531292588.23000002</v>
      </c>
      <c r="E222" s="121">
        <v>11714376.720000001</v>
      </c>
      <c r="F222" s="67">
        <v>0</v>
      </c>
      <c r="G222" s="121">
        <v>1531287.7</v>
      </c>
      <c r="H222" s="122">
        <f>(E222+F222)-G222</f>
        <v>10183089.020000001</v>
      </c>
      <c r="I222" s="122">
        <v>0</v>
      </c>
      <c r="J222" s="70">
        <f t="shared" ref="J222:J236" si="112">(I222/$I$243)</f>
        <v>0</v>
      </c>
      <c r="K222" s="121">
        <v>867324366</v>
      </c>
      <c r="L222" s="70">
        <f t="shared" ref="L222:L236" si="113">(K222/$K$243)</f>
        <v>5.7370414830372222E-3</v>
      </c>
      <c r="M222" s="70" t="e">
        <f t="shared" ref="M222:M243" si="114">((K222-I222)/I222)</f>
        <v>#DIV/0!</v>
      </c>
      <c r="N222" s="72">
        <f>(G222/K222)</f>
        <v>1.76553059043195E-3</v>
      </c>
      <c r="O222" s="73">
        <f>H222/K222</f>
        <v>1.1740808190323575E-2</v>
      </c>
      <c r="P222" s="74">
        <f>K222/V222</f>
        <v>1.04187321826576</v>
      </c>
      <c r="Q222" s="74">
        <f>H222/V222</f>
        <v>1.223243361429341E-2</v>
      </c>
      <c r="R222" s="122">
        <v>1.0425</v>
      </c>
      <c r="S222" s="122">
        <v>1.0425</v>
      </c>
      <c r="T222" s="122">
        <v>125</v>
      </c>
      <c r="U222" s="121">
        <v>474115636</v>
      </c>
      <c r="V222" s="121">
        <v>832466322</v>
      </c>
      <c r="W222" s="48"/>
    </row>
    <row r="223" spans="1:23">
      <c r="A223" s="118">
        <v>192</v>
      </c>
      <c r="B223" s="119" t="s">
        <v>295</v>
      </c>
      <c r="C223" s="120" t="s">
        <v>28</v>
      </c>
      <c r="D223" s="121">
        <v>957069127</v>
      </c>
      <c r="E223" s="121">
        <v>25645267</v>
      </c>
      <c r="F223" s="67">
        <v>1682150</v>
      </c>
      <c r="G223" s="121">
        <v>3739025</v>
      </c>
      <c r="H223" s="122">
        <f>(E223+F223)-G223</f>
        <v>23588392</v>
      </c>
      <c r="I223" s="121">
        <v>1874759792</v>
      </c>
      <c r="J223" s="70">
        <f t="shared" si="112"/>
        <v>1.2670468199256373E-2</v>
      </c>
      <c r="K223" s="121">
        <v>1910076694</v>
      </c>
      <c r="L223" s="70">
        <f t="shared" si="113"/>
        <v>1.2634476395259711E-2</v>
      </c>
      <c r="M223" s="70">
        <f t="shared" ref="M223:M236" si="115">((K223-I223)/I223)</f>
        <v>1.8838094432526639E-2</v>
      </c>
      <c r="N223" s="72">
        <f t="shared" ref="N223:N236" si="116">(G223/K223)</f>
        <v>1.9575261096819604E-3</v>
      </c>
      <c r="O223" s="73">
        <f t="shared" ref="O223:O236" si="117">H223/K223</f>
        <v>1.2349447576684583E-2</v>
      </c>
      <c r="P223" s="74">
        <f t="shared" ref="P223:P236" si="118">K223/V223</f>
        <v>1.2354468875901838</v>
      </c>
      <c r="Q223" s="74">
        <f t="shared" ref="Q223:Q236" si="119">H223/V223</f>
        <v>1.5257086572073107E-2</v>
      </c>
      <c r="R223" s="122">
        <v>1.2354000000000001</v>
      </c>
      <c r="S223" s="122">
        <v>1.2354000000000001</v>
      </c>
      <c r="T223" s="122">
        <v>989</v>
      </c>
      <c r="U223" s="121">
        <v>1536630988</v>
      </c>
      <c r="V223" s="121">
        <v>1546061359</v>
      </c>
      <c r="W223" s="48"/>
    </row>
    <row r="224" spans="1:23">
      <c r="A224" s="118">
        <v>193</v>
      </c>
      <c r="B224" s="119" t="s">
        <v>296</v>
      </c>
      <c r="C224" s="120" t="s">
        <v>297</v>
      </c>
      <c r="D224" s="122">
        <v>249193258.804896</v>
      </c>
      <c r="E224" s="122">
        <v>3001622.9915804998</v>
      </c>
      <c r="F224" s="75">
        <v>0</v>
      </c>
      <c r="G224" s="122">
        <v>2955684.6207999</v>
      </c>
      <c r="H224" s="122">
        <f>(E224+F224)-G224</f>
        <v>45938.370780599798</v>
      </c>
      <c r="I224" s="122">
        <v>278206605.72847497</v>
      </c>
      <c r="J224" s="70">
        <f t="shared" si="112"/>
        <v>1.8802451203336337E-3</v>
      </c>
      <c r="K224" s="122">
        <v>258257678.03262499</v>
      </c>
      <c r="L224" s="70">
        <f t="shared" si="113"/>
        <v>1.7082824722418099E-3</v>
      </c>
      <c r="M224" s="70">
        <f t="shared" si="115"/>
        <v>-7.170544223281243E-2</v>
      </c>
      <c r="N224" s="72">
        <f t="shared" si="116"/>
        <v>1.1444711511835541E-2</v>
      </c>
      <c r="O224" s="73">
        <f t="shared" si="117"/>
        <v>1.7787804463570113E-4</v>
      </c>
      <c r="P224" s="74">
        <f t="shared" si="118"/>
        <v>1050.0926055935151</v>
      </c>
      <c r="Q224" s="74">
        <f t="shared" si="119"/>
        <v>0.18678841936938298</v>
      </c>
      <c r="R224" s="122">
        <v>1050.0926055935199</v>
      </c>
      <c r="S224" s="122">
        <v>1050.0926055935199</v>
      </c>
      <c r="T224" s="122">
        <v>15</v>
      </c>
      <c r="U224" s="122">
        <v>245938.00266468601</v>
      </c>
      <c r="V224" s="122">
        <v>245938.00266468601</v>
      </c>
      <c r="W224" s="49"/>
    </row>
    <row r="225" spans="1:23" ht="15" customHeight="1">
      <c r="A225" s="118">
        <v>194</v>
      </c>
      <c r="B225" s="119" t="s">
        <v>298</v>
      </c>
      <c r="C225" s="120" t="s">
        <v>85</v>
      </c>
      <c r="D225" s="121">
        <v>133035781.97</v>
      </c>
      <c r="E225" s="121">
        <v>5456637.4800000004</v>
      </c>
      <c r="F225" s="75">
        <v>0</v>
      </c>
      <c r="G225" s="121">
        <v>734797.28</v>
      </c>
      <c r="H225" s="122">
        <f t="shared" ref="H225:H236" si="120">(E225+F225)-G225</f>
        <v>4721840.2</v>
      </c>
      <c r="I225" s="121">
        <v>386749063.25999999</v>
      </c>
      <c r="J225" s="70">
        <f t="shared" si="112"/>
        <v>2.613823769871005E-3</v>
      </c>
      <c r="K225" s="121">
        <v>396263790.19</v>
      </c>
      <c r="L225" s="70">
        <f t="shared" si="113"/>
        <v>2.621143705474531E-3</v>
      </c>
      <c r="M225" s="70">
        <f t="shared" si="115"/>
        <v>2.4601809891401177E-2</v>
      </c>
      <c r="N225" s="72">
        <f t="shared" si="116"/>
        <v>1.8543134603534693E-3</v>
      </c>
      <c r="O225" s="73">
        <f t="shared" si="117"/>
        <v>1.1915901268031527E-2</v>
      </c>
      <c r="P225" s="74">
        <f t="shared" si="118"/>
        <v>130.63354328146633</v>
      </c>
      <c r="Q225" s="74">
        <f t="shared" si="119"/>
        <v>1.5566164040350763</v>
      </c>
      <c r="R225" s="122">
        <v>130.9</v>
      </c>
      <c r="S225" s="122">
        <v>130.9</v>
      </c>
      <c r="T225" s="122">
        <v>94</v>
      </c>
      <c r="U225" s="121">
        <v>2979933</v>
      </c>
      <c r="V225" s="121">
        <v>3033400</v>
      </c>
      <c r="W225" s="48"/>
    </row>
    <row r="226" spans="1:23" ht="15" customHeight="1">
      <c r="A226" s="118">
        <v>195</v>
      </c>
      <c r="B226" s="119" t="s">
        <v>299</v>
      </c>
      <c r="C226" s="120" t="s">
        <v>300</v>
      </c>
      <c r="D226" s="121">
        <v>49650000</v>
      </c>
      <c r="E226" s="121">
        <v>778570.89</v>
      </c>
      <c r="F226" s="75">
        <v>0</v>
      </c>
      <c r="G226" s="121">
        <v>111617.92</v>
      </c>
      <c r="H226" s="122">
        <f t="shared" ref="H226" si="121">(E226+F226)-G226</f>
        <v>666952.97</v>
      </c>
      <c r="I226" s="121">
        <v>53455169.960000001</v>
      </c>
      <c r="J226" s="70">
        <f t="shared" si="112"/>
        <v>3.6127403305437681E-4</v>
      </c>
      <c r="K226" s="121">
        <v>54859690.009999998</v>
      </c>
      <c r="L226" s="70">
        <f t="shared" si="113"/>
        <v>3.6287729213171059E-4</v>
      </c>
      <c r="M226" s="70">
        <f t="shared" si="115"/>
        <v>2.6274727983298642E-2</v>
      </c>
      <c r="N226" s="72">
        <f t="shared" si="116"/>
        <v>2.0346071948210776E-3</v>
      </c>
      <c r="O226" s="73">
        <f t="shared" si="117"/>
        <v>1.2157432349297375E-2</v>
      </c>
      <c r="P226" s="74">
        <f t="shared" si="118"/>
        <v>107.65139668959291</v>
      </c>
      <c r="Q226" s="74">
        <f t="shared" si="119"/>
        <v>1.3087645725611012</v>
      </c>
      <c r="R226" s="122">
        <v>107.65</v>
      </c>
      <c r="S226" s="122">
        <v>107.65</v>
      </c>
      <c r="T226" s="122">
        <v>12</v>
      </c>
      <c r="U226" s="121">
        <v>509605</v>
      </c>
      <c r="V226" s="121">
        <v>509605</v>
      </c>
      <c r="W226" s="48"/>
    </row>
    <row r="227" spans="1:23" ht="15" customHeight="1">
      <c r="A227" s="118">
        <v>196</v>
      </c>
      <c r="B227" s="119" t="s">
        <v>301</v>
      </c>
      <c r="C227" s="120" t="s">
        <v>205</v>
      </c>
      <c r="D227" s="121">
        <v>149908762.5</v>
      </c>
      <c r="E227" s="121">
        <v>6526191.4199999999</v>
      </c>
      <c r="F227" s="75">
        <v>0</v>
      </c>
      <c r="G227" s="121">
        <v>827647.77</v>
      </c>
      <c r="H227" s="122">
        <f t="shared" si="120"/>
        <v>5698543.6500000004</v>
      </c>
      <c r="I227" s="121">
        <v>579820437.04999995</v>
      </c>
      <c r="J227" s="70">
        <f t="shared" si="112"/>
        <v>3.918686778045086E-3</v>
      </c>
      <c r="K227" s="121">
        <v>583004896.98000002</v>
      </c>
      <c r="L227" s="70">
        <f t="shared" si="113"/>
        <v>3.8563695543497533E-3</v>
      </c>
      <c r="M227" s="70">
        <f t="shared" si="115"/>
        <v>5.4921484765212917E-3</v>
      </c>
      <c r="N227" s="72">
        <f t="shared" si="116"/>
        <v>1.4196240448189452E-3</v>
      </c>
      <c r="O227" s="73">
        <f t="shared" si="117"/>
        <v>9.7744353083804181E-3</v>
      </c>
      <c r="P227" s="74">
        <f t="shared" si="118"/>
        <v>105.70976566535761</v>
      </c>
      <c r="Q227" s="74">
        <f t="shared" si="119"/>
        <v>1.0332532659600915</v>
      </c>
      <c r="R227" s="122">
        <v>101.29</v>
      </c>
      <c r="S227" s="122">
        <v>101.86</v>
      </c>
      <c r="T227" s="122">
        <v>37</v>
      </c>
      <c r="U227" s="121">
        <v>5531706</v>
      </c>
      <c r="V227" s="121">
        <v>5515147</v>
      </c>
      <c r="W227" s="48"/>
    </row>
    <row r="228" spans="1:23" ht="15" customHeight="1">
      <c r="A228" s="118">
        <v>197</v>
      </c>
      <c r="B228" s="66" t="s">
        <v>302</v>
      </c>
      <c r="C228" s="76" t="s">
        <v>93</v>
      </c>
      <c r="D228" s="92">
        <v>231738439.84999999</v>
      </c>
      <c r="E228" s="71">
        <v>5371123</v>
      </c>
      <c r="F228" s="69">
        <v>0</v>
      </c>
      <c r="G228" s="67">
        <v>913396</v>
      </c>
      <c r="H228" s="68">
        <f t="shared" si="120"/>
        <v>4457727</v>
      </c>
      <c r="I228" s="81">
        <v>405477679</v>
      </c>
      <c r="J228" s="70">
        <f t="shared" si="112"/>
        <v>2.7404001617705826E-3</v>
      </c>
      <c r="K228" s="81">
        <v>442699905</v>
      </c>
      <c r="L228" s="70">
        <f t="shared" si="113"/>
        <v>2.928302050632851E-3</v>
      </c>
      <c r="M228" s="70">
        <f t="shared" si="115"/>
        <v>9.1798458775334948E-2</v>
      </c>
      <c r="N228" s="72">
        <f t="shared" si="116"/>
        <v>2.0632396566699061E-3</v>
      </c>
      <c r="O228" s="73">
        <f t="shared" si="117"/>
        <v>1.0069410337912768E-2</v>
      </c>
      <c r="P228" s="74">
        <f t="shared" si="118"/>
        <v>1.4067325987753789</v>
      </c>
      <c r="Q228" s="74">
        <f t="shared" si="119"/>
        <v>1.4164967772787694E-2</v>
      </c>
      <c r="R228" s="75">
        <v>1.2742199999999999</v>
      </c>
      <c r="S228" s="75">
        <v>1.2742199999999999</v>
      </c>
      <c r="T228" s="75">
        <v>74</v>
      </c>
      <c r="U228" s="67">
        <v>294267198.88</v>
      </c>
      <c r="V228" s="67">
        <v>314700821.88</v>
      </c>
      <c r="W228" s="34"/>
    </row>
    <row r="229" spans="1:23" ht="15" customHeight="1">
      <c r="A229" s="118">
        <v>198</v>
      </c>
      <c r="B229" s="120" t="s">
        <v>303</v>
      </c>
      <c r="C229" s="66" t="s">
        <v>170</v>
      </c>
      <c r="D229" s="121">
        <v>5889838149.1899996</v>
      </c>
      <c r="E229" s="121">
        <v>72528329.420000002</v>
      </c>
      <c r="F229" s="75">
        <v>0</v>
      </c>
      <c r="G229" s="121">
        <v>9557578.6400000006</v>
      </c>
      <c r="H229" s="122">
        <f t="shared" si="120"/>
        <v>62970750.780000001</v>
      </c>
      <c r="I229" s="121">
        <v>6454988708.0100002</v>
      </c>
      <c r="J229" s="70">
        <f t="shared" si="112"/>
        <v>4.3625711144651906E-2</v>
      </c>
      <c r="K229" s="121">
        <v>5693754132.3500004</v>
      </c>
      <c r="L229" s="70">
        <f t="shared" si="113"/>
        <v>3.7662153782390746E-2</v>
      </c>
      <c r="M229" s="70">
        <f t="shared" si="115"/>
        <v>-0.11792965256707318</v>
      </c>
      <c r="N229" s="72">
        <f t="shared" si="116"/>
        <v>1.6786075439571663E-3</v>
      </c>
      <c r="O229" s="73">
        <f t="shared" si="117"/>
        <v>1.1059618894012533E-2</v>
      </c>
      <c r="P229" s="74">
        <f t="shared" si="118"/>
        <v>157.19138959130518</v>
      </c>
      <c r="Q229" s="74">
        <f t="shared" si="119"/>
        <v>1.7384768623000837</v>
      </c>
      <c r="R229" s="122">
        <v>157.19</v>
      </c>
      <c r="S229" s="122">
        <v>157.19</v>
      </c>
      <c r="T229" s="122">
        <v>2057</v>
      </c>
      <c r="U229" s="121">
        <v>41509987</v>
      </c>
      <c r="V229" s="121">
        <v>36221794</v>
      </c>
      <c r="W229" s="48"/>
    </row>
    <row r="230" spans="1:23" ht="15" customHeight="1">
      <c r="A230" s="118">
        <v>199</v>
      </c>
      <c r="B230" s="120" t="s">
        <v>304</v>
      </c>
      <c r="C230" s="120" t="s">
        <v>83</v>
      </c>
      <c r="D230" s="121">
        <v>1053952277.76</v>
      </c>
      <c r="E230" s="121">
        <v>14318882.84</v>
      </c>
      <c r="F230" s="75">
        <v>0</v>
      </c>
      <c r="G230" s="121">
        <v>1866242.18</v>
      </c>
      <c r="H230" s="122">
        <f t="shared" si="120"/>
        <v>12452640.66</v>
      </c>
      <c r="I230" s="121">
        <v>1042375388.6</v>
      </c>
      <c r="J230" s="70">
        <f t="shared" si="112"/>
        <v>7.044840768029339E-3</v>
      </c>
      <c r="K230" s="121">
        <v>1055888024.3</v>
      </c>
      <c r="L230" s="70">
        <f t="shared" si="113"/>
        <v>6.9843228604179602E-3</v>
      </c>
      <c r="M230" s="70">
        <f t="shared" si="115"/>
        <v>1.2963310384897482E-2</v>
      </c>
      <c r="N230" s="72">
        <f t="shared" si="116"/>
        <v>1.7674622091080382E-3</v>
      </c>
      <c r="O230" s="73">
        <f t="shared" si="117"/>
        <v>1.1793523909181059E-2</v>
      </c>
      <c r="P230" s="74">
        <f t="shared" si="118"/>
        <v>1455.6131712167075</v>
      </c>
      <c r="Q230" s="74">
        <f t="shared" si="119"/>
        <v>17.166808737263104</v>
      </c>
      <c r="R230" s="121">
        <v>1455.61</v>
      </c>
      <c r="S230" s="121">
        <v>1455.61</v>
      </c>
      <c r="T230" s="122">
        <v>342</v>
      </c>
      <c r="U230" s="121">
        <v>725162.09</v>
      </c>
      <c r="V230" s="121">
        <v>725390.54</v>
      </c>
      <c r="W230" s="48"/>
    </row>
    <row r="231" spans="1:23" ht="15" customHeight="1">
      <c r="A231" s="118">
        <v>200</v>
      </c>
      <c r="B231" s="119" t="s">
        <v>305</v>
      </c>
      <c r="C231" s="120" t="s">
        <v>292</v>
      </c>
      <c r="D231" s="121">
        <v>22988038782.09</v>
      </c>
      <c r="E231" s="121">
        <v>854810176</v>
      </c>
      <c r="F231" s="67">
        <v>0</v>
      </c>
      <c r="G231" s="121">
        <v>86254558.959999993</v>
      </c>
      <c r="H231" s="122">
        <f t="shared" si="120"/>
        <v>768555617.03999996</v>
      </c>
      <c r="I231" s="121">
        <v>53353805794.43</v>
      </c>
      <c r="J231" s="70">
        <f t="shared" si="112"/>
        <v>0.36058896852404104</v>
      </c>
      <c r="K231" s="121">
        <v>55142624769.330002</v>
      </c>
      <c r="L231" s="70">
        <f t="shared" si="113"/>
        <v>0.36474880469944282</v>
      </c>
      <c r="M231" s="70">
        <f t="shared" si="115"/>
        <v>3.3527485964023759E-2</v>
      </c>
      <c r="N231" s="72">
        <f t="shared" si="116"/>
        <v>1.5642084380425479E-3</v>
      </c>
      <c r="O231" s="73">
        <f t="shared" si="117"/>
        <v>1.3937595829995129E-2</v>
      </c>
      <c r="P231" s="74">
        <f t="shared" si="118"/>
        <v>1336.4838896597373</v>
      </c>
      <c r="Q231" s="74">
        <f t="shared" si="119"/>
        <v>18.627372287377227</v>
      </c>
      <c r="R231" s="121">
        <v>1336.48</v>
      </c>
      <c r="S231" s="121">
        <v>1336.48</v>
      </c>
      <c r="T231" s="121">
        <v>14695</v>
      </c>
      <c r="U231" s="121">
        <v>40489345.619999997</v>
      </c>
      <c r="V231" s="121">
        <v>41259475.850000001</v>
      </c>
      <c r="W231" s="48"/>
    </row>
    <row r="232" spans="1:23" ht="15" customHeight="1">
      <c r="A232" s="118">
        <v>201</v>
      </c>
      <c r="B232" s="123" t="s">
        <v>306</v>
      </c>
      <c r="C232" s="123" t="s">
        <v>307</v>
      </c>
      <c r="D232" s="121">
        <v>545169531.92999995</v>
      </c>
      <c r="E232" s="121">
        <v>0</v>
      </c>
      <c r="F232" s="75">
        <v>111988501.83</v>
      </c>
      <c r="G232" s="121">
        <v>2043722.02</v>
      </c>
      <c r="H232" s="122">
        <f t="shared" si="120"/>
        <v>109944779.81</v>
      </c>
      <c r="I232" s="121">
        <v>588599687.30999994</v>
      </c>
      <c r="J232" s="70">
        <f t="shared" si="112"/>
        <v>3.9780208920512199E-3</v>
      </c>
      <c r="K232" s="121">
        <v>588599687.30999994</v>
      </c>
      <c r="L232" s="70">
        <f t="shared" si="113"/>
        <v>3.8933770978598417E-3</v>
      </c>
      <c r="M232" s="70">
        <f t="shared" si="115"/>
        <v>0</v>
      </c>
      <c r="N232" s="72">
        <f t="shared" si="116"/>
        <v>3.4721765302665299E-3</v>
      </c>
      <c r="O232" s="73">
        <f t="shared" si="117"/>
        <v>0.18679041491249551</v>
      </c>
      <c r="P232" s="74">
        <f t="shared" si="118"/>
        <v>142.55701285934688</v>
      </c>
      <c r="Q232" s="74">
        <f t="shared" si="119"/>
        <v>26.628283580683362</v>
      </c>
      <c r="R232" s="122">
        <v>142.30000000000001</v>
      </c>
      <c r="S232" s="122">
        <v>142.77000000000001</v>
      </c>
      <c r="T232" s="122">
        <v>145</v>
      </c>
      <c r="U232" s="121">
        <v>3545494.71</v>
      </c>
      <c r="V232" s="121">
        <v>4128872.2</v>
      </c>
      <c r="W232" s="48"/>
    </row>
    <row r="233" spans="1:23" ht="15" customHeight="1">
      <c r="A233" s="118">
        <v>202</v>
      </c>
      <c r="B233" s="123" t="s">
        <v>308</v>
      </c>
      <c r="C233" s="123" t="s">
        <v>307</v>
      </c>
      <c r="D233" s="121">
        <v>1236568425.4200001</v>
      </c>
      <c r="E233" s="121">
        <v>1153125</v>
      </c>
      <c r="F233" s="67">
        <v>148268675.81</v>
      </c>
      <c r="G233" s="121">
        <v>2484483.96</v>
      </c>
      <c r="H233" s="122">
        <f t="shared" si="120"/>
        <v>146937316.84999999</v>
      </c>
      <c r="I233" s="121">
        <v>1319139067.54</v>
      </c>
      <c r="J233" s="70">
        <f t="shared" si="112"/>
        <v>8.915333941438763E-3</v>
      </c>
      <c r="K233" s="121">
        <v>1319139067.54</v>
      </c>
      <c r="L233" s="70">
        <f t="shared" si="113"/>
        <v>8.7256346633896135E-3</v>
      </c>
      <c r="M233" s="70">
        <f t="shared" si="115"/>
        <v>0</v>
      </c>
      <c r="N233" s="72">
        <f t="shared" si="116"/>
        <v>1.8834132208920145E-3</v>
      </c>
      <c r="O233" s="73">
        <f t="shared" si="117"/>
        <v>0.11138879930530482</v>
      </c>
      <c r="P233" s="74">
        <f t="shared" si="118"/>
        <v>156.82568351800964</v>
      </c>
      <c r="Q233" s="74">
        <f t="shared" si="119"/>
        <v>17.468624587304827</v>
      </c>
      <c r="R233" s="122">
        <v>156.97</v>
      </c>
      <c r="S233" s="122">
        <v>156.97</v>
      </c>
      <c r="T233" s="122">
        <v>160</v>
      </c>
      <c r="U233" s="121">
        <v>7332826.2999999998</v>
      </c>
      <c r="V233" s="121">
        <v>8411498.9199999999</v>
      </c>
      <c r="W233" s="48"/>
    </row>
    <row r="234" spans="1:23" ht="13.95" customHeight="1">
      <c r="A234" s="118">
        <v>203</v>
      </c>
      <c r="B234" s="120" t="s">
        <v>309</v>
      </c>
      <c r="C234" s="120" t="s">
        <v>216</v>
      </c>
      <c r="D234" s="121">
        <v>3836396479.0100002</v>
      </c>
      <c r="E234" s="121">
        <v>108811448.11</v>
      </c>
      <c r="F234" s="75">
        <v>0</v>
      </c>
      <c r="G234" s="121">
        <v>20946274.969999999</v>
      </c>
      <c r="H234" s="122">
        <f t="shared" si="120"/>
        <v>87865173.140000001</v>
      </c>
      <c r="I234" s="121">
        <v>5646329558</v>
      </c>
      <c r="J234" s="70">
        <f t="shared" si="112"/>
        <v>3.8160429625407867E-2</v>
      </c>
      <c r="K234" s="121">
        <v>7494386874</v>
      </c>
      <c r="L234" s="70">
        <f t="shared" si="113"/>
        <v>4.9572697449235099E-2</v>
      </c>
      <c r="M234" s="70">
        <f t="shared" si="115"/>
        <v>0.32730241779486297</v>
      </c>
      <c r="N234" s="72">
        <f t="shared" si="116"/>
        <v>2.7949284340615158E-3</v>
      </c>
      <c r="O234" s="73">
        <f t="shared" si="117"/>
        <v>1.1724130955238967E-2</v>
      </c>
      <c r="P234" s="74">
        <f t="shared" si="118"/>
        <v>109.93976017030013</v>
      </c>
      <c r="Q234" s="74">
        <f t="shared" si="119"/>
        <v>1.2889481454241638</v>
      </c>
      <c r="R234" s="122">
        <v>109.94</v>
      </c>
      <c r="S234" s="122">
        <v>109.94</v>
      </c>
      <c r="T234" s="122">
        <v>1193</v>
      </c>
      <c r="U234" s="121">
        <v>52029688</v>
      </c>
      <c r="V234" s="121">
        <v>68168121</v>
      </c>
      <c r="W234" s="48"/>
    </row>
    <row r="235" spans="1:23">
      <c r="A235" s="118">
        <v>204</v>
      </c>
      <c r="B235" s="119" t="s">
        <v>310</v>
      </c>
      <c r="C235" s="119" t="s">
        <v>56</v>
      </c>
      <c r="D235" s="121">
        <v>3265304204.6999998</v>
      </c>
      <c r="E235" s="121">
        <v>39095951.609999999</v>
      </c>
      <c r="F235" s="75">
        <v>0</v>
      </c>
      <c r="G235" s="121">
        <v>5339932.55</v>
      </c>
      <c r="H235" s="122">
        <f t="shared" si="120"/>
        <v>33756019.060000002</v>
      </c>
      <c r="I235" s="121">
        <v>3014448965.6300001</v>
      </c>
      <c r="J235" s="70">
        <f t="shared" si="112"/>
        <v>2.0372999207834613E-2</v>
      </c>
      <c r="K235" s="121">
        <v>3363522447.0100002</v>
      </c>
      <c r="L235" s="70">
        <f t="shared" si="113"/>
        <v>2.2248501903177523E-2</v>
      </c>
      <c r="M235" s="70">
        <f t="shared" si="115"/>
        <v>0.11580009658814909</v>
      </c>
      <c r="N235" s="72">
        <f t="shared" si="116"/>
        <v>1.5876012823244059E-3</v>
      </c>
      <c r="O235" s="73">
        <f t="shared" si="117"/>
        <v>1.0035913121378862E-2</v>
      </c>
      <c r="P235" s="74">
        <f t="shared" si="118"/>
        <v>163.89496198108844</v>
      </c>
      <c r="Q235" s="74">
        <f t="shared" si="119"/>
        <v>1.6448355994738955</v>
      </c>
      <c r="R235" s="122">
        <v>163.89</v>
      </c>
      <c r="S235" s="122">
        <v>163.89</v>
      </c>
      <c r="T235" s="121">
        <v>4569</v>
      </c>
      <c r="U235" s="121">
        <v>18888511.030000001</v>
      </c>
      <c r="V235" s="121">
        <v>20522427.329999998</v>
      </c>
      <c r="W235" s="48"/>
    </row>
    <row r="236" spans="1:23" ht="15" customHeight="1">
      <c r="A236" s="118">
        <v>205</v>
      </c>
      <c r="B236" s="120" t="s">
        <v>311</v>
      </c>
      <c r="C236" s="120" t="s">
        <v>59</v>
      </c>
      <c r="D236" s="122">
        <v>2473150711.5900002</v>
      </c>
      <c r="E236" s="122">
        <v>41696848.350000001</v>
      </c>
      <c r="F236" s="75">
        <v>0</v>
      </c>
      <c r="G236" s="122">
        <v>6262142.8500000099</v>
      </c>
      <c r="H236" s="122">
        <f t="shared" si="120"/>
        <v>35434705.5</v>
      </c>
      <c r="I236" s="122">
        <v>4119801705.6700001</v>
      </c>
      <c r="J236" s="70">
        <f t="shared" si="112"/>
        <v>2.7843469185589349E-2</v>
      </c>
      <c r="K236" s="122">
        <v>3893885000.2399998</v>
      </c>
      <c r="L236" s="70">
        <f t="shared" si="113"/>
        <v>2.5756661120429403E-2</v>
      </c>
      <c r="M236" s="70">
        <f t="shared" si="115"/>
        <v>-5.4836791081249295E-2</v>
      </c>
      <c r="N236" s="72">
        <f t="shared" si="116"/>
        <v>1.608199227664413E-3</v>
      </c>
      <c r="O236" s="73">
        <f t="shared" si="117"/>
        <v>9.1000903975890345E-3</v>
      </c>
      <c r="P236" s="74">
        <f t="shared" si="118"/>
        <v>1.1898690982171176</v>
      </c>
      <c r="Q236" s="74">
        <f t="shared" si="119"/>
        <v>1.0827916355073517E-2</v>
      </c>
      <c r="R236" s="122">
        <v>1.19</v>
      </c>
      <c r="S236" s="122">
        <v>1.19</v>
      </c>
      <c r="T236" s="122">
        <v>426</v>
      </c>
      <c r="U236" s="122">
        <v>3524902024.1999998</v>
      </c>
      <c r="V236" s="122">
        <v>3272532252.5599999</v>
      </c>
      <c r="W236" s="49"/>
    </row>
    <row r="237" spans="1:23" ht="4.95" customHeight="1">
      <c r="A237" s="167"/>
      <c r="B237" s="66"/>
      <c r="C237" s="66"/>
      <c r="D237" s="124"/>
      <c r="E237" s="124"/>
      <c r="F237" s="124"/>
      <c r="G237" s="125"/>
      <c r="H237" s="68"/>
      <c r="I237" s="126"/>
      <c r="J237" s="70"/>
      <c r="K237" s="127"/>
      <c r="L237" s="70"/>
      <c r="M237" s="70"/>
      <c r="N237" s="72"/>
      <c r="O237" s="73"/>
      <c r="P237" s="74"/>
      <c r="Q237" s="74"/>
      <c r="R237" s="68"/>
      <c r="S237" s="68"/>
      <c r="T237" s="128"/>
      <c r="U237" s="125"/>
      <c r="V237" s="128"/>
      <c r="W237" s="50"/>
    </row>
    <row r="238" spans="1:23" ht="15" customHeight="1">
      <c r="A238" s="182" t="s">
        <v>312</v>
      </c>
      <c r="B238" s="182"/>
      <c r="C238" s="182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46"/>
    </row>
    <row r="239" spans="1:23" ht="15" customHeight="1">
      <c r="A239" s="132">
        <v>206</v>
      </c>
      <c r="B239" s="91" t="s">
        <v>313</v>
      </c>
      <c r="C239" s="91" t="s">
        <v>314</v>
      </c>
      <c r="D239" s="92">
        <v>623325118.48000002</v>
      </c>
      <c r="E239" s="92">
        <v>7270874.4900000002</v>
      </c>
      <c r="F239" s="92">
        <v>29910439.280000001</v>
      </c>
      <c r="G239" s="92">
        <v>1588686.51</v>
      </c>
      <c r="H239" s="98">
        <f>(E239+F239)-G239</f>
        <v>35592627.259999998</v>
      </c>
      <c r="I239" s="131">
        <v>653030133.30999994</v>
      </c>
      <c r="J239" s="130">
        <f t="shared" ref="J239:J242" si="122">(I239/$I$243)</f>
        <v>4.4134707670648102E-3</v>
      </c>
      <c r="K239" s="131">
        <v>616088384.19000006</v>
      </c>
      <c r="L239" s="70">
        <f t="shared" ref="L239:L242" si="123">(K239/$K$243)</f>
        <v>4.0752050280983389E-3</v>
      </c>
      <c r="M239" s="70">
        <f>((K239-I239)/I239)</f>
        <v>-5.656974653337056E-2</v>
      </c>
      <c r="N239" s="72">
        <f t="shared" ref="N239" si="124">(G239/K239)</f>
        <v>2.57866655299583E-3</v>
      </c>
      <c r="O239" s="73">
        <f t="shared" ref="O239" si="125">H239/K239</f>
        <v>5.7771949891240501E-2</v>
      </c>
      <c r="P239" s="74">
        <f t="shared" ref="P239" si="126">K239/V239</f>
        <v>118.029410815039</v>
      </c>
      <c r="Q239" s="74">
        <f t="shared" ref="Q239" si="127">H239/V239</f>
        <v>6.8187892072990701</v>
      </c>
      <c r="R239" s="129">
        <v>118.03</v>
      </c>
      <c r="S239" s="129">
        <v>118.03</v>
      </c>
      <c r="T239" s="129">
        <v>101</v>
      </c>
      <c r="U239" s="131">
        <v>5493389</v>
      </c>
      <c r="V239" s="131">
        <v>5219787</v>
      </c>
      <c r="W239" s="51"/>
    </row>
    <row r="240" spans="1:23" ht="15" customHeight="1">
      <c r="A240" s="132">
        <v>207</v>
      </c>
      <c r="B240" s="75" t="s">
        <v>315</v>
      </c>
      <c r="C240" s="91" t="s">
        <v>28</v>
      </c>
      <c r="D240" s="92">
        <v>10136769280</v>
      </c>
      <c r="E240" s="92">
        <v>102803844</v>
      </c>
      <c r="F240" s="92">
        <v>231592137</v>
      </c>
      <c r="G240" s="92">
        <v>42953462</v>
      </c>
      <c r="H240" s="98">
        <f>(E240+F240)-G240</f>
        <v>291442519</v>
      </c>
      <c r="I240" s="131">
        <v>17000754238</v>
      </c>
      <c r="J240" s="130">
        <f t="shared" si="122"/>
        <v>0.11489872828249349</v>
      </c>
      <c r="K240" s="131">
        <v>16277308071</v>
      </c>
      <c r="L240" s="70">
        <f t="shared" si="123"/>
        <v>0.10766859008721033</v>
      </c>
      <c r="M240" s="70">
        <f t="shared" ref="M240:M242" si="128">((K240-I240)/I240)</f>
        <v>-4.2553768901791238E-2</v>
      </c>
      <c r="N240" s="72">
        <f t="shared" ref="N240:N242" si="129">(G240/K240)</f>
        <v>2.6388553815312253E-3</v>
      </c>
      <c r="O240" s="73">
        <f t="shared" ref="O240:O242" si="130">H240/K240</f>
        <v>1.7904835230048894E-2</v>
      </c>
      <c r="P240" s="74">
        <f t="shared" ref="P240:P242" si="131">K240/V240</f>
        <v>149.03846346513959</v>
      </c>
      <c r="Q240" s="74">
        <f t="shared" ref="Q240:Q242" si="132">H240/V240</f>
        <v>2.6685091312829861</v>
      </c>
      <c r="R240" s="129">
        <v>148.29329999999999</v>
      </c>
      <c r="S240" s="129">
        <v>152.7645</v>
      </c>
      <c r="T240" s="131">
        <v>8491</v>
      </c>
      <c r="U240" s="131">
        <v>116337100</v>
      </c>
      <c r="V240" s="131">
        <v>109215485</v>
      </c>
      <c r="W240" s="51"/>
    </row>
    <row r="241" spans="1:23" ht="15" customHeight="1">
      <c r="A241" s="133">
        <v>208</v>
      </c>
      <c r="B241" s="75" t="s">
        <v>316</v>
      </c>
      <c r="C241" s="91" t="s">
        <v>292</v>
      </c>
      <c r="D241" s="92">
        <v>292687952.50999999</v>
      </c>
      <c r="E241" s="92">
        <v>3725282.6</v>
      </c>
      <c r="F241" s="92">
        <v>5762225.4400000004</v>
      </c>
      <c r="G241" s="67">
        <v>1009603.58</v>
      </c>
      <c r="H241" s="68">
        <f>(E241+F241)-G241</f>
        <v>8477904.4600000009</v>
      </c>
      <c r="I241" s="81">
        <v>402159958.24000001</v>
      </c>
      <c r="J241" s="130">
        <f t="shared" si="122"/>
        <v>2.7179775156465436E-3</v>
      </c>
      <c r="K241" s="81">
        <v>390726465.18000001</v>
      </c>
      <c r="L241" s="70">
        <f t="shared" si="123"/>
        <v>2.5845162745700596E-3</v>
      </c>
      <c r="M241" s="70">
        <f t="shared" si="128"/>
        <v>-2.8430212470772018E-2</v>
      </c>
      <c r="N241" s="72">
        <f t="shared" si="129"/>
        <v>2.5839139909166263E-3</v>
      </c>
      <c r="O241" s="73">
        <f t="shared" si="130"/>
        <v>2.1697799395529547E-2</v>
      </c>
      <c r="P241" s="74">
        <f t="shared" si="131"/>
        <v>1489.1851780961224</v>
      </c>
      <c r="Q241" s="74">
        <f t="shared" si="132"/>
        <v>32.312041257125607</v>
      </c>
      <c r="R241" s="112">
        <v>1489.19</v>
      </c>
      <c r="S241" s="112">
        <v>1489.19</v>
      </c>
      <c r="T241" s="75">
        <v>220</v>
      </c>
      <c r="U241" s="67">
        <v>260421.96</v>
      </c>
      <c r="V241" s="67">
        <v>262376.01</v>
      </c>
      <c r="W241" s="34"/>
    </row>
    <row r="242" spans="1:23" ht="15" customHeight="1">
      <c r="A242" s="133">
        <v>209</v>
      </c>
      <c r="B242" s="75" t="s">
        <v>317</v>
      </c>
      <c r="C242" s="75" t="s">
        <v>318</v>
      </c>
      <c r="D242" s="80">
        <v>65041678.079999998</v>
      </c>
      <c r="E242" s="81">
        <v>1024399.6</v>
      </c>
      <c r="F242" s="80">
        <v>0</v>
      </c>
      <c r="G242" s="81">
        <v>492943.41</v>
      </c>
      <c r="H242" s="80">
        <f>(E242+F242)-G242</f>
        <v>531456.18999999994</v>
      </c>
      <c r="I242" s="81">
        <v>233130281.13999999</v>
      </c>
      <c r="J242" s="130">
        <f t="shared" si="122"/>
        <v>1.5755990853190153E-3</v>
      </c>
      <c r="K242" s="81">
        <v>275404217.01999998</v>
      </c>
      <c r="L242" s="70">
        <f t="shared" si="123"/>
        <v>1.8217007149631094E-3</v>
      </c>
      <c r="M242" s="70">
        <f t="shared" si="128"/>
        <v>0.18133181015045208</v>
      </c>
      <c r="N242" s="72">
        <f t="shared" si="129"/>
        <v>1.7898905664331284E-3</v>
      </c>
      <c r="O242" s="73">
        <f t="shared" si="130"/>
        <v>1.9297314897738307E-3</v>
      </c>
      <c r="P242" s="74">
        <f t="shared" si="131"/>
        <v>134.3184461921106</v>
      </c>
      <c r="Q242" s="74">
        <f t="shared" si="132"/>
        <v>0.25919853527440773</v>
      </c>
      <c r="R242" s="80">
        <v>143.71</v>
      </c>
      <c r="S242" s="80">
        <v>146.66999999999999</v>
      </c>
      <c r="T242" s="80">
        <v>378</v>
      </c>
      <c r="U242" s="81">
        <v>1641597.94</v>
      </c>
      <c r="V242" s="81">
        <v>2050382.69</v>
      </c>
      <c r="W242" s="40"/>
    </row>
    <row r="243" spans="1:23" ht="15" customHeight="1">
      <c r="A243" s="175" t="s">
        <v>64</v>
      </c>
      <c r="B243" s="175"/>
      <c r="C243" s="175"/>
      <c r="D243" s="175"/>
      <c r="E243" s="175"/>
      <c r="F243" s="175"/>
      <c r="G243" s="175"/>
      <c r="H243" s="175"/>
      <c r="I243" s="85">
        <f>SUM(I218:I242)</f>
        <v>147962945213.81848</v>
      </c>
      <c r="J243" s="83">
        <f>(I243/$I$269)</f>
        <v>1.5406863719807384E-2</v>
      </c>
      <c r="K243" s="85">
        <f>SUM(K218:K242)</f>
        <v>151179727140.62259</v>
      </c>
      <c r="L243" s="83">
        <f>(K243/$K$269)</f>
        <v>1.5453218119132984E-2</v>
      </c>
      <c r="M243" s="83">
        <f t="shared" si="114"/>
        <v>2.1740456180806597E-2</v>
      </c>
      <c r="N243" s="72"/>
      <c r="O243" s="72"/>
      <c r="P243" s="84"/>
      <c r="Q243" s="84"/>
      <c r="R243" s="85"/>
      <c r="S243" s="85"/>
      <c r="T243" s="85">
        <f>SUM(T218:T242)</f>
        <v>63991</v>
      </c>
      <c r="U243" s="85"/>
      <c r="V243" s="85"/>
      <c r="W243" s="32"/>
    </row>
    <row r="244" spans="1:23" s="14" customFormat="1" ht="6.6" customHeight="1">
      <c r="A244" s="134"/>
      <c r="B244" s="134"/>
      <c r="C244" s="134"/>
      <c r="D244" s="134"/>
      <c r="E244" s="134"/>
      <c r="F244" s="134"/>
      <c r="G244" s="134"/>
      <c r="H244" s="134"/>
      <c r="I244" s="85"/>
      <c r="J244" s="135"/>
      <c r="K244" s="85"/>
      <c r="L244" s="135"/>
      <c r="M244" s="135"/>
      <c r="N244" s="136"/>
      <c r="O244" s="136"/>
      <c r="P244" s="137"/>
      <c r="Q244" s="137"/>
      <c r="R244" s="85"/>
      <c r="S244" s="85"/>
      <c r="T244" s="85"/>
      <c r="U244" s="85"/>
      <c r="V244" s="85"/>
      <c r="W244" s="32"/>
    </row>
    <row r="245" spans="1:23" s="14" customFormat="1" ht="15" customHeight="1">
      <c r="A245" s="185" t="s">
        <v>319</v>
      </c>
      <c r="B245" s="185"/>
      <c r="C245" s="185"/>
      <c r="D245" s="185"/>
      <c r="E245" s="185"/>
      <c r="F245" s="185"/>
      <c r="G245" s="185"/>
      <c r="H245" s="185"/>
      <c r="I245" s="185"/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52"/>
    </row>
    <row r="246" spans="1:23" s="14" customFormat="1" ht="15" customHeight="1">
      <c r="A246" s="138">
        <v>210</v>
      </c>
      <c r="B246" s="91" t="s">
        <v>320</v>
      </c>
      <c r="C246" s="91" t="s">
        <v>28</v>
      </c>
      <c r="D246" s="81">
        <f>1293420*C271</f>
        <v>1719162127.2</v>
      </c>
      <c r="E246" s="92">
        <f>13233*C271</f>
        <v>17588774.280000001</v>
      </c>
      <c r="F246" s="98">
        <f>-8933*C271</f>
        <v>-11873386.279999999</v>
      </c>
      <c r="G246" s="92">
        <f>3597*C271</f>
        <v>4780988.5199999996</v>
      </c>
      <c r="H246" s="80">
        <f t="shared" ref="H246:H251" si="133">(E246+F246)-G246</f>
        <v>934399.48000000196</v>
      </c>
      <c r="I246" s="75">
        <v>2811701459.3003998</v>
      </c>
      <c r="J246" s="70">
        <f>(I246/$I$253)</f>
        <v>5.2115464955052322E-2</v>
      </c>
      <c r="K246" s="67">
        <f>2019936*C271</f>
        <v>2684818133.7600002</v>
      </c>
      <c r="L246" s="70">
        <f>(K246/$K$253)</f>
        <v>4.9375657721414702E-2</v>
      </c>
      <c r="M246" s="70">
        <f>((K246-I246)/I246)</f>
        <v>-4.5126883980054669E-2</v>
      </c>
      <c r="N246" s="72">
        <f t="shared" ref="N246" si="134">(G246/K246)</f>
        <v>1.78074948909272E-3</v>
      </c>
      <c r="O246" s="73">
        <f t="shared" ref="O246" si="135">H246/K246</f>
        <v>3.4803082869952397E-4</v>
      </c>
      <c r="P246" s="74">
        <f t="shared" ref="P246" si="136">K246/V246</f>
        <v>1414.2277971001399</v>
      </c>
      <c r="Q246" s="74">
        <f t="shared" ref="Q246" si="137">H246/V246</f>
        <v>0.49219487219466301</v>
      </c>
      <c r="R246" s="75">
        <f>1.064*C271</f>
        <v>1414.22624</v>
      </c>
      <c r="S246" s="75">
        <f>1.064*C271</f>
        <v>1414.22624</v>
      </c>
      <c r="T246" s="75">
        <v>67</v>
      </c>
      <c r="U246" s="67">
        <v>1983137</v>
      </c>
      <c r="V246" s="67">
        <v>1898434</v>
      </c>
      <c r="W246" s="34"/>
    </row>
    <row r="247" spans="1:23" s="14" customFormat="1" ht="15" customHeight="1">
      <c r="A247" s="138">
        <v>211</v>
      </c>
      <c r="B247" s="91" t="s">
        <v>321</v>
      </c>
      <c r="C247" s="91" t="s">
        <v>322</v>
      </c>
      <c r="D247" s="92">
        <v>12832820841.700001</v>
      </c>
      <c r="E247" s="92">
        <v>155632914.47999999</v>
      </c>
      <c r="F247" s="166">
        <v>0</v>
      </c>
      <c r="G247" s="92">
        <v>23330571.010000002</v>
      </c>
      <c r="H247" s="80">
        <f t="shared" si="133"/>
        <v>132302343.47</v>
      </c>
      <c r="I247" s="75">
        <v>15843449922.290001</v>
      </c>
      <c r="J247" s="70">
        <f t="shared" ref="J247:J252" si="138">(I247/$I$253)</f>
        <v>0.29366160353228848</v>
      </c>
      <c r="K247" s="67">
        <v>15889274067.700001</v>
      </c>
      <c r="L247" s="70">
        <f t="shared" ref="L247:L252" si="139">(K247/$K$253)</f>
        <v>0.29221471202959237</v>
      </c>
      <c r="M247" s="70">
        <f t="shared" ref="M247:M252" si="140">((K247-I247)/I247)</f>
        <v>2.8923085334798381E-3</v>
      </c>
      <c r="N247" s="72">
        <f t="shared" ref="N247:N252" si="141">(G247/K247)</f>
        <v>1.4683220209176706E-3</v>
      </c>
      <c r="O247" s="73">
        <f t="shared" ref="O247:O252" si="142">H247/K247</f>
        <v>8.326519066024959E-3</v>
      </c>
      <c r="P247" s="74">
        <f t="shared" ref="P247:P252" si="143">K247/V247</f>
        <v>111.19240058992469</v>
      </c>
      <c r="Q247" s="74">
        <f t="shared" ref="Q247:Q252" si="144">H247/V247</f>
        <v>0.92584564350909271</v>
      </c>
      <c r="R247" s="75">
        <v>123.3</v>
      </c>
      <c r="S247" s="75">
        <v>123.3</v>
      </c>
      <c r="T247" s="75">
        <v>12</v>
      </c>
      <c r="U247" s="67">
        <v>142898921</v>
      </c>
      <c r="V247" s="75">
        <v>142898921</v>
      </c>
      <c r="W247" s="35"/>
    </row>
    <row r="248" spans="1:23" s="14" customFormat="1" ht="15" customHeight="1">
      <c r="A248" s="138">
        <v>212</v>
      </c>
      <c r="B248" s="91" t="s">
        <v>323</v>
      </c>
      <c r="C248" s="91" t="s">
        <v>168</v>
      </c>
      <c r="D248" s="92">
        <v>31789962702.43</v>
      </c>
      <c r="E248" s="92">
        <v>527306931.91000003</v>
      </c>
      <c r="F248" s="166">
        <v>0</v>
      </c>
      <c r="G248" s="92">
        <v>57578506.340000004</v>
      </c>
      <c r="H248" s="80">
        <f t="shared" si="133"/>
        <v>469728425.56999999</v>
      </c>
      <c r="I248" s="75">
        <v>32366385526.450001</v>
      </c>
      <c r="J248" s="70">
        <f t="shared" si="138"/>
        <v>0.59991761395789167</v>
      </c>
      <c r="K248" s="67">
        <v>32838285300.869999</v>
      </c>
      <c r="L248" s="70">
        <f t="shared" si="139"/>
        <v>0.60391872163913995</v>
      </c>
      <c r="M248" s="70">
        <f t="shared" si="140"/>
        <v>1.45799342974012E-2</v>
      </c>
      <c r="N248" s="72">
        <f t="shared" si="141"/>
        <v>1.7533956420822787E-3</v>
      </c>
      <c r="O248" s="73">
        <f t="shared" si="142"/>
        <v>1.4304292117151295E-2</v>
      </c>
      <c r="P248" s="74">
        <f t="shared" si="143"/>
        <v>1.1363121665410567</v>
      </c>
      <c r="Q248" s="74">
        <f t="shared" si="144"/>
        <v>1.625414116647635E-2</v>
      </c>
      <c r="R248" s="75">
        <v>1.1399999999999999</v>
      </c>
      <c r="S248" s="75">
        <v>1.1399999999999999</v>
      </c>
      <c r="T248" s="75">
        <v>57</v>
      </c>
      <c r="U248" s="67">
        <v>28899000000</v>
      </c>
      <c r="V248" s="67">
        <v>28899000000</v>
      </c>
      <c r="W248" s="34"/>
    </row>
    <row r="249" spans="1:23" s="14" customFormat="1" ht="15" customHeight="1">
      <c r="A249" s="138">
        <v>213</v>
      </c>
      <c r="B249" s="91" t="s">
        <v>324</v>
      </c>
      <c r="C249" s="91" t="s">
        <v>170</v>
      </c>
      <c r="D249" s="92">
        <v>1388756658.53</v>
      </c>
      <c r="E249" s="92">
        <v>5778598.9500000002</v>
      </c>
      <c r="F249" s="92">
        <v>-12804236.42</v>
      </c>
      <c r="G249" s="92">
        <v>1099510.79</v>
      </c>
      <c r="H249" s="80">
        <f t="shared" si="133"/>
        <v>-8125148.2599999998</v>
      </c>
      <c r="I249" s="75">
        <v>1241865150.96</v>
      </c>
      <c r="J249" s="70">
        <f t="shared" si="138"/>
        <v>2.3018226042340998E-2</v>
      </c>
      <c r="K249" s="67">
        <v>1230930535.73</v>
      </c>
      <c r="L249" s="70">
        <f t="shared" si="139"/>
        <v>2.2637661764420707E-2</v>
      </c>
      <c r="M249" s="70">
        <f t="shared" si="140"/>
        <v>-8.8049940217319288E-3</v>
      </c>
      <c r="N249" s="72">
        <f t="shared" si="141"/>
        <v>8.9323544918636544E-4</v>
      </c>
      <c r="O249" s="73">
        <f t="shared" si="142"/>
        <v>-6.6008178562094108E-3</v>
      </c>
      <c r="P249" s="74">
        <f t="shared" si="143"/>
        <v>150225.41622233152</v>
      </c>
      <c r="Q249" s="74">
        <f t="shared" si="144"/>
        <v>-991.61060985685685</v>
      </c>
      <c r="R249" s="75">
        <f>112.75*C271</f>
        <v>149862.79</v>
      </c>
      <c r="S249" s="75">
        <f>112.75*C271</f>
        <v>149862.79</v>
      </c>
      <c r="T249" s="75">
        <v>76</v>
      </c>
      <c r="U249" s="67">
        <v>8193.89</v>
      </c>
      <c r="V249" s="67">
        <v>8193.89</v>
      </c>
      <c r="W249" s="34"/>
    </row>
    <row r="250" spans="1:23" s="14" customFormat="1" ht="15" customHeight="1">
      <c r="A250" s="138">
        <v>214</v>
      </c>
      <c r="B250" s="91" t="s">
        <v>325</v>
      </c>
      <c r="C250" s="91" t="s">
        <v>48</v>
      </c>
      <c r="D250" s="92">
        <v>50858082.159999996</v>
      </c>
      <c r="E250" s="92">
        <v>6030084.1900000004</v>
      </c>
      <c r="F250" s="92">
        <v>0</v>
      </c>
      <c r="G250" s="92">
        <v>4034273.7</v>
      </c>
      <c r="H250" s="80">
        <f t="shared" si="133"/>
        <v>1995810.4900000002</v>
      </c>
      <c r="I250" s="75">
        <v>322623191.06</v>
      </c>
      <c r="J250" s="70">
        <f t="shared" si="138"/>
        <v>5.9798872144691036E-3</v>
      </c>
      <c r="K250" s="67">
        <v>318651522.62</v>
      </c>
      <c r="L250" s="70">
        <f t="shared" si="139"/>
        <v>5.8602213369507907E-3</v>
      </c>
      <c r="M250" s="70">
        <f t="shared" si="140"/>
        <v>-1.2310548497616728E-2</v>
      </c>
      <c r="N250" s="72">
        <f t="shared" si="141"/>
        <v>1.2660456371994097E-2</v>
      </c>
      <c r="O250" s="73">
        <f t="shared" si="142"/>
        <v>6.263301281569756E-3</v>
      </c>
      <c r="P250" s="74">
        <f t="shared" si="143"/>
        <v>100.99889781933439</v>
      </c>
      <c r="Q250" s="74">
        <f t="shared" si="144"/>
        <v>0.63258652614896993</v>
      </c>
      <c r="R250" s="75">
        <v>101</v>
      </c>
      <c r="S250" s="75">
        <v>101.26</v>
      </c>
      <c r="T250" s="75">
        <v>4</v>
      </c>
      <c r="U250" s="67">
        <v>3155000</v>
      </c>
      <c r="V250" s="67">
        <v>3155000</v>
      </c>
      <c r="W250" s="34"/>
    </row>
    <row r="251" spans="1:23" s="14" customFormat="1" ht="15" customHeight="1">
      <c r="A251" s="138">
        <v>215</v>
      </c>
      <c r="B251" s="91" t="s">
        <v>326</v>
      </c>
      <c r="C251" s="91" t="s">
        <v>59</v>
      </c>
      <c r="D251" s="80">
        <v>433382515.43000001</v>
      </c>
      <c r="E251" s="98">
        <v>3989452.02</v>
      </c>
      <c r="F251" s="98">
        <v>9237965.2799999993</v>
      </c>
      <c r="G251" s="98">
        <v>1288539.92</v>
      </c>
      <c r="H251" s="80">
        <f t="shared" si="133"/>
        <v>11938877.380000001</v>
      </c>
      <c r="I251" s="75">
        <v>515852282.35000002</v>
      </c>
      <c r="J251" s="70">
        <f t="shared" si="138"/>
        <v>9.5614281714973964E-3</v>
      </c>
      <c r="K251" s="75">
        <v>552062178.76999998</v>
      </c>
      <c r="L251" s="70">
        <f t="shared" si="139"/>
        <v>1.0152804332303667E-2</v>
      </c>
      <c r="M251" s="70">
        <f t="shared" si="140"/>
        <v>7.0194312711079454E-2</v>
      </c>
      <c r="N251" s="72">
        <f t="shared" si="141"/>
        <v>2.3340485357480558E-3</v>
      </c>
      <c r="O251" s="73">
        <f t="shared" si="142"/>
        <v>2.162596504364769E-2</v>
      </c>
      <c r="P251" s="74">
        <f t="shared" si="143"/>
        <v>1.5258991696079098</v>
      </c>
      <c r="Q251" s="74">
        <f t="shared" si="144"/>
        <v>3.2999042102071691E-2</v>
      </c>
      <c r="R251" s="75">
        <v>1.5258991696079101</v>
      </c>
      <c r="S251" s="75">
        <v>1.5258991696079101</v>
      </c>
      <c r="T251" s="75">
        <v>78</v>
      </c>
      <c r="U251" s="75">
        <v>343298581.42000002</v>
      </c>
      <c r="V251" s="75">
        <v>361794664.92000002</v>
      </c>
      <c r="W251" s="35"/>
    </row>
    <row r="252" spans="1:23" ht="15" customHeight="1">
      <c r="A252" s="138">
        <v>216</v>
      </c>
      <c r="B252" s="78" t="s">
        <v>327</v>
      </c>
      <c r="C252" s="79" t="s">
        <v>140</v>
      </c>
      <c r="D252" s="80">
        <f>419396*C271</f>
        <v>557444387.36000001</v>
      </c>
      <c r="E252" s="98">
        <f>3218.73*C271</f>
        <v>4278207.1667999998</v>
      </c>
      <c r="F252" s="98">
        <f>-5739.17*C271</f>
        <v>-7628275.1972000003</v>
      </c>
      <c r="G252" s="98">
        <f>1345.07*C271</f>
        <v>1787813.2412</v>
      </c>
      <c r="H252" s="80">
        <f t="shared" ref="H252" si="145">(E252+F252)-G252</f>
        <v>-5137881.2715999996</v>
      </c>
      <c r="I252" s="75">
        <v>849506413.32219601</v>
      </c>
      <c r="J252" s="70">
        <f t="shared" si="138"/>
        <v>1.5745776126460043E-2</v>
      </c>
      <c r="K252" s="75">
        <f>648016.34*C271</f>
        <v>861317398.47440004</v>
      </c>
      <c r="L252" s="70">
        <f t="shared" si="139"/>
        <v>1.5840221176177807E-2</v>
      </c>
      <c r="M252" s="70">
        <f t="shared" si="140"/>
        <v>1.3903350188981367E-2</v>
      </c>
      <c r="N252" s="72">
        <f t="shared" si="141"/>
        <v>2.0756729683699027E-3</v>
      </c>
      <c r="O252" s="73">
        <f t="shared" si="142"/>
        <v>-5.9651427925413109E-3</v>
      </c>
      <c r="P252" s="74">
        <f t="shared" si="143"/>
        <v>13228.450846146072</v>
      </c>
      <c r="Q252" s="74">
        <f t="shared" si="144"/>
        <v>-78.909598221375248</v>
      </c>
      <c r="R252" s="75">
        <f>9.9525*C271</f>
        <v>13228.464900000001</v>
      </c>
      <c r="S252" s="75">
        <f>9.9525*C271</f>
        <v>13228.464900000001</v>
      </c>
      <c r="T252" s="75">
        <v>14</v>
      </c>
      <c r="U252" s="75">
        <v>63654.720000000001</v>
      </c>
      <c r="V252" s="75">
        <v>65110.98</v>
      </c>
      <c r="W252" s="35"/>
    </row>
    <row r="253" spans="1:23" ht="15" customHeight="1">
      <c r="A253" s="175" t="s">
        <v>64</v>
      </c>
      <c r="B253" s="175"/>
      <c r="C253" s="175"/>
      <c r="D253" s="175"/>
      <c r="E253" s="175"/>
      <c r="F253" s="175"/>
      <c r="G253" s="175"/>
      <c r="H253" s="175"/>
      <c r="I253" s="85">
        <f>SUM(I246:I252)</f>
        <v>53951383945.732597</v>
      </c>
      <c r="J253" s="83">
        <f>(I253/$I$269)</f>
        <v>5.6177688187114905E-3</v>
      </c>
      <c r="K253" s="85">
        <f>SUM(K246:K252)</f>
        <v>54375339137.9244</v>
      </c>
      <c r="L253" s="83">
        <f>(K253/$K$269)</f>
        <v>5.5581127965562338E-3</v>
      </c>
      <c r="M253" s="135"/>
      <c r="N253" s="136"/>
      <c r="O253" s="136"/>
      <c r="P253" s="137"/>
      <c r="Q253" s="137"/>
      <c r="R253" s="85"/>
      <c r="S253" s="85"/>
      <c r="T253" s="85">
        <f>SUM(T246:T252)</f>
        <v>308</v>
      </c>
      <c r="U253" s="85"/>
      <c r="V253" s="85"/>
      <c r="W253" s="32"/>
    </row>
    <row r="254" spans="1:23" ht="7.2" customHeight="1">
      <c r="A254" s="166"/>
      <c r="B254" s="166"/>
      <c r="C254" s="166"/>
      <c r="D254" s="166"/>
      <c r="E254" s="166"/>
      <c r="F254" s="166"/>
      <c r="G254" s="166"/>
      <c r="H254" s="166"/>
      <c r="I254" s="85"/>
      <c r="J254" s="83"/>
      <c r="K254" s="85"/>
      <c r="L254" s="83"/>
      <c r="M254" s="135"/>
      <c r="N254" s="136"/>
      <c r="O254" s="136"/>
      <c r="P254" s="137"/>
      <c r="Q254" s="137"/>
      <c r="R254" s="85"/>
      <c r="S254" s="85"/>
      <c r="T254" s="85"/>
      <c r="U254" s="85"/>
      <c r="V254" s="85"/>
      <c r="W254" s="32"/>
    </row>
    <row r="255" spans="1:23" ht="15" customHeight="1">
      <c r="A255" s="185" t="s">
        <v>328</v>
      </c>
      <c r="B255" s="185"/>
      <c r="C255" s="185"/>
      <c r="D255" s="185"/>
      <c r="E255" s="185"/>
      <c r="F255" s="185"/>
      <c r="G255" s="185"/>
      <c r="H255" s="185"/>
      <c r="I255" s="185"/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52"/>
    </row>
    <row r="256" spans="1:23" ht="15" customHeight="1">
      <c r="A256" s="192">
        <v>1</v>
      </c>
      <c r="B256" s="78" t="s">
        <v>329</v>
      </c>
      <c r="C256" s="79" t="s">
        <v>330</v>
      </c>
      <c r="D256" s="71">
        <v>2378263007.4499998</v>
      </c>
      <c r="E256" s="71">
        <v>9931784.0199999996</v>
      </c>
      <c r="F256" s="71">
        <v>1844704386.97</v>
      </c>
      <c r="G256" s="67">
        <v>3741763.27</v>
      </c>
      <c r="H256" s="68">
        <f>(E256+F256)-G256</f>
        <v>1850894407.72</v>
      </c>
      <c r="I256" s="75">
        <v>2385188412.8400002</v>
      </c>
      <c r="J256" s="70">
        <f>(I256/$I$268)</f>
        <v>7.436480750753606E-2</v>
      </c>
      <c r="K256" s="67">
        <v>2425520464.2199998</v>
      </c>
      <c r="L256" s="70">
        <f>(K256/$K$268)</f>
        <v>7.2902502556626017E-2</v>
      </c>
      <c r="M256" s="70">
        <f t="shared" ref="M256" si="146">((K256-I256)/I256)</f>
        <v>1.6909377541364543E-2</v>
      </c>
      <c r="N256" s="72">
        <f t="shared" ref="N256" si="147">(G256/K256)</f>
        <v>1.5426640695044699E-3</v>
      </c>
      <c r="O256" s="73">
        <f t="shared" ref="O256" si="148">H256/K256</f>
        <v>0.76309164776113803</v>
      </c>
      <c r="P256" s="74">
        <f t="shared" ref="P256" si="149">K256/V256</f>
        <v>571.58488611287896</v>
      </c>
      <c r="Q256" s="74">
        <f t="shared" ref="Q256" si="150">H256/V256</f>
        <v>436.17165257923898</v>
      </c>
      <c r="R256" s="75">
        <v>594.34</v>
      </c>
      <c r="S256" s="75">
        <v>594.34</v>
      </c>
      <c r="T256" s="75">
        <v>2449</v>
      </c>
      <c r="U256" s="67">
        <v>4243500</v>
      </c>
      <c r="V256" s="67">
        <v>4243500</v>
      </c>
      <c r="W256" s="34"/>
    </row>
    <row r="257" spans="1:23" ht="15" customHeight="1">
      <c r="A257" s="192">
        <v>2</v>
      </c>
      <c r="B257" s="78" t="s">
        <v>331</v>
      </c>
      <c r="C257" s="79" t="s">
        <v>292</v>
      </c>
      <c r="D257" s="71">
        <v>3320626128.5999999</v>
      </c>
      <c r="E257" s="71">
        <v>18543042.210000001</v>
      </c>
      <c r="F257" s="71">
        <v>88488758.299999997</v>
      </c>
      <c r="G257" s="67">
        <v>3573414.21</v>
      </c>
      <c r="H257" s="68">
        <f>(E257+F257)-G257</f>
        <v>103458386.3</v>
      </c>
      <c r="I257" s="75">
        <v>3326069020.6199999</v>
      </c>
      <c r="J257" s="70">
        <f t="shared" ref="J257:J267" si="151">(I257/$I$268)</f>
        <v>0.10369934766733127</v>
      </c>
      <c r="K257" s="67">
        <v>3429527406.9200001</v>
      </c>
      <c r="L257" s="70">
        <f t="shared" ref="L257:L267" si="152">(K257/$K$268)</f>
        <v>0.10307937378355875</v>
      </c>
      <c r="M257" s="70">
        <f t="shared" ref="M257:M267" si="153">((K257-I257)/I257)</f>
        <v>3.1105303485468531E-2</v>
      </c>
      <c r="N257" s="72">
        <f t="shared" ref="N257:N267" si="154">(G257/K257)</f>
        <v>1.0419552859643778E-3</v>
      </c>
      <c r="O257" s="73">
        <f t="shared" ref="O257:O267" si="155">H257/K257</f>
        <v>3.0166951309747427E-2</v>
      </c>
      <c r="P257" s="74">
        <f t="shared" ref="P257:P267" si="156">K257/V257</f>
        <v>102.68046128502995</v>
      </c>
      <c r="Q257" s="74">
        <f t="shared" ref="Q257:Q267" si="157">H257/V257</f>
        <v>3.0975564760479042</v>
      </c>
      <c r="R257" s="67">
        <v>97.55</v>
      </c>
      <c r="S257" s="67">
        <v>107.81</v>
      </c>
      <c r="T257" s="75">
        <v>3953</v>
      </c>
      <c r="U257" s="67">
        <v>33400000</v>
      </c>
      <c r="V257" s="67">
        <v>33400000</v>
      </c>
      <c r="W257" s="34"/>
    </row>
    <row r="258" spans="1:23" ht="15" customHeight="1">
      <c r="A258" s="192">
        <v>3</v>
      </c>
      <c r="B258" s="78" t="s">
        <v>332</v>
      </c>
      <c r="C258" s="79" t="s">
        <v>48</v>
      </c>
      <c r="D258" s="71">
        <v>833124933</v>
      </c>
      <c r="E258" s="71">
        <v>0</v>
      </c>
      <c r="F258" s="71">
        <v>11086828.18</v>
      </c>
      <c r="G258" s="67">
        <v>1413389.04</v>
      </c>
      <c r="H258" s="68">
        <f t="shared" ref="H258:H267" si="158">(E258+F258)-G258</f>
        <v>9673439.1400000006</v>
      </c>
      <c r="I258" s="75">
        <v>823508606.35000002</v>
      </c>
      <c r="J258" s="70">
        <f t="shared" si="151"/>
        <v>2.5675145268335267E-2</v>
      </c>
      <c r="K258" s="67">
        <v>830224919.13</v>
      </c>
      <c r="L258" s="70">
        <f t="shared" si="152"/>
        <v>2.495360281732905E-2</v>
      </c>
      <c r="M258" s="70">
        <f t="shared" si="153"/>
        <v>8.1557287054574712E-3</v>
      </c>
      <c r="N258" s="72">
        <f t="shared" si="154"/>
        <v>1.7024170287265081E-3</v>
      </c>
      <c r="O258" s="73">
        <f t="shared" si="155"/>
        <v>1.1651588523910945E-2</v>
      </c>
      <c r="P258" s="74">
        <f t="shared" si="156"/>
        <v>61.486755721533051</v>
      </c>
      <c r="Q258" s="74">
        <f t="shared" si="157"/>
        <v>0.71641837733753011</v>
      </c>
      <c r="R258" s="67">
        <v>61.84</v>
      </c>
      <c r="S258" s="67">
        <v>62.18</v>
      </c>
      <c r="T258" s="67">
        <v>1952</v>
      </c>
      <c r="U258" s="67">
        <v>13502500</v>
      </c>
      <c r="V258" s="67">
        <v>13502500</v>
      </c>
      <c r="W258" s="34"/>
    </row>
    <row r="259" spans="1:23" ht="15" customHeight="1">
      <c r="A259" s="192">
        <v>4</v>
      </c>
      <c r="B259" s="78" t="s">
        <v>333</v>
      </c>
      <c r="C259" s="79" t="s">
        <v>48</v>
      </c>
      <c r="D259" s="71">
        <v>1670017027</v>
      </c>
      <c r="E259" s="71">
        <v>148128.75</v>
      </c>
      <c r="F259" s="71">
        <v>93346395.099999994</v>
      </c>
      <c r="G259" s="67">
        <v>2169636.0699999998</v>
      </c>
      <c r="H259" s="68">
        <f t="shared" si="158"/>
        <v>91324887.780000001</v>
      </c>
      <c r="I259" s="75">
        <v>1586188794.04</v>
      </c>
      <c r="J259" s="70">
        <f t="shared" si="151"/>
        <v>4.9453797320332678E-2</v>
      </c>
      <c r="K259" s="67">
        <v>1677903524.6099999</v>
      </c>
      <c r="L259" s="70">
        <f t="shared" si="152"/>
        <v>5.0431801255484E-2</v>
      </c>
      <c r="M259" s="70">
        <f t="shared" si="153"/>
        <v>5.7820816106261753E-2</v>
      </c>
      <c r="N259" s="72">
        <f t="shared" si="154"/>
        <v>1.2930636584152207E-3</v>
      </c>
      <c r="O259" s="73">
        <f t="shared" si="155"/>
        <v>5.442797302736873E-2</v>
      </c>
      <c r="P259" s="74">
        <f t="shared" si="156"/>
        <v>142.4838040276492</v>
      </c>
      <c r="Q259" s="74">
        <f t="shared" si="157"/>
        <v>7.7551046424537837</v>
      </c>
      <c r="R259" s="75">
        <v>143.1</v>
      </c>
      <c r="S259" s="75">
        <v>143.76</v>
      </c>
      <c r="T259" s="75">
        <v>1494</v>
      </c>
      <c r="U259" s="67">
        <v>11776100</v>
      </c>
      <c r="V259" s="67">
        <v>11776100</v>
      </c>
      <c r="W259" s="34"/>
    </row>
    <row r="260" spans="1:23" ht="15" customHeight="1">
      <c r="A260" s="192">
        <v>5</v>
      </c>
      <c r="B260" s="78" t="s">
        <v>334</v>
      </c>
      <c r="C260" s="79" t="s">
        <v>335</v>
      </c>
      <c r="D260" s="71">
        <v>1576319324.3599999</v>
      </c>
      <c r="E260" s="71">
        <v>1311737.78</v>
      </c>
      <c r="F260" s="69">
        <v>0</v>
      </c>
      <c r="G260" s="67">
        <v>504062.29</v>
      </c>
      <c r="H260" s="68">
        <f t="shared" si="158"/>
        <v>807675.49</v>
      </c>
      <c r="I260" s="75">
        <v>1697647101.51</v>
      </c>
      <c r="J260" s="70">
        <f t="shared" si="151"/>
        <v>5.2928816541247502E-2</v>
      </c>
      <c r="K260" s="75">
        <v>1572966654.53</v>
      </c>
      <c r="L260" s="70">
        <f t="shared" si="152"/>
        <v>4.7277772851212561E-2</v>
      </c>
      <c r="M260" s="70">
        <f t="shared" si="153"/>
        <v>-7.3443088889970684E-2</v>
      </c>
      <c r="N260" s="72">
        <f t="shared" si="154"/>
        <v>3.2045325852798385E-4</v>
      </c>
      <c r="O260" s="73">
        <f t="shared" si="155"/>
        <v>5.1347273489489977E-4</v>
      </c>
      <c r="P260" s="74">
        <f t="shared" si="156"/>
        <v>42844.950141094436</v>
      </c>
      <c r="Q260" s="74">
        <f t="shared" si="157"/>
        <v>21.99971372538338</v>
      </c>
      <c r="R260" s="67">
        <v>54475</v>
      </c>
      <c r="S260" s="67">
        <v>50175</v>
      </c>
      <c r="T260" s="75">
        <v>1323</v>
      </c>
      <c r="U260" s="67">
        <v>36313</v>
      </c>
      <c r="V260" s="67">
        <v>36713</v>
      </c>
      <c r="W260" s="35"/>
    </row>
    <row r="261" spans="1:23" ht="15" customHeight="1">
      <c r="A261" s="192">
        <v>6</v>
      </c>
      <c r="B261" s="78" t="s">
        <v>336</v>
      </c>
      <c r="C261" s="79" t="s">
        <v>337</v>
      </c>
      <c r="D261" s="71">
        <v>1998860246.8</v>
      </c>
      <c r="E261" s="71">
        <v>109669.68</v>
      </c>
      <c r="F261" s="71">
        <v>85269588.930000007</v>
      </c>
      <c r="G261" s="67">
        <v>3002917.61</v>
      </c>
      <c r="H261" s="68">
        <f t="shared" si="158"/>
        <v>82376341</v>
      </c>
      <c r="I261" s="75">
        <v>1889078052.75</v>
      </c>
      <c r="J261" s="70">
        <f t="shared" si="151"/>
        <v>5.8897202838662427E-2</v>
      </c>
      <c r="K261" s="67">
        <v>2020018337.6600001</v>
      </c>
      <c r="L261" s="70">
        <f t="shared" si="152"/>
        <v>6.0714553514619365E-2</v>
      </c>
      <c r="M261" s="70">
        <f t="shared" si="153"/>
        <v>6.9314385776376747E-2</v>
      </c>
      <c r="N261" s="72">
        <f t="shared" si="154"/>
        <v>1.48657938099641E-3</v>
      </c>
      <c r="O261" s="73">
        <f t="shared" si="155"/>
        <v>4.077999662885496E-2</v>
      </c>
      <c r="P261" s="74">
        <f t="shared" si="156"/>
        <v>762.84509303630944</v>
      </c>
      <c r="Q261" s="74">
        <f t="shared" si="157"/>
        <v>31.108820322359247</v>
      </c>
      <c r="R261" s="67">
        <v>755.11</v>
      </c>
      <c r="S261" s="67">
        <v>768.15</v>
      </c>
      <c r="T261" s="75">
        <v>2381</v>
      </c>
      <c r="U261" s="67">
        <v>2583947.0099999998</v>
      </c>
      <c r="V261" s="67">
        <v>2648005.94</v>
      </c>
      <c r="W261" s="34"/>
    </row>
    <row r="262" spans="1:23" ht="15" customHeight="1">
      <c r="A262" s="192">
        <v>7</v>
      </c>
      <c r="B262" s="78" t="s">
        <v>338</v>
      </c>
      <c r="C262" s="79" t="s">
        <v>337</v>
      </c>
      <c r="D262" s="71">
        <v>2497742058.9299998</v>
      </c>
      <c r="E262" s="71">
        <v>1221869.92</v>
      </c>
      <c r="F262" s="71">
        <v>77120801.5</v>
      </c>
      <c r="G262" s="67">
        <v>5163520.59</v>
      </c>
      <c r="H262" s="68">
        <f t="shared" si="158"/>
        <v>73179150.829999998</v>
      </c>
      <c r="I262" s="75">
        <v>2124984707</v>
      </c>
      <c r="J262" s="70">
        <f t="shared" si="151"/>
        <v>6.6252241475698151E-2</v>
      </c>
      <c r="K262" s="67">
        <v>2555029131.4200001</v>
      </c>
      <c r="L262" s="70">
        <f t="shared" si="152"/>
        <v>7.6795071628266251E-2</v>
      </c>
      <c r="M262" s="70">
        <f t="shared" si="153"/>
        <v>0.20237530322141753</v>
      </c>
      <c r="N262" s="72">
        <f t="shared" si="154"/>
        <v>2.0209243513126941E-3</v>
      </c>
      <c r="O262" s="73">
        <f t="shared" si="155"/>
        <v>2.8641219753658725E-2</v>
      </c>
      <c r="P262" s="74">
        <f t="shared" si="156"/>
        <v>517.75176416734803</v>
      </c>
      <c r="Q262" s="74">
        <f t="shared" si="157"/>
        <v>14.829042055361501</v>
      </c>
      <c r="R262" s="75">
        <v>512.57000000000005</v>
      </c>
      <c r="S262" s="75">
        <v>521.29999999999995</v>
      </c>
      <c r="T262" s="75">
        <v>11794</v>
      </c>
      <c r="U262" s="67">
        <v>4228624.25</v>
      </c>
      <c r="V262" s="67">
        <v>4934853.55</v>
      </c>
      <c r="W262" s="34"/>
    </row>
    <row r="263" spans="1:23" ht="15" customHeight="1">
      <c r="A263" s="192">
        <v>8</v>
      </c>
      <c r="B263" s="78" t="s">
        <v>339</v>
      </c>
      <c r="C263" s="79" t="s">
        <v>142</v>
      </c>
      <c r="D263" s="71">
        <v>619429865.14999998</v>
      </c>
      <c r="E263" s="71">
        <v>41907.879999999997</v>
      </c>
      <c r="F263" s="71">
        <v>-2880560.8</v>
      </c>
      <c r="G263" s="67">
        <v>859100.29</v>
      </c>
      <c r="H263" s="68">
        <f t="shared" si="158"/>
        <v>-3697753.21</v>
      </c>
      <c r="I263" s="75">
        <v>620950721.27999997</v>
      </c>
      <c r="J263" s="70">
        <f t="shared" si="151"/>
        <v>1.9359846212178646E-2</v>
      </c>
      <c r="K263" s="67">
        <v>617252968.08000004</v>
      </c>
      <c r="L263" s="70">
        <f t="shared" si="152"/>
        <v>1.8552424828956492E-2</v>
      </c>
      <c r="M263" s="70">
        <f t="shared" si="153"/>
        <v>-5.9549865605720625E-3</v>
      </c>
      <c r="N263" s="72">
        <f t="shared" si="154"/>
        <v>1.39181232724126E-3</v>
      </c>
      <c r="O263" s="73">
        <f t="shared" si="155"/>
        <v>-5.9906608817160796E-3</v>
      </c>
      <c r="P263" s="74">
        <f t="shared" si="156"/>
        <v>41.448377499733084</v>
      </c>
      <c r="Q263" s="74">
        <f t="shared" si="157"/>
        <v>-0.24830317369825189</v>
      </c>
      <c r="R263" s="75">
        <v>40.520000000000003</v>
      </c>
      <c r="S263" s="75">
        <v>40.619999999999997</v>
      </c>
      <c r="T263" s="67">
        <v>5118</v>
      </c>
      <c r="U263" s="67">
        <v>14892090</v>
      </c>
      <c r="V263" s="67">
        <v>14892090</v>
      </c>
      <c r="W263" s="34"/>
    </row>
    <row r="264" spans="1:23" ht="15" customHeight="1">
      <c r="A264" s="192">
        <v>9</v>
      </c>
      <c r="B264" s="78" t="s">
        <v>340</v>
      </c>
      <c r="C264" s="79" t="s">
        <v>142</v>
      </c>
      <c r="D264" s="71">
        <v>2446669130.1100001</v>
      </c>
      <c r="E264" s="71">
        <v>894065.83</v>
      </c>
      <c r="F264" s="71">
        <v>77051143.5</v>
      </c>
      <c r="G264" s="67">
        <v>2253465.79</v>
      </c>
      <c r="H264" s="68">
        <f t="shared" si="158"/>
        <v>75691743.540000007</v>
      </c>
      <c r="I264" s="75">
        <v>2361983869.6599998</v>
      </c>
      <c r="J264" s="70">
        <f t="shared" si="151"/>
        <v>7.3641342066570581E-2</v>
      </c>
      <c r="K264" s="67">
        <v>2437675613.1999998</v>
      </c>
      <c r="L264" s="70">
        <f t="shared" si="152"/>
        <v>7.3267843023821611E-2</v>
      </c>
      <c r="M264" s="70">
        <f t="shared" si="153"/>
        <v>3.2045834229551935E-2</v>
      </c>
      <c r="N264" s="72">
        <f t="shared" si="154"/>
        <v>9.2443218359222832E-4</v>
      </c>
      <c r="O264" s="73">
        <f t="shared" si="155"/>
        <v>3.1050785892154657E-2</v>
      </c>
      <c r="P264" s="74">
        <f t="shared" si="156"/>
        <v>25.85754069044599</v>
      </c>
      <c r="Q264" s="74">
        <f t="shared" si="157"/>
        <v>0.80289695967671526</v>
      </c>
      <c r="R264" s="75">
        <v>27.23</v>
      </c>
      <c r="S264" s="75">
        <v>27.23</v>
      </c>
      <c r="T264" s="75">
        <v>6527</v>
      </c>
      <c r="U264" s="67">
        <v>94273297</v>
      </c>
      <c r="V264" s="67">
        <v>94273297</v>
      </c>
      <c r="W264" s="34"/>
    </row>
    <row r="265" spans="1:23" ht="15" customHeight="1">
      <c r="A265" s="192">
        <v>10</v>
      </c>
      <c r="B265" s="78" t="s">
        <v>341</v>
      </c>
      <c r="C265" s="79" t="s">
        <v>142</v>
      </c>
      <c r="D265" s="71">
        <v>477754685.42000002</v>
      </c>
      <c r="E265" s="71">
        <v>13335130.59</v>
      </c>
      <c r="F265" s="71">
        <v>9190370.2899999991</v>
      </c>
      <c r="G265" s="67">
        <v>402181.43</v>
      </c>
      <c r="H265" s="68">
        <f t="shared" si="158"/>
        <v>22123319.449999999</v>
      </c>
      <c r="I265" s="75">
        <v>451233908.97000003</v>
      </c>
      <c r="J265" s="70">
        <f t="shared" si="151"/>
        <v>1.4068457904955473E-2</v>
      </c>
      <c r="K265" s="67">
        <v>473357228.42000002</v>
      </c>
      <c r="L265" s="70">
        <f t="shared" si="152"/>
        <v>1.4227431623086246E-2</v>
      </c>
      <c r="M265" s="70">
        <f t="shared" si="153"/>
        <v>4.9028495000518327E-2</v>
      </c>
      <c r="N265" s="72">
        <f t="shared" si="154"/>
        <v>8.4963618564023026E-4</v>
      </c>
      <c r="O265" s="73">
        <f t="shared" si="155"/>
        <v>4.6737047882092209E-2</v>
      </c>
      <c r="P265" s="74">
        <f t="shared" si="156"/>
        <v>154.02687104566817</v>
      </c>
      <c r="Q265" s="74">
        <f t="shared" si="157"/>
        <v>7.1987612471902356</v>
      </c>
      <c r="R265" s="75">
        <v>150.88</v>
      </c>
      <c r="S265" s="75">
        <v>152.88</v>
      </c>
      <c r="T265" s="75">
        <v>2688</v>
      </c>
      <c r="U265" s="67">
        <v>3073212</v>
      </c>
      <c r="V265" s="67">
        <v>3073212</v>
      </c>
      <c r="W265" s="34"/>
    </row>
    <row r="266" spans="1:23" ht="15" customHeight="1">
      <c r="A266" s="192">
        <v>11</v>
      </c>
      <c r="B266" s="78" t="s">
        <v>342</v>
      </c>
      <c r="C266" s="79" t="s">
        <v>142</v>
      </c>
      <c r="D266" s="71">
        <v>14634157232.02</v>
      </c>
      <c r="E266" s="71">
        <v>5700584.3899999997</v>
      </c>
      <c r="F266" s="71">
        <v>423010052.10000002</v>
      </c>
      <c r="G266" s="67">
        <v>9440499.25</v>
      </c>
      <c r="H266" s="68">
        <f t="shared" si="158"/>
        <v>419270137.24000001</v>
      </c>
      <c r="I266" s="75">
        <v>14203685961.35</v>
      </c>
      <c r="J266" s="70">
        <f t="shared" si="151"/>
        <v>0.44283896682007701</v>
      </c>
      <c r="K266" s="67">
        <v>14622956098.59</v>
      </c>
      <c r="L266" s="70">
        <f t="shared" si="152"/>
        <v>0.43951395590707104</v>
      </c>
      <c r="M266" s="70">
        <f t="shared" si="153"/>
        <v>2.951840377074557E-2</v>
      </c>
      <c r="N266" s="72">
        <f t="shared" si="154"/>
        <v>6.4559444659143081E-4</v>
      </c>
      <c r="O266" s="73">
        <f t="shared" si="155"/>
        <v>2.8672050604079131E-2</v>
      </c>
      <c r="P266" s="74">
        <f t="shared" si="156"/>
        <v>87.312651976760975</v>
      </c>
      <c r="Q266" s="74">
        <f t="shared" si="157"/>
        <v>2.5034327758540402</v>
      </c>
      <c r="R266" s="75">
        <v>92.1</v>
      </c>
      <c r="S266" s="75">
        <v>92.3</v>
      </c>
      <c r="T266" s="75">
        <v>8529</v>
      </c>
      <c r="U266" s="67">
        <v>167478089</v>
      </c>
      <c r="V266" s="67">
        <v>167478089</v>
      </c>
      <c r="W266" s="34"/>
    </row>
    <row r="267" spans="1:23" ht="15" customHeight="1">
      <c r="A267" s="192">
        <v>12</v>
      </c>
      <c r="B267" s="78" t="s">
        <v>343</v>
      </c>
      <c r="C267" s="79" t="s">
        <v>142</v>
      </c>
      <c r="D267" s="71">
        <v>586270664.27999997</v>
      </c>
      <c r="E267" s="71">
        <v>69904.12</v>
      </c>
      <c r="F267" s="71">
        <v>5730906.5499999998</v>
      </c>
      <c r="G267" s="67">
        <v>1126161.67</v>
      </c>
      <c r="H267" s="68">
        <f t="shared" si="158"/>
        <v>4674649</v>
      </c>
      <c r="I267" s="75">
        <v>603636520</v>
      </c>
      <c r="J267" s="70">
        <f t="shared" si="151"/>
        <v>1.8820028377074857E-2</v>
      </c>
      <c r="K267" s="67">
        <v>608311169</v>
      </c>
      <c r="L267" s="70">
        <f t="shared" si="152"/>
        <v>1.828366620996864E-2</v>
      </c>
      <c r="M267" s="70">
        <f t="shared" si="153"/>
        <v>7.7441454337454597E-3</v>
      </c>
      <c r="N267" s="72">
        <f t="shared" si="154"/>
        <v>1.8512921139542647E-3</v>
      </c>
      <c r="O267" s="73">
        <f t="shared" si="155"/>
        <v>7.6846345065217769E-3</v>
      </c>
      <c r="P267" s="74">
        <f t="shared" si="156"/>
        <v>108.22436118910468</v>
      </c>
      <c r="Q267" s="74">
        <f t="shared" si="157"/>
        <v>0.83166466044006992</v>
      </c>
      <c r="R267" s="75">
        <v>103.62</v>
      </c>
      <c r="S267" s="75">
        <v>103.82</v>
      </c>
      <c r="T267" s="67">
        <v>4333</v>
      </c>
      <c r="U267" s="67">
        <v>5620834</v>
      </c>
      <c r="V267" s="67">
        <v>5620834</v>
      </c>
      <c r="W267" s="34"/>
    </row>
    <row r="268" spans="1:23" ht="15" customHeight="1">
      <c r="A268" s="175" t="s">
        <v>64</v>
      </c>
      <c r="B268" s="175"/>
      <c r="C268" s="175"/>
      <c r="D268" s="175"/>
      <c r="E268" s="175"/>
      <c r="F268" s="175"/>
      <c r="G268" s="175"/>
      <c r="H268" s="175"/>
      <c r="I268" s="85">
        <f>SUM(I256:I267)</f>
        <v>32074155676.370003</v>
      </c>
      <c r="J268" s="83">
        <f>(I268/$I$269)</f>
        <v>3.3397695937967078E-3</v>
      </c>
      <c r="K268" s="85">
        <f>SUM(K256:K267)</f>
        <v>33270743515.779999</v>
      </c>
      <c r="L268" s="83">
        <f>(K268/$K$269)</f>
        <v>3.4008531848773674E-3</v>
      </c>
      <c r="M268" s="135"/>
      <c r="N268" s="136"/>
      <c r="O268" s="136"/>
      <c r="P268" s="137"/>
      <c r="Q268" s="137"/>
      <c r="R268" s="85"/>
      <c r="S268" s="85"/>
      <c r="T268" s="85">
        <f>SUM(T256:T267)</f>
        <v>52541</v>
      </c>
      <c r="U268" s="85"/>
      <c r="V268" s="85"/>
      <c r="W268" s="32"/>
    </row>
    <row r="269" spans="1:23" ht="15.6" customHeight="1">
      <c r="A269" s="184" t="s">
        <v>344</v>
      </c>
      <c r="B269" s="184"/>
      <c r="C269" s="184"/>
      <c r="D269" s="184"/>
      <c r="E269" s="184"/>
      <c r="F269" s="184"/>
      <c r="G269" s="184"/>
      <c r="H269" s="184"/>
      <c r="I269" s="193">
        <f>I27+I79+I120+I165+I174+I208+I214+I243+I253+I268</f>
        <v>9603703122498.2051</v>
      </c>
      <c r="J269" s="194"/>
      <c r="K269" s="193">
        <f>K27+K79+K120+K165+K174+K208+K214+K243+K253+K268</f>
        <v>9783057870220.7988</v>
      </c>
      <c r="L269" s="194"/>
      <c r="M269" s="194"/>
      <c r="N269" s="194"/>
      <c r="O269" s="194"/>
      <c r="P269" s="194"/>
      <c r="Q269" s="194"/>
      <c r="R269" s="195"/>
      <c r="S269" s="195"/>
      <c r="T269" s="193">
        <f>T27+T79+T120+T165+T174+T208+T214+T243+T253+T268</f>
        <v>1563980</v>
      </c>
      <c r="U269" s="195"/>
      <c r="V269" s="195"/>
      <c r="W269" s="53"/>
    </row>
    <row r="270" spans="1:23" ht="4.95" customHeight="1">
      <c r="A270" s="54"/>
      <c r="B270" s="55"/>
      <c r="C270" s="56"/>
      <c r="D270" s="14"/>
      <c r="E270" s="14"/>
      <c r="F270" s="14"/>
      <c r="G270" s="14"/>
      <c r="H270" s="57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>
      <c r="A271" s="58" t="s">
        <v>345</v>
      </c>
      <c r="B271" s="59" t="s">
        <v>346</v>
      </c>
      <c r="C271" s="60">
        <v>1329.16</v>
      </c>
      <c r="D271" s="61"/>
      <c r="E271" s="14"/>
      <c r="F271" s="14"/>
      <c r="G271" s="14"/>
      <c r="H271" s="57"/>
      <c r="I271" s="62"/>
      <c r="J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63"/>
      <c r="W271" s="63"/>
    </row>
    <row r="274" spans="2:2">
      <c r="B274" s="64"/>
    </row>
    <row r="276" spans="2:2">
      <c r="B276" s="65"/>
    </row>
  </sheetData>
  <sheetProtection algorithmName="SHA-512" hashValue="GVKlfiSQ0FASvfSnhFcs4+cc/tyv4lZMq8azfmj22OoMb0wSwPis1YNKm6m8ol0ZLS0we8OsX1tA74a95N/PjQ==" saltValue="BWkVcNLiDPxu72mv1gUcxw==" spinCount="100000" sheet="1" objects="1" scenarios="1"/>
  <mergeCells count="37">
    <mergeCell ref="A269:H269"/>
    <mergeCell ref="A243:H243"/>
    <mergeCell ref="A245:V245"/>
    <mergeCell ref="A253:H253"/>
    <mergeCell ref="A255:V255"/>
    <mergeCell ref="A268:H268"/>
    <mergeCell ref="A216:V216"/>
    <mergeCell ref="A217:V217"/>
    <mergeCell ref="A220:V220"/>
    <mergeCell ref="A221:V221"/>
    <mergeCell ref="A238:V238"/>
    <mergeCell ref="A208:H208"/>
    <mergeCell ref="A209:V209"/>
    <mergeCell ref="A210:V210"/>
    <mergeCell ref="A214:H214"/>
    <mergeCell ref="A215:V215"/>
    <mergeCell ref="A166:V166"/>
    <mergeCell ref="A167:V167"/>
    <mergeCell ref="A174:H174"/>
    <mergeCell ref="A175:V175"/>
    <mergeCell ref="A176:V176"/>
    <mergeCell ref="A122:V122"/>
    <mergeCell ref="A123:V123"/>
    <mergeCell ref="A142:V142"/>
    <mergeCell ref="A143:V143"/>
    <mergeCell ref="A165:H165"/>
    <mergeCell ref="A29:V29"/>
    <mergeCell ref="A79:H79"/>
    <mergeCell ref="A80:V80"/>
    <mergeCell ref="A81:V81"/>
    <mergeCell ref="A121:V121"/>
    <mergeCell ref="A120:H120"/>
    <mergeCell ref="A1:V1"/>
    <mergeCell ref="A3:V3"/>
    <mergeCell ref="A4:V4"/>
    <mergeCell ref="A27:H27"/>
    <mergeCell ref="A28:V28"/>
  </mergeCells>
  <pageMargins left="0.7" right="0.7" top="0.75" bottom="0.75" header="0.3" footer="0.3"/>
  <pageSetup scale="83" orientation="portrait" r:id="rId1"/>
  <colBreaks count="1" manualBreakCount="1">
    <brk id="3" max="1048575" man="1"/>
  </colBreaks>
  <ignoredErrors>
    <ignoredError sqref="J27 J79 J120 J165 J174 J208 J214 J243 J253 J26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11" sqref="H11"/>
    </sheetView>
  </sheetViews>
  <sheetFormatPr defaultColWidth="9" defaultRowHeight="14.4"/>
  <cols>
    <col min="1" max="1" width="30.33203125" customWidth="1"/>
    <col min="2" max="3" width="9.33203125" customWidth="1"/>
    <col min="4" max="4" width="9.441406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39"/>
      <c r="B2" s="139"/>
      <c r="C2" s="139"/>
      <c r="D2" s="139"/>
      <c r="E2" s="1"/>
      <c r="F2" s="1"/>
      <c r="G2" s="1"/>
      <c r="H2" s="1"/>
    </row>
    <row r="3" spans="1:8">
      <c r="A3" s="157"/>
      <c r="B3" s="157"/>
      <c r="C3" s="157"/>
      <c r="D3" s="157"/>
      <c r="E3" s="2"/>
      <c r="F3" s="1"/>
      <c r="G3" s="1"/>
      <c r="H3" s="1"/>
    </row>
    <row r="4" spans="1:8" ht="33" customHeight="1">
      <c r="A4" s="158" t="s">
        <v>347</v>
      </c>
      <c r="B4" s="159" t="s">
        <v>348</v>
      </c>
      <c r="C4" s="159" t="s">
        <v>349</v>
      </c>
      <c r="D4" s="159" t="s">
        <v>354</v>
      </c>
      <c r="E4" s="2"/>
      <c r="F4" s="1"/>
      <c r="G4" s="1"/>
      <c r="H4" s="1"/>
    </row>
    <row r="5" spans="1:8" ht="19.05" customHeight="1">
      <c r="A5" s="160" t="s">
        <v>22</v>
      </c>
      <c r="B5" s="161">
        <v>241.38586553741001</v>
      </c>
      <c r="C5" s="161">
        <f>[1]August!K25/1000000000</f>
        <v>233.72278697153999</v>
      </c>
      <c r="D5" s="161">
        <f>September!K27/1000000000</f>
        <v>243.56730204527</v>
      </c>
      <c r="E5" s="2"/>
      <c r="F5" s="1"/>
      <c r="G5" s="1"/>
      <c r="H5" s="1"/>
    </row>
    <row r="6" spans="1:8">
      <c r="A6" s="158" t="s">
        <v>65</v>
      </c>
      <c r="B6" s="161">
        <v>6263.1142898272401</v>
      </c>
      <c r="C6" s="161">
        <f>[1]August!K76/1000000000</f>
        <v>6448.537446804994</v>
      </c>
      <c r="D6" s="161">
        <f>September!K79/1000000000</f>
        <v>6579.6972072928402</v>
      </c>
      <c r="E6" s="2"/>
      <c r="F6" s="1"/>
      <c r="G6" s="1"/>
      <c r="H6" s="1"/>
    </row>
    <row r="7" spans="1:8">
      <c r="A7" s="158" t="s">
        <v>350</v>
      </c>
      <c r="B7" s="161">
        <v>232.74981180539999</v>
      </c>
      <c r="C7" s="161">
        <f>[1]August!K117/1000000000</f>
        <v>235.10587555532999</v>
      </c>
      <c r="D7" s="161">
        <f>September!K120/1000000000</f>
        <v>234.46569086401999</v>
      </c>
      <c r="E7" s="2"/>
      <c r="F7" s="1"/>
      <c r="G7" s="1"/>
      <c r="H7" s="1"/>
    </row>
    <row r="8" spans="1:8">
      <c r="A8" s="158" t="s">
        <v>195</v>
      </c>
      <c r="B8" s="161">
        <v>1819.3970402694399</v>
      </c>
      <c r="C8" s="161">
        <f>[1]August!K161/1000000000</f>
        <v>1752.5097771838987</v>
      </c>
      <c r="D8" s="161">
        <f>September!K165/1000000000</f>
        <v>1745.6004688366977</v>
      </c>
      <c r="E8" s="2"/>
      <c r="F8" s="1"/>
      <c r="G8" s="1"/>
      <c r="H8" s="1"/>
    </row>
    <row r="9" spans="1:8">
      <c r="A9" s="158" t="s">
        <v>351</v>
      </c>
      <c r="B9" s="161">
        <v>519.10571993953999</v>
      </c>
      <c r="C9" s="161">
        <f>[1]August!K170/1000000000</f>
        <v>522.41815593666001</v>
      </c>
      <c r="D9" s="161">
        <f>September!K174/1000000000</f>
        <v>523.40201089084007</v>
      </c>
      <c r="E9" s="2"/>
      <c r="F9" s="1"/>
      <c r="G9" s="1"/>
      <c r="H9" s="1"/>
    </row>
    <row r="10" spans="1:8">
      <c r="A10" s="158" t="s">
        <v>249</v>
      </c>
      <c r="B10" s="161">
        <v>155.82341934322901</v>
      </c>
      <c r="C10" s="161">
        <f>[1]August!K203/1000000000</f>
        <v>157.7614732001141</v>
      </c>
      <c r="D10" s="161">
        <f>September!K208/1000000000</f>
        <v>197.84025848705687</v>
      </c>
      <c r="E10" s="2"/>
      <c r="F10" s="1"/>
      <c r="G10" s="1"/>
      <c r="H10" s="1"/>
    </row>
    <row r="11" spans="1:8">
      <c r="A11" s="158" t="s">
        <v>284</v>
      </c>
      <c r="B11" s="161">
        <v>19.72097813189</v>
      </c>
      <c r="C11" s="161">
        <f>[1]August!K209/1000000000</f>
        <v>19.65912200975</v>
      </c>
      <c r="D11" s="161">
        <f>September!K214/1000000000</f>
        <v>19.65912200975</v>
      </c>
      <c r="E11" s="2"/>
      <c r="F11" s="1"/>
      <c r="G11" s="1"/>
      <c r="H11" s="1"/>
    </row>
    <row r="12" spans="1:8">
      <c r="A12" s="158" t="s">
        <v>352</v>
      </c>
      <c r="B12" s="161">
        <v>145.25147190111599</v>
      </c>
      <c r="C12" s="161">
        <f>[1]August!K237/1000000000</f>
        <v>147.96294521381847</v>
      </c>
      <c r="D12" s="161">
        <f>September!K243/1000000000</f>
        <v>151.17972714062259</v>
      </c>
      <c r="E12" s="2"/>
      <c r="F12" s="1"/>
      <c r="G12" s="1"/>
      <c r="H12" s="1"/>
    </row>
    <row r="13" spans="1:8">
      <c r="A13" s="162" t="s">
        <v>319</v>
      </c>
      <c r="B13" s="161">
        <v>52.848095925552201</v>
      </c>
      <c r="C13" s="161">
        <f>[1]August!K248/1000000000</f>
        <v>53.951383945732594</v>
      </c>
      <c r="D13" s="161">
        <f>September!K253/1000000000</f>
        <v>54.375339137924399</v>
      </c>
      <c r="E13" s="2"/>
      <c r="F13" s="1"/>
      <c r="G13" s="1"/>
      <c r="H13" s="1"/>
    </row>
    <row r="14" spans="1:8">
      <c r="A14" s="162" t="s">
        <v>355</v>
      </c>
      <c r="B14" s="161">
        <v>27.933876860290006</v>
      </c>
      <c r="C14" s="161">
        <v>32.074155676369998</v>
      </c>
      <c r="D14" s="161">
        <f>September!K268/1000000000</f>
        <v>33.270743515779998</v>
      </c>
      <c r="E14" s="2"/>
      <c r="F14" s="1"/>
      <c r="G14" s="1"/>
      <c r="H14" s="1"/>
    </row>
    <row r="15" spans="1:8">
      <c r="A15" s="157"/>
      <c r="B15" s="157"/>
      <c r="C15" s="157"/>
      <c r="D15" s="157"/>
      <c r="E15" s="2"/>
      <c r="F15" s="1"/>
      <c r="G15" s="1"/>
      <c r="H15" s="1"/>
    </row>
    <row r="16" spans="1:8">
      <c r="A16" s="157"/>
      <c r="B16" s="163"/>
      <c r="C16" s="163"/>
      <c r="D16" s="157"/>
      <c r="E16" s="2"/>
      <c r="F16" s="1"/>
      <c r="G16" s="1"/>
      <c r="H16" s="1"/>
    </row>
    <row r="17" spans="1:8">
      <c r="A17" s="164"/>
      <c r="B17" s="165"/>
      <c r="C17" s="165"/>
      <c r="D17" s="157"/>
      <c r="E17" s="2"/>
      <c r="F17" s="1"/>
      <c r="G17" s="1"/>
      <c r="H17" s="1"/>
    </row>
    <row r="18" spans="1:8" ht="15.6">
      <c r="A18" s="10"/>
      <c r="B18" s="8"/>
      <c r="C18" s="8"/>
      <c r="D18" s="1"/>
      <c r="E18" s="1"/>
      <c r="F18" s="1"/>
      <c r="G18" s="1"/>
      <c r="H18" s="1"/>
    </row>
    <row r="19" spans="1:8">
      <c r="A19" s="7"/>
      <c r="B19" s="11"/>
      <c r="C19" s="11"/>
      <c r="D19" s="1"/>
      <c r="E19" s="1"/>
      <c r="F19" s="1"/>
      <c r="G19" s="1"/>
      <c r="H19" s="1"/>
    </row>
    <row r="20" spans="1:8">
      <c r="A20" s="7"/>
      <c r="B20" s="8"/>
      <c r="C20" s="8"/>
      <c r="D20" s="1"/>
      <c r="E20" s="1"/>
      <c r="F20" s="1"/>
      <c r="G20" s="1"/>
      <c r="H20" s="1"/>
    </row>
    <row r="21" spans="1:8">
      <c r="A21" s="7"/>
      <c r="B21" s="11"/>
      <c r="C21" s="11"/>
      <c r="D21" s="1"/>
      <c r="E21" s="1"/>
      <c r="F21" s="1"/>
      <c r="G21" s="1"/>
      <c r="H21" s="1"/>
    </row>
    <row r="22" spans="1:8">
      <c r="A22" s="7"/>
      <c r="B22" s="12"/>
      <c r="C22" s="12"/>
      <c r="D22" s="1"/>
      <c r="E22" s="1"/>
      <c r="F22" s="1"/>
      <c r="G22" s="1"/>
      <c r="H22" s="1"/>
    </row>
    <row r="23" spans="1:8">
      <c r="A23" s="7"/>
      <c r="B23" s="11"/>
      <c r="C23" s="11"/>
      <c r="D23" s="1"/>
      <c r="E23" s="1"/>
      <c r="F23" s="1"/>
      <c r="G23" s="1"/>
      <c r="H23" s="1"/>
    </row>
    <row r="24" spans="1:8">
      <c r="A24" s="7"/>
      <c r="B24" s="11"/>
      <c r="C24" s="11"/>
      <c r="D24" s="1"/>
      <c r="E24" s="1"/>
      <c r="F24" s="1"/>
      <c r="G24" s="1"/>
      <c r="H24" s="1"/>
    </row>
    <row r="25" spans="1:8">
      <c r="A25" s="7"/>
      <c r="B25" s="11"/>
      <c r="C25" s="11"/>
      <c r="D25" s="1"/>
      <c r="E25" s="1"/>
      <c r="F25" s="1"/>
      <c r="G25" s="1"/>
      <c r="H25" s="1"/>
    </row>
    <row r="26" spans="1:8">
      <c r="A26" s="7"/>
      <c r="B26" s="11"/>
      <c r="C26" s="1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</sheetData>
  <sheetProtection algorithmName="SHA-512" hashValue="IWarFC0ae2UyUGnaYSYR6nNW7QSskoEQfV74k4tIIeDzDdOmOfJqyKecmlK+R7HTI2hjG2Mlm5D5PsLKxNc+/g==" saltValue="XgiqOdUqsKH5vakaFKMuD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K13" sqref="K13"/>
    </sheetView>
  </sheetViews>
  <sheetFormatPr defaultColWidth="9" defaultRowHeight="14.4"/>
  <cols>
    <col min="1" max="1" width="26.77734375" customWidth="1"/>
    <col min="2" max="2" width="21.21875" customWidth="1"/>
  </cols>
  <sheetData>
    <row r="1" spans="1:6">
      <c r="A1" s="149" t="s">
        <v>347</v>
      </c>
      <c r="B1" s="150" t="s">
        <v>354</v>
      </c>
      <c r="C1" s="2"/>
      <c r="D1" s="2"/>
      <c r="E1" s="139"/>
      <c r="F1" s="1"/>
    </row>
    <row r="2" spans="1:6">
      <c r="A2" s="149" t="s">
        <v>284</v>
      </c>
      <c r="B2" s="151">
        <f>September!K214</f>
        <v>19659122009.75</v>
      </c>
      <c r="C2" s="2"/>
      <c r="D2" s="2"/>
      <c r="E2" s="139"/>
      <c r="F2" s="1"/>
    </row>
    <row r="3" spans="1:6">
      <c r="A3" s="149" t="s">
        <v>319</v>
      </c>
      <c r="B3" s="151">
        <f>September!K253</f>
        <v>54375339137.9244</v>
      </c>
      <c r="C3" s="2"/>
      <c r="D3" s="2"/>
      <c r="E3" s="139"/>
      <c r="F3" s="1"/>
    </row>
    <row r="4" spans="1:6">
      <c r="A4" s="149" t="s">
        <v>352</v>
      </c>
      <c r="B4" s="152">
        <f>September!K243</f>
        <v>151179727140.62259</v>
      </c>
      <c r="C4" s="2"/>
      <c r="D4" s="2"/>
      <c r="E4" s="139"/>
      <c r="F4" s="1"/>
    </row>
    <row r="5" spans="1:6">
      <c r="A5" s="149" t="s">
        <v>22</v>
      </c>
      <c r="B5" s="153">
        <f>September!K27</f>
        <v>243567302045.26999</v>
      </c>
      <c r="C5" s="2"/>
      <c r="D5" s="2"/>
      <c r="E5" s="139"/>
      <c r="F5" s="1"/>
    </row>
    <row r="6" spans="1:6">
      <c r="A6" s="149" t="s">
        <v>249</v>
      </c>
      <c r="B6" s="153">
        <f>September!K208</f>
        <v>197840258487.05688</v>
      </c>
      <c r="C6" s="2"/>
      <c r="D6" s="2"/>
      <c r="E6" s="139"/>
      <c r="F6" s="1"/>
    </row>
    <row r="7" spans="1:6">
      <c r="A7" s="149" t="s">
        <v>350</v>
      </c>
      <c r="B7" s="154">
        <f>September!K120</f>
        <v>234465690864.01999</v>
      </c>
      <c r="C7" s="2"/>
      <c r="D7" s="2"/>
      <c r="E7" s="139"/>
      <c r="F7" s="1"/>
    </row>
    <row r="8" spans="1:6">
      <c r="A8" s="149" t="s">
        <v>351</v>
      </c>
      <c r="B8" s="154">
        <f>September!K174</f>
        <v>523402010890.84003</v>
      </c>
      <c r="C8" s="2"/>
      <c r="D8" s="2"/>
      <c r="E8" s="139"/>
      <c r="F8" s="1"/>
    </row>
    <row r="9" spans="1:6">
      <c r="A9" s="149" t="s">
        <v>195</v>
      </c>
      <c r="B9" s="153">
        <f>September!K165</f>
        <v>1745600468836.6978</v>
      </c>
      <c r="C9" s="2"/>
      <c r="D9" s="2"/>
      <c r="E9" s="139"/>
      <c r="F9" s="1"/>
    </row>
    <row r="10" spans="1:6">
      <c r="A10" s="149" t="s">
        <v>65</v>
      </c>
      <c r="B10" s="153">
        <f>September!K79</f>
        <v>6579697207292.8398</v>
      </c>
      <c r="C10" s="2"/>
      <c r="D10" s="2"/>
      <c r="E10" s="139"/>
      <c r="F10" s="1"/>
    </row>
    <row r="11" spans="1:6">
      <c r="A11" s="149" t="s">
        <v>355</v>
      </c>
      <c r="B11" s="151">
        <f>September!K268</f>
        <v>33270743515.779999</v>
      </c>
      <c r="C11" s="2"/>
      <c r="D11" s="2"/>
      <c r="E11" s="139"/>
      <c r="F11" s="1"/>
    </row>
    <row r="12" spans="1:6">
      <c r="A12" s="147"/>
      <c r="B12" s="2"/>
      <c r="C12" s="2"/>
      <c r="D12" s="2"/>
      <c r="E12" s="139"/>
      <c r="F12" s="1"/>
    </row>
    <row r="13" spans="1:6">
      <c r="A13" s="155"/>
      <c r="B13" s="2"/>
      <c r="C13" s="2"/>
      <c r="D13" s="2"/>
      <c r="E13" s="139"/>
      <c r="F13" s="1"/>
    </row>
    <row r="14" spans="1:6" ht="15" customHeight="1">
      <c r="A14" s="2"/>
      <c r="B14" s="156"/>
      <c r="C14" s="2"/>
      <c r="D14" s="2"/>
      <c r="E14" s="139"/>
      <c r="F14" s="1"/>
    </row>
    <row r="15" spans="1:6">
      <c r="A15" s="2"/>
      <c r="B15" s="156"/>
      <c r="C15" s="2"/>
      <c r="D15" s="2"/>
      <c r="E15" s="139"/>
      <c r="F15" s="1"/>
    </row>
    <row r="16" spans="1:6">
      <c r="A16" s="141"/>
      <c r="B16" s="140"/>
      <c r="C16" s="139"/>
      <c r="D16" s="139"/>
      <c r="E16" s="139"/>
      <c r="F16" s="1"/>
    </row>
    <row r="17" spans="1:6">
      <c r="A17" s="142"/>
      <c r="B17" s="140"/>
      <c r="C17" s="139"/>
      <c r="D17" s="139"/>
      <c r="E17" s="139"/>
      <c r="F17" s="1"/>
    </row>
    <row r="18" spans="1:6">
      <c r="A18" s="142"/>
      <c r="B18" s="140"/>
      <c r="C18" s="139"/>
      <c r="D18" s="139"/>
      <c r="E18" s="139"/>
      <c r="F18" s="1"/>
    </row>
    <row r="19" spans="1:6">
      <c r="A19" s="4"/>
      <c r="B19" s="3"/>
      <c r="C19" s="1"/>
      <c r="D19" s="1"/>
      <c r="E19" s="1"/>
      <c r="F19" s="1"/>
    </row>
    <row r="20" spans="1:6">
      <c r="A20" s="5"/>
      <c r="B20" s="3"/>
      <c r="C20" s="1"/>
      <c r="D20" s="1"/>
      <c r="E20" s="1"/>
      <c r="F20" s="1"/>
    </row>
    <row r="21" spans="1:6">
      <c r="A21" s="6"/>
      <c r="B21" s="3"/>
      <c r="C21" s="1"/>
      <c r="D21" s="1"/>
      <c r="E21" s="1"/>
      <c r="F21" s="1"/>
    </row>
    <row r="22" spans="1:6">
      <c r="A22" s="7"/>
      <c r="B22" s="8"/>
      <c r="C22" s="1"/>
      <c r="D22" s="1"/>
      <c r="E22" s="1"/>
      <c r="F22" s="1"/>
    </row>
    <row r="23" spans="1:6">
      <c r="A23" s="1"/>
      <c r="B23" s="8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3" spans="1:17" ht="16.05" customHeight="1">
      <c r="A33" s="186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9"/>
    </row>
    <row r="34" spans="1:17">
      <c r="A34" s="186"/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9"/>
    </row>
  </sheetData>
  <sheetProtection algorithmName="SHA-512" hashValue="jaFJjJWC9JCTZCUlmX1qtf+ADUjrFPIzm5GEcod1dxw56ZSSr6b4GsvJu9o2miUVXimdjODLpSWNlSPwkCpCKg==" saltValue="apFqcq02b4NBddtkIxRvzQ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F9" sqref="F9"/>
    </sheetView>
  </sheetViews>
  <sheetFormatPr defaultColWidth="9" defaultRowHeight="14.4"/>
  <cols>
    <col min="1" max="1" width="34.77734375" customWidth="1"/>
    <col min="2" max="2" width="1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39"/>
      <c r="B2" s="139"/>
      <c r="C2" s="139"/>
      <c r="D2" s="139"/>
      <c r="E2" s="139"/>
      <c r="F2" s="1"/>
      <c r="G2" s="1"/>
      <c r="H2" s="1"/>
    </row>
    <row r="3" spans="1:8">
      <c r="A3" s="139"/>
      <c r="B3" s="139"/>
      <c r="C3" s="139"/>
      <c r="D3" s="139"/>
      <c r="E3" s="139"/>
      <c r="F3" s="1"/>
      <c r="G3" s="1"/>
      <c r="H3" s="1"/>
    </row>
    <row r="4" spans="1:8">
      <c r="A4" s="2"/>
      <c r="B4" s="2"/>
      <c r="C4" s="2"/>
      <c r="D4" s="139"/>
      <c r="E4" s="139"/>
      <c r="F4" s="1"/>
      <c r="G4" s="1"/>
      <c r="H4" s="1"/>
    </row>
    <row r="5" spans="1:8" ht="15.6">
      <c r="A5" s="143" t="s">
        <v>347</v>
      </c>
      <c r="B5" s="144" t="s">
        <v>353</v>
      </c>
      <c r="C5" s="2"/>
      <c r="D5" s="139"/>
      <c r="E5" s="139"/>
      <c r="F5" s="1"/>
      <c r="G5" s="1"/>
      <c r="H5" s="1"/>
    </row>
    <row r="6" spans="1:8">
      <c r="A6" s="145" t="s">
        <v>22</v>
      </c>
      <c r="B6" s="146">
        <f>September!T27</f>
        <v>120759</v>
      </c>
      <c r="C6" s="2"/>
      <c r="D6" s="139"/>
      <c r="E6" s="139"/>
      <c r="F6" s="1"/>
      <c r="G6" s="1"/>
      <c r="H6" s="1"/>
    </row>
    <row r="7" spans="1:8">
      <c r="A7" s="145" t="s">
        <v>65</v>
      </c>
      <c r="B7" s="146">
        <f>September!T79</f>
        <v>858516</v>
      </c>
      <c r="C7" s="2"/>
      <c r="D7" s="139"/>
      <c r="E7" s="139"/>
      <c r="F7" s="1"/>
      <c r="G7" s="1"/>
      <c r="H7" s="1"/>
    </row>
    <row r="8" spans="1:8">
      <c r="A8" s="145" t="s">
        <v>350</v>
      </c>
      <c r="B8" s="146">
        <f>September!T120</f>
        <v>71197</v>
      </c>
      <c r="C8" s="2"/>
      <c r="D8" s="139"/>
      <c r="E8" s="139"/>
      <c r="F8" s="1"/>
      <c r="G8" s="1"/>
      <c r="H8" s="1"/>
    </row>
    <row r="9" spans="1:8">
      <c r="A9" s="145" t="s">
        <v>195</v>
      </c>
      <c r="B9" s="146">
        <f>September!T165</f>
        <v>32114</v>
      </c>
      <c r="C9" s="2"/>
      <c r="D9" s="139"/>
      <c r="E9" s="139"/>
      <c r="F9" s="1"/>
      <c r="G9" s="1"/>
      <c r="H9" s="1"/>
    </row>
    <row r="10" spans="1:8">
      <c r="A10" s="145" t="s">
        <v>351</v>
      </c>
      <c r="B10" s="146">
        <f>September!T174</f>
        <v>236675</v>
      </c>
      <c r="C10" s="2"/>
      <c r="D10" s="139"/>
      <c r="E10" s="139"/>
      <c r="F10" s="1"/>
      <c r="G10" s="1"/>
      <c r="H10" s="1"/>
    </row>
    <row r="11" spans="1:8">
      <c r="A11" s="145" t="s">
        <v>249</v>
      </c>
      <c r="B11" s="146">
        <f>September!T208</f>
        <v>107852</v>
      </c>
      <c r="C11" s="2"/>
      <c r="D11" s="139"/>
      <c r="E11" s="139"/>
      <c r="F11" s="1"/>
      <c r="G11" s="1"/>
      <c r="H11" s="1"/>
    </row>
    <row r="12" spans="1:8">
      <c r="A12" s="145" t="s">
        <v>284</v>
      </c>
      <c r="B12" s="146">
        <f>September!T214</f>
        <v>20027</v>
      </c>
      <c r="C12" s="2"/>
      <c r="D12" s="139"/>
      <c r="E12" s="139"/>
      <c r="F12" s="1"/>
      <c r="G12" s="1"/>
      <c r="H12" s="1"/>
    </row>
    <row r="13" spans="1:8">
      <c r="A13" s="145" t="s">
        <v>352</v>
      </c>
      <c r="B13" s="146">
        <f>September!T243</f>
        <v>63991</v>
      </c>
      <c r="C13" s="2"/>
      <c r="D13" s="139"/>
      <c r="E13" s="139"/>
      <c r="F13" s="1"/>
      <c r="G13" s="1"/>
      <c r="H13" s="1"/>
    </row>
    <row r="14" spans="1:8">
      <c r="A14" s="147" t="s">
        <v>319</v>
      </c>
      <c r="B14" s="148">
        <f>September!T253</f>
        <v>308</v>
      </c>
      <c r="C14" s="2"/>
      <c r="D14" s="139"/>
      <c r="E14" s="139"/>
      <c r="F14" s="1"/>
      <c r="G14" s="1"/>
      <c r="H14" s="1"/>
    </row>
    <row r="15" spans="1:8">
      <c r="A15" s="147" t="s">
        <v>355</v>
      </c>
      <c r="B15" s="148">
        <f>September!T268</f>
        <v>52541</v>
      </c>
      <c r="C15" s="2"/>
      <c r="D15" s="139"/>
      <c r="E15" s="139"/>
      <c r="F15" s="1"/>
      <c r="G15" s="1"/>
      <c r="H15" s="1"/>
    </row>
    <row r="16" spans="1:8">
      <c r="A16" s="2"/>
      <c r="B16" s="2"/>
      <c r="C16" s="2"/>
      <c r="D16" s="139"/>
      <c r="E16" s="139"/>
      <c r="F16" s="1"/>
      <c r="G16" s="1"/>
      <c r="H16" s="1"/>
    </row>
    <row r="17" spans="1:8">
      <c r="A17" s="2"/>
      <c r="B17" s="2"/>
      <c r="C17" s="2"/>
      <c r="D17" s="139"/>
      <c r="E17" s="139"/>
      <c r="F17" s="1"/>
      <c r="G17" s="1"/>
      <c r="H17" s="1"/>
    </row>
    <row r="18" spans="1:8">
      <c r="A18" s="139"/>
      <c r="B18" s="139"/>
      <c r="C18" s="139"/>
      <c r="D18" s="139"/>
      <c r="E18" s="139"/>
      <c r="F18" s="1"/>
      <c r="G18" s="1"/>
      <c r="H18" s="1"/>
    </row>
    <row r="19" spans="1:8">
      <c r="A19" s="139"/>
      <c r="B19" s="139"/>
      <c r="C19" s="139"/>
      <c r="D19" s="139"/>
      <c r="E19" s="139"/>
      <c r="F19" s="1"/>
      <c r="G19" s="1"/>
      <c r="H19" s="1"/>
    </row>
    <row r="20" spans="1:8">
      <c r="A20" s="139"/>
      <c r="B20" s="139"/>
      <c r="C20" s="139"/>
      <c r="D20" s="139"/>
      <c r="E20" s="139"/>
      <c r="F20" s="1"/>
      <c r="G20" s="1"/>
      <c r="H20" s="1"/>
    </row>
    <row r="21" spans="1:8">
      <c r="A21" s="139"/>
      <c r="B21" s="139"/>
      <c r="C21" s="139"/>
      <c r="D21" s="139"/>
      <c r="E21" s="139"/>
      <c r="F21" s="1"/>
      <c r="G21" s="1"/>
      <c r="H21" s="1"/>
    </row>
    <row r="22" spans="1:8">
      <c r="A22" s="139"/>
      <c r="B22" s="139"/>
      <c r="C22" s="139"/>
      <c r="D22" s="139"/>
      <c r="E22" s="139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sheetProtection algorithmName="SHA-512" hashValue="StnfW486lI8tGKcmxgIGVneqPNJzAljawQXlGHvkYRzxXHdqyOrIFdDgQM3RyHskuas2IWIAgq3Lq1ljuvAA3A==" saltValue="scRyz1+lhMWzANng/SGDQQ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2" master="" otherUserPermission="visible"/>
  <rangeList sheetStid="3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September</vt:lpstr>
      <vt:lpstr>NAV Comparison</vt:lpstr>
      <vt:lpstr>Market Share</vt:lpstr>
      <vt:lpstr>Unitholders</vt:lpstr>
      <vt:lpstr>September!_Hlk34300669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2025-09-12T03:51:00Z</cp:lastPrinted>
  <dcterms:created xsi:type="dcterms:W3CDTF">2023-10-10T23:40:00Z</dcterms:created>
  <dcterms:modified xsi:type="dcterms:W3CDTF">2026-10-29T09:59:48Z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908C8CE57AD5F23C268F7C6A916769CD_43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