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96" yWindow="3696" windowWidth="19200" windowHeight="9972" tabRatio="60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Valuation'!$AC$143</definedName>
    <definedName name="NFEM_RATE" localSheetId="0">'Weekly Valuation'!$AC$143</definedName>
  </definedNames>
  <calcPr calcId="162913"/>
</workbook>
</file>

<file path=xl/calcChain.xml><?xml version="1.0" encoding="utf-8"?>
<calcChain xmlns="http://schemas.openxmlformats.org/spreadsheetml/2006/main">
  <c r="AA87" i="1" l="1"/>
  <c r="O163" i="1" l="1"/>
  <c r="AB221" i="1"/>
  <c r="AA221" i="1"/>
  <c r="Z221" i="1"/>
  <c r="Y221" i="1"/>
  <c r="X221" i="1"/>
  <c r="AB222" i="1"/>
  <c r="AA222" i="1"/>
  <c r="Z222" i="1"/>
  <c r="Y222" i="1"/>
  <c r="X222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X22" i="1" l="1"/>
  <c r="Y22" i="1"/>
  <c r="Z22" i="1"/>
  <c r="AA22" i="1"/>
  <c r="AB22" i="1"/>
  <c r="X23" i="1"/>
  <c r="Y23" i="1"/>
  <c r="Z23" i="1"/>
  <c r="AA23" i="1"/>
  <c r="AB23" i="1"/>
  <c r="T251" i="1" l="1"/>
  <c r="R251" i="1"/>
  <c r="O251" i="1"/>
  <c r="T147" i="1" l="1"/>
  <c r="R147" i="1"/>
  <c r="O147" i="1"/>
  <c r="T137" i="1" l="1"/>
  <c r="R137" i="1"/>
  <c r="O137" i="1"/>
  <c r="O153" i="1" l="1"/>
  <c r="T128" i="1"/>
  <c r="R128" i="1"/>
  <c r="O128" i="1"/>
  <c r="T154" i="1"/>
  <c r="R154" i="1"/>
  <c r="O154" i="1"/>
  <c r="T246" i="1" l="1"/>
  <c r="R246" i="1"/>
  <c r="O246" i="1"/>
  <c r="R159" i="1"/>
  <c r="O159" i="1"/>
  <c r="T131" i="1" l="1"/>
  <c r="R131" i="1"/>
  <c r="O131" i="1"/>
  <c r="T157" i="1" l="1"/>
  <c r="R157" i="1"/>
  <c r="O157" i="1"/>
  <c r="T132" i="1" l="1"/>
  <c r="R132" i="1"/>
  <c r="O132" i="1"/>
  <c r="T140" i="1" l="1"/>
  <c r="R140" i="1"/>
  <c r="O140" i="1"/>
  <c r="T158" i="1" l="1"/>
  <c r="R158" i="1"/>
  <c r="O158" i="1"/>
  <c r="T130" i="1"/>
  <c r="R130" i="1"/>
  <c r="O130" i="1"/>
  <c r="T124" i="1" l="1"/>
  <c r="R124" i="1"/>
  <c r="O124" i="1"/>
  <c r="N152" i="1"/>
  <c r="T125" i="1" l="1"/>
  <c r="R125" i="1"/>
  <c r="O125" i="1"/>
  <c r="O151" i="1"/>
  <c r="N150" i="1"/>
  <c r="O162" i="1"/>
  <c r="O133" i="1" l="1"/>
  <c r="O136" i="1"/>
  <c r="T160" i="1"/>
  <c r="R160" i="1"/>
  <c r="O160" i="1"/>
  <c r="T141" i="1"/>
  <c r="R141" i="1"/>
  <c r="O141" i="1"/>
  <c r="T146" i="1" l="1"/>
  <c r="R146" i="1"/>
  <c r="O146" i="1"/>
  <c r="T145" i="1" l="1"/>
  <c r="R145" i="1"/>
  <c r="O145" i="1"/>
  <c r="T156" i="1"/>
  <c r="R156" i="1"/>
  <c r="O156" i="1"/>
  <c r="T139" i="1"/>
  <c r="R139" i="1"/>
  <c r="O139" i="1"/>
  <c r="O144" i="1"/>
  <c r="T127" i="1" l="1"/>
  <c r="R127" i="1"/>
  <c r="O127" i="1"/>
  <c r="T126" i="1"/>
  <c r="R126" i="1"/>
  <c r="O126" i="1"/>
  <c r="R129" i="1"/>
  <c r="O129" i="1"/>
  <c r="O138" i="1" l="1"/>
  <c r="T135" i="1" l="1"/>
  <c r="T134" i="1"/>
  <c r="R135" i="1"/>
  <c r="R134" i="1"/>
  <c r="O135" i="1"/>
  <c r="O134" i="1"/>
  <c r="T249" i="1"/>
  <c r="R249" i="1"/>
  <c r="O249" i="1"/>
  <c r="T159" i="1" l="1"/>
  <c r="T129" i="1" l="1"/>
  <c r="T149" i="1" l="1"/>
  <c r="R149" i="1"/>
  <c r="O149" i="1"/>
  <c r="T133" i="1" l="1"/>
  <c r="R133" i="1"/>
  <c r="X161" i="1"/>
  <c r="X160" i="1"/>
  <c r="J11" i="4" l="1"/>
  <c r="I11" i="4"/>
  <c r="H11" i="4"/>
  <c r="G11" i="4"/>
  <c r="F11" i="4"/>
  <c r="E11" i="4"/>
  <c r="D11" i="4"/>
  <c r="C11" i="4"/>
  <c r="B11" i="4"/>
  <c r="T162" i="1" l="1"/>
  <c r="R162" i="1"/>
  <c r="T153" i="1" l="1"/>
  <c r="R153" i="1"/>
  <c r="T155" i="1" l="1"/>
  <c r="R155" i="1"/>
  <c r="S152" i="1" l="1"/>
  <c r="Q152" i="1"/>
  <c r="X256" i="1" l="1"/>
  <c r="Y256" i="1"/>
  <c r="Z25" i="1" l="1"/>
  <c r="O79" i="1" l="1"/>
  <c r="P67" i="1" l="1"/>
  <c r="P38" i="1"/>
  <c r="P39" i="1"/>
  <c r="P40" i="1"/>
  <c r="P41" i="1"/>
  <c r="X125" i="1"/>
  <c r="Z67" i="1"/>
  <c r="AA67" i="1"/>
  <c r="AB67" i="1"/>
  <c r="X67" i="1"/>
  <c r="Y67" i="1"/>
  <c r="X197" i="1"/>
  <c r="T163" i="1"/>
  <c r="R163" i="1"/>
  <c r="AA178" i="1"/>
  <c r="AB178" i="1"/>
  <c r="Z178" i="1"/>
  <c r="Y178" i="1"/>
  <c r="X178" i="1"/>
  <c r="X84" i="1"/>
  <c r="AB11" i="1"/>
  <c r="AA11" i="1"/>
  <c r="Z11" i="1"/>
  <c r="Y11" i="1"/>
  <c r="X11" i="1"/>
  <c r="N155" i="1" l="1"/>
  <c r="X25" i="1"/>
  <c r="X26" i="1"/>
  <c r="T151" i="1"/>
  <c r="R151" i="1"/>
  <c r="T138" i="1"/>
  <c r="X127" i="1" l="1"/>
  <c r="R138" i="1"/>
  <c r="AB205" i="1" l="1"/>
  <c r="AA205" i="1"/>
  <c r="Z205" i="1"/>
  <c r="Y205" i="1"/>
  <c r="X205" i="1"/>
  <c r="T144" i="1" l="1"/>
  <c r="R144" i="1"/>
  <c r="X145" i="1" l="1"/>
  <c r="S150" i="1"/>
  <c r="Q150" i="1"/>
  <c r="T136" i="1"/>
  <c r="R136" i="1"/>
  <c r="O252" i="1" l="1"/>
  <c r="D164" i="1" l="1"/>
  <c r="N164" i="1" l="1"/>
  <c r="AB251" i="1" l="1"/>
  <c r="AA251" i="1"/>
  <c r="Z251" i="1"/>
  <c r="U252" i="1"/>
  <c r="Y251" i="1"/>
  <c r="X251" i="1"/>
  <c r="K252" i="1"/>
  <c r="E252" i="1" l="1"/>
  <c r="E242" i="1" l="1"/>
  <c r="F222" i="1" s="1"/>
  <c r="AB138" i="1" l="1"/>
  <c r="AA138" i="1"/>
  <c r="Z138" i="1"/>
  <c r="Y138" i="1"/>
  <c r="X138" i="1"/>
  <c r="AB195" i="1"/>
  <c r="AA195" i="1"/>
  <c r="Z195" i="1"/>
  <c r="Y195" i="1"/>
  <c r="X195" i="1"/>
  <c r="AB61" i="1" l="1"/>
  <c r="AA61" i="1"/>
  <c r="Z61" i="1"/>
  <c r="Y61" i="1"/>
  <c r="X61" i="1"/>
  <c r="O207" i="1" l="1"/>
  <c r="P178" i="1" s="1"/>
  <c r="P206" i="1" l="1"/>
  <c r="P205" i="1"/>
  <c r="P195" i="1"/>
  <c r="P193" i="1"/>
  <c r="B5" i="3"/>
  <c r="X266" i="1" l="1"/>
  <c r="X183" i="1"/>
  <c r="X91" i="1"/>
  <c r="O28" i="1" l="1"/>
  <c r="P26" i="1" l="1"/>
  <c r="P22" i="1"/>
  <c r="B6" i="3"/>
  <c r="P11" i="1"/>
  <c r="P10" i="1"/>
  <c r="P25" i="1"/>
  <c r="X231" i="1"/>
  <c r="AB33" i="1" l="1"/>
  <c r="AA33" i="1"/>
  <c r="Z33" i="1"/>
  <c r="Y33" i="1"/>
  <c r="X33" i="1"/>
  <c r="AB145" i="1" l="1"/>
  <c r="AA145" i="1"/>
  <c r="Z145" i="1"/>
  <c r="Y145" i="1"/>
  <c r="X35" i="1" l="1"/>
  <c r="Y35" i="1"/>
  <c r="Z35" i="1"/>
  <c r="AA35" i="1"/>
  <c r="AB35" i="1"/>
  <c r="O164" i="1" l="1"/>
  <c r="P138" i="1" s="1"/>
  <c r="P135" i="1" l="1"/>
  <c r="P145" i="1"/>
  <c r="P136" i="1"/>
  <c r="AB70" i="1" l="1"/>
  <c r="AA70" i="1"/>
  <c r="Z70" i="1"/>
  <c r="Y70" i="1"/>
  <c r="X70" i="1"/>
  <c r="K213" i="1" l="1"/>
  <c r="U213" i="1"/>
  <c r="O213" i="1"/>
  <c r="E213" i="1"/>
  <c r="AB210" i="1" l="1"/>
  <c r="AA210" i="1"/>
  <c r="Z210" i="1"/>
  <c r="Y210" i="1"/>
  <c r="X210" i="1"/>
  <c r="P210" i="1"/>
  <c r="Y201" i="1" l="1"/>
  <c r="Y88" i="1" l="1"/>
  <c r="P238" i="1" l="1"/>
  <c r="X238" i="1"/>
  <c r="P176" i="1" l="1"/>
  <c r="P186" i="1" l="1"/>
  <c r="P194" i="1"/>
  <c r="Y225" i="1"/>
  <c r="Y171" i="1"/>
  <c r="X39" i="1" l="1"/>
  <c r="AB26" i="1"/>
  <c r="AA26" i="1"/>
  <c r="Z26" i="1"/>
  <c r="Y26" i="1"/>
  <c r="P211" i="1" l="1"/>
  <c r="P239" i="1" l="1"/>
  <c r="AB199" i="1" l="1"/>
  <c r="AA199" i="1"/>
  <c r="Z199" i="1"/>
  <c r="Y199" i="1"/>
  <c r="X199" i="1"/>
  <c r="X151" i="1" l="1"/>
  <c r="Y139" i="1"/>
  <c r="Y135" i="1"/>
  <c r="Y134" i="1"/>
  <c r="Y249" i="1"/>
  <c r="I4" i="5"/>
  <c r="I3" i="5" s="1"/>
  <c r="H4" i="5"/>
  <c r="H3" i="5" s="1"/>
  <c r="G4" i="5"/>
  <c r="G3" i="5" s="1"/>
  <c r="F4" i="5"/>
  <c r="F3" i="5" s="1"/>
  <c r="E4" i="5"/>
  <c r="E3" i="5" s="1"/>
  <c r="C4" i="5"/>
  <c r="C3" i="5" s="1"/>
  <c r="B4" i="5"/>
  <c r="B3" i="5" s="1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72" i="1"/>
  <c r="AA272" i="1"/>
  <c r="Y272" i="1"/>
  <c r="U272" i="1"/>
  <c r="O272" i="1"/>
  <c r="K272" i="1"/>
  <c r="E272" i="1"/>
  <c r="F270" i="1" s="1"/>
  <c r="AB271" i="1"/>
  <c r="AA271" i="1"/>
  <c r="Z271" i="1"/>
  <c r="Y271" i="1"/>
  <c r="X271" i="1"/>
  <c r="AB270" i="1"/>
  <c r="AA270" i="1"/>
  <c r="Z270" i="1"/>
  <c r="Y270" i="1"/>
  <c r="X270" i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U257" i="1"/>
  <c r="O257" i="1"/>
  <c r="P256" i="1" s="1"/>
  <c r="K257" i="1"/>
  <c r="E257" i="1"/>
  <c r="F256" i="1" s="1"/>
  <c r="AB256" i="1"/>
  <c r="AA256" i="1"/>
  <c r="Z256" i="1"/>
  <c r="AB255" i="1"/>
  <c r="AA255" i="1"/>
  <c r="Z255" i="1"/>
  <c r="Y255" i="1"/>
  <c r="X255" i="1"/>
  <c r="B21" i="2"/>
  <c r="B11" i="2" s="1"/>
  <c r="AB250" i="1"/>
  <c r="AA250" i="1"/>
  <c r="Z250" i="1"/>
  <c r="Y250" i="1"/>
  <c r="X250" i="1"/>
  <c r="AB248" i="1"/>
  <c r="AA248" i="1"/>
  <c r="Z248" i="1"/>
  <c r="Y248" i="1"/>
  <c r="X248" i="1"/>
  <c r="AB249" i="1"/>
  <c r="AA249" i="1"/>
  <c r="Z249" i="1"/>
  <c r="X249" i="1"/>
  <c r="AB247" i="1"/>
  <c r="AA247" i="1"/>
  <c r="Z247" i="1"/>
  <c r="Y247" i="1"/>
  <c r="X247" i="1"/>
  <c r="AB246" i="1"/>
  <c r="AA246" i="1"/>
  <c r="Z246" i="1"/>
  <c r="Y246" i="1"/>
  <c r="P251" i="1"/>
  <c r="AB242" i="1"/>
  <c r="AA242" i="1"/>
  <c r="Y242" i="1"/>
  <c r="U242" i="1"/>
  <c r="O242" i="1"/>
  <c r="K242" i="1"/>
  <c r="AB241" i="1"/>
  <c r="AA241" i="1"/>
  <c r="Z241" i="1"/>
  <c r="Y241" i="1"/>
  <c r="X241" i="1"/>
  <c r="AB240" i="1"/>
  <c r="AA240" i="1"/>
  <c r="Z240" i="1"/>
  <c r="Y240" i="1"/>
  <c r="X240" i="1"/>
  <c r="AB239" i="1"/>
  <c r="AA239" i="1"/>
  <c r="Z239" i="1"/>
  <c r="Y239" i="1"/>
  <c r="X239" i="1"/>
  <c r="AB238" i="1"/>
  <c r="AA238" i="1"/>
  <c r="Z238" i="1"/>
  <c r="Y238" i="1"/>
  <c r="AB235" i="1"/>
  <c r="AA235" i="1"/>
  <c r="Z235" i="1"/>
  <c r="Y235" i="1"/>
  <c r="X235" i="1"/>
  <c r="AB234" i="1"/>
  <c r="AA234" i="1"/>
  <c r="Z234" i="1"/>
  <c r="Y234" i="1"/>
  <c r="X234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X225" i="1"/>
  <c r="AB224" i="1"/>
  <c r="AA224" i="1"/>
  <c r="Z224" i="1"/>
  <c r="Y224" i="1"/>
  <c r="X224" i="1"/>
  <c r="AB223" i="1"/>
  <c r="AA223" i="1"/>
  <c r="Z223" i="1"/>
  <c r="Y223" i="1"/>
  <c r="X223" i="1"/>
  <c r="AB218" i="1"/>
  <c r="AA218" i="1"/>
  <c r="Z218" i="1"/>
  <c r="Y218" i="1"/>
  <c r="X218" i="1"/>
  <c r="AB217" i="1"/>
  <c r="AA217" i="1"/>
  <c r="Z217" i="1"/>
  <c r="Y217" i="1"/>
  <c r="X217" i="1"/>
  <c r="AB213" i="1"/>
  <c r="AA213" i="1"/>
  <c r="Y213" i="1"/>
  <c r="B2" i="3"/>
  <c r="B19" i="2"/>
  <c r="B9" i="2" s="1"/>
  <c r="AB212" i="1"/>
  <c r="AA212" i="1"/>
  <c r="Z212" i="1"/>
  <c r="Y212" i="1"/>
  <c r="X212" i="1"/>
  <c r="AB211" i="1"/>
  <c r="AA211" i="1"/>
  <c r="Z211" i="1"/>
  <c r="Y211" i="1"/>
  <c r="X211" i="1"/>
  <c r="AB207" i="1"/>
  <c r="AA207" i="1"/>
  <c r="Y207" i="1"/>
  <c r="U207" i="1"/>
  <c r="K207" i="1"/>
  <c r="E207" i="1"/>
  <c r="AB204" i="1"/>
  <c r="AA204" i="1"/>
  <c r="Z204" i="1"/>
  <c r="Y204" i="1"/>
  <c r="X204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X201" i="1"/>
  <c r="AB200" i="1"/>
  <c r="AA200" i="1"/>
  <c r="Z200" i="1"/>
  <c r="Y200" i="1"/>
  <c r="X200" i="1"/>
  <c r="AB198" i="1"/>
  <c r="AA198" i="1"/>
  <c r="Z198" i="1"/>
  <c r="Y198" i="1"/>
  <c r="X198" i="1"/>
  <c r="AB197" i="1"/>
  <c r="AA197" i="1"/>
  <c r="Z197" i="1"/>
  <c r="Y197" i="1"/>
  <c r="AB196" i="1"/>
  <c r="AA196" i="1"/>
  <c r="Z196" i="1"/>
  <c r="Y196" i="1"/>
  <c r="X196" i="1"/>
  <c r="AB194" i="1"/>
  <c r="AA194" i="1"/>
  <c r="Z194" i="1"/>
  <c r="Y194" i="1"/>
  <c r="X194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X180" i="1"/>
  <c r="AB206" i="1"/>
  <c r="AA206" i="1"/>
  <c r="Z206" i="1"/>
  <c r="Y206" i="1"/>
  <c r="X206" i="1"/>
  <c r="AB179" i="1"/>
  <c r="AA179" i="1"/>
  <c r="Z179" i="1"/>
  <c r="Y179" i="1"/>
  <c r="X179" i="1"/>
  <c r="AB177" i="1"/>
  <c r="AA177" i="1"/>
  <c r="Z177" i="1"/>
  <c r="Y177" i="1"/>
  <c r="X177" i="1"/>
  <c r="AB176" i="1"/>
  <c r="AA176" i="1"/>
  <c r="Z176" i="1"/>
  <c r="Y176" i="1"/>
  <c r="X176" i="1"/>
  <c r="AB173" i="1"/>
  <c r="AA173" i="1"/>
  <c r="Y173" i="1"/>
  <c r="U173" i="1"/>
  <c r="O173" i="1"/>
  <c r="K173" i="1"/>
  <c r="E173" i="1"/>
  <c r="B17" i="2" s="1"/>
  <c r="B7" i="2" s="1"/>
  <c r="AB172" i="1"/>
  <c r="AA172" i="1"/>
  <c r="Z172" i="1"/>
  <c r="Y172" i="1"/>
  <c r="X172" i="1"/>
  <c r="AB171" i="1"/>
  <c r="AA171" i="1"/>
  <c r="Z171" i="1"/>
  <c r="X171" i="1"/>
  <c r="AB170" i="1"/>
  <c r="AA170" i="1"/>
  <c r="Z170" i="1"/>
  <c r="Y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4" i="1"/>
  <c r="AA164" i="1"/>
  <c r="Y164" i="1"/>
  <c r="U164" i="1"/>
  <c r="K164" i="1"/>
  <c r="E164" i="1"/>
  <c r="F138" i="1" s="1"/>
  <c r="AB163" i="1"/>
  <c r="AA163" i="1"/>
  <c r="Z163" i="1"/>
  <c r="X163" i="1"/>
  <c r="Y163" i="1"/>
  <c r="AB162" i="1"/>
  <c r="AA162" i="1"/>
  <c r="Z162" i="1"/>
  <c r="X162" i="1"/>
  <c r="Y162" i="1"/>
  <c r="AB161" i="1"/>
  <c r="AA161" i="1"/>
  <c r="Z161" i="1"/>
  <c r="Y161" i="1"/>
  <c r="AB160" i="1"/>
  <c r="AA160" i="1"/>
  <c r="Z160" i="1"/>
  <c r="Y160" i="1"/>
  <c r="AB159" i="1"/>
  <c r="AA159" i="1"/>
  <c r="Z159" i="1"/>
  <c r="Y159" i="1"/>
  <c r="X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X155" i="1"/>
  <c r="Y155" i="1"/>
  <c r="AB154" i="1"/>
  <c r="AA154" i="1"/>
  <c r="Z154" i="1"/>
  <c r="Y154" i="1"/>
  <c r="X154" i="1"/>
  <c r="AB153" i="1"/>
  <c r="AA153" i="1"/>
  <c r="Z153" i="1"/>
  <c r="Y153" i="1"/>
  <c r="X153" i="1"/>
  <c r="AB152" i="1"/>
  <c r="AA152" i="1"/>
  <c r="Z152" i="1"/>
  <c r="X152" i="1"/>
  <c r="Y152" i="1"/>
  <c r="AB151" i="1"/>
  <c r="AA151" i="1"/>
  <c r="Z151" i="1"/>
  <c r="Y151" i="1"/>
  <c r="AB150" i="1"/>
  <c r="AA150" i="1"/>
  <c r="Z150" i="1"/>
  <c r="Y150" i="1"/>
  <c r="X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AB146" i="1"/>
  <c r="AA146" i="1"/>
  <c r="Z146" i="1"/>
  <c r="Y146" i="1"/>
  <c r="X146" i="1"/>
  <c r="AB144" i="1"/>
  <c r="AA144" i="1"/>
  <c r="Z144" i="1"/>
  <c r="Y144" i="1"/>
  <c r="X144" i="1"/>
  <c r="AB141" i="1"/>
  <c r="AA141" i="1"/>
  <c r="Z141" i="1"/>
  <c r="Y141" i="1"/>
  <c r="X141" i="1"/>
  <c r="AB140" i="1"/>
  <c r="AA140" i="1"/>
  <c r="Z140" i="1"/>
  <c r="Y140" i="1"/>
  <c r="X140" i="1"/>
  <c r="AB139" i="1"/>
  <c r="AA139" i="1"/>
  <c r="Z139" i="1"/>
  <c r="X139" i="1"/>
  <c r="AB133" i="1"/>
  <c r="AA133" i="1"/>
  <c r="Z133" i="1"/>
  <c r="Y133" i="1"/>
  <c r="X133" i="1"/>
  <c r="AB137" i="1"/>
  <c r="AA137" i="1"/>
  <c r="Z137" i="1"/>
  <c r="Y137" i="1"/>
  <c r="X137" i="1"/>
  <c r="AB136" i="1"/>
  <c r="AA136" i="1"/>
  <c r="Z136" i="1"/>
  <c r="Y136" i="1"/>
  <c r="AB135" i="1"/>
  <c r="AA135" i="1"/>
  <c r="Z135" i="1"/>
  <c r="AB134" i="1"/>
  <c r="AA134" i="1"/>
  <c r="Z134" i="1"/>
  <c r="AB132" i="1"/>
  <c r="AA132" i="1"/>
  <c r="Z132" i="1"/>
  <c r="Y132" i="1"/>
  <c r="X132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0" i="1"/>
  <c r="AA120" i="1"/>
  <c r="Y120" i="1"/>
  <c r="U120" i="1"/>
  <c r="O120" i="1"/>
  <c r="P85" i="1" s="1"/>
  <c r="K120" i="1"/>
  <c r="E120" i="1"/>
  <c r="AB119" i="1"/>
  <c r="AA119" i="1"/>
  <c r="Z119" i="1"/>
  <c r="Y119" i="1"/>
  <c r="X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98" i="1"/>
  <c r="AA98" i="1"/>
  <c r="Z98" i="1"/>
  <c r="Y98" i="1"/>
  <c r="X98" i="1"/>
  <c r="AB102" i="1"/>
  <c r="AA102" i="1"/>
  <c r="Z102" i="1"/>
  <c r="Y102" i="1"/>
  <c r="X102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7" i="1"/>
  <c r="AA97" i="1"/>
  <c r="Z97" i="1"/>
  <c r="Y97" i="1"/>
  <c r="X97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AB90" i="1"/>
  <c r="AA90" i="1"/>
  <c r="Z90" i="1"/>
  <c r="Y90" i="1"/>
  <c r="X90" i="1"/>
  <c r="AB89" i="1"/>
  <c r="AA89" i="1"/>
  <c r="Z89" i="1"/>
  <c r="Y89" i="1"/>
  <c r="X89" i="1"/>
  <c r="AB88" i="1"/>
  <c r="AA88" i="1"/>
  <c r="Z88" i="1"/>
  <c r="X88" i="1"/>
  <c r="AB87" i="1"/>
  <c r="Z87" i="1"/>
  <c r="Y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AB83" i="1"/>
  <c r="AA83" i="1"/>
  <c r="Z83" i="1"/>
  <c r="Y83" i="1"/>
  <c r="X83" i="1"/>
  <c r="AB82" i="1"/>
  <c r="AA82" i="1"/>
  <c r="Z82" i="1"/>
  <c r="Y82" i="1"/>
  <c r="X82" i="1"/>
  <c r="AB79" i="1"/>
  <c r="AA79" i="1"/>
  <c r="Y79" i="1"/>
  <c r="U79" i="1"/>
  <c r="K79" i="1"/>
  <c r="E79" i="1"/>
  <c r="B14" i="2" s="1"/>
  <c r="B4" i="2" s="1"/>
  <c r="AB78" i="1"/>
  <c r="AA78" i="1"/>
  <c r="Z78" i="1"/>
  <c r="Y78" i="1"/>
  <c r="X78" i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69" i="1"/>
  <c r="AA69" i="1"/>
  <c r="Z69" i="1"/>
  <c r="Y69" i="1"/>
  <c r="X69" i="1"/>
  <c r="AB68" i="1"/>
  <c r="AA68" i="1"/>
  <c r="Z68" i="1"/>
  <c r="Y68" i="1"/>
  <c r="X68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0" i="1"/>
  <c r="AA60" i="1"/>
  <c r="Z60" i="1"/>
  <c r="Y60" i="1"/>
  <c r="X60" i="1"/>
  <c r="AB59" i="1"/>
  <c r="AA59" i="1"/>
  <c r="Z59" i="1"/>
  <c r="Y59" i="1"/>
  <c r="X59" i="1"/>
  <c r="AB49" i="1"/>
  <c r="AA49" i="1"/>
  <c r="Z49" i="1"/>
  <c r="Y49" i="1"/>
  <c r="X49" i="1"/>
  <c r="AB58" i="1"/>
  <c r="AA58" i="1"/>
  <c r="Z58" i="1"/>
  <c r="Y58" i="1"/>
  <c r="X5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8" i="1"/>
  <c r="AA48" i="1"/>
  <c r="Z48" i="1"/>
  <c r="Y48" i="1"/>
  <c r="X48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AB38" i="1"/>
  <c r="AA38" i="1"/>
  <c r="Z38" i="1"/>
  <c r="Y38" i="1"/>
  <c r="X38" i="1"/>
  <c r="AB37" i="1"/>
  <c r="AA37" i="1"/>
  <c r="Z37" i="1"/>
  <c r="Y37" i="1"/>
  <c r="X37" i="1"/>
  <c r="AB36" i="1"/>
  <c r="AA36" i="1"/>
  <c r="Z36" i="1"/>
  <c r="Y36" i="1"/>
  <c r="X36" i="1"/>
  <c r="AB34" i="1"/>
  <c r="AA34" i="1"/>
  <c r="Z34" i="1"/>
  <c r="Y34" i="1"/>
  <c r="X34" i="1"/>
  <c r="AB32" i="1"/>
  <c r="AA32" i="1"/>
  <c r="Z32" i="1"/>
  <c r="Y32" i="1"/>
  <c r="X32" i="1"/>
  <c r="AB31" i="1"/>
  <c r="AA31" i="1"/>
  <c r="Z31" i="1"/>
  <c r="Y31" i="1"/>
  <c r="X31" i="1"/>
  <c r="AB28" i="1"/>
  <c r="AA28" i="1"/>
  <c r="Y28" i="1"/>
  <c r="U28" i="1"/>
  <c r="P19" i="1"/>
  <c r="K28" i="1"/>
  <c r="E28" i="1"/>
  <c r="AB27" i="1"/>
  <c r="AA27" i="1"/>
  <c r="Z27" i="1"/>
  <c r="Y27" i="1"/>
  <c r="X27" i="1"/>
  <c r="AB25" i="1"/>
  <c r="AA25" i="1"/>
  <c r="Y25" i="1"/>
  <c r="AB24" i="1"/>
  <c r="AA24" i="1"/>
  <c r="Z24" i="1"/>
  <c r="Y24" i="1"/>
  <c r="X24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226" i="1" l="1"/>
  <c r="P222" i="1"/>
  <c r="P62" i="1"/>
  <c r="F67" i="1"/>
  <c r="F205" i="1"/>
  <c r="F178" i="1"/>
  <c r="P71" i="1"/>
  <c r="B15" i="2"/>
  <c r="B5" i="2" s="1"/>
  <c r="F176" i="1"/>
  <c r="F195" i="1"/>
  <c r="P106" i="1"/>
  <c r="P118" i="1"/>
  <c r="B4" i="3"/>
  <c r="P233" i="1"/>
  <c r="P271" i="1"/>
  <c r="P266" i="1"/>
  <c r="P169" i="1"/>
  <c r="B8" i="3"/>
  <c r="P89" i="1"/>
  <c r="B7" i="3"/>
  <c r="F61" i="1"/>
  <c r="P61" i="1"/>
  <c r="P51" i="1"/>
  <c r="P77" i="1"/>
  <c r="P91" i="1"/>
  <c r="P98" i="1"/>
  <c r="P75" i="1"/>
  <c r="P228" i="1"/>
  <c r="P43" i="1"/>
  <c r="P76" i="1"/>
  <c r="P52" i="1"/>
  <c r="F33" i="1"/>
  <c r="P33" i="1"/>
  <c r="B16" i="2"/>
  <c r="B6" i="2" s="1"/>
  <c r="F145" i="1"/>
  <c r="P35" i="1"/>
  <c r="P102" i="1"/>
  <c r="P69" i="1"/>
  <c r="P70" i="1"/>
  <c r="P24" i="1"/>
  <c r="P37" i="1"/>
  <c r="F70" i="1"/>
  <c r="P78" i="1"/>
  <c r="P119" i="1"/>
  <c r="P240" i="1"/>
  <c r="B3" i="3"/>
  <c r="C21" i="2"/>
  <c r="C11" i="2" s="1"/>
  <c r="F13" i="4"/>
  <c r="F39" i="1"/>
  <c r="P14" i="1"/>
  <c r="P32" i="1"/>
  <c r="F106" i="1"/>
  <c r="P225" i="1"/>
  <c r="F118" i="1"/>
  <c r="Z207" i="1"/>
  <c r="F105" i="1"/>
  <c r="F184" i="1"/>
  <c r="F182" i="1"/>
  <c r="F180" i="1"/>
  <c r="F179" i="1"/>
  <c r="P171" i="1"/>
  <c r="P199" i="1"/>
  <c r="P188" i="1"/>
  <c r="P50" i="1"/>
  <c r="F255" i="1"/>
  <c r="F102" i="1"/>
  <c r="F103" i="1"/>
  <c r="F100" i="1"/>
  <c r="F83" i="1"/>
  <c r="F97" i="1"/>
  <c r="F95" i="1"/>
  <c r="F107" i="1"/>
  <c r="B18" i="2"/>
  <c r="B8" i="2" s="1"/>
  <c r="F199" i="1"/>
  <c r="F169" i="1"/>
  <c r="F167" i="1"/>
  <c r="F63" i="1"/>
  <c r="F65" i="1"/>
  <c r="F73" i="1"/>
  <c r="F170" i="1"/>
  <c r="F172" i="1"/>
  <c r="F93" i="1"/>
  <c r="F116" i="1"/>
  <c r="F91" i="1"/>
  <c r="F114" i="1"/>
  <c r="F71" i="1"/>
  <c r="F89" i="1"/>
  <c r="F112" i="1"/>
  <c r="P64" i="1"/>
  <c r="P66" i="1"/>
  <c r="P72" i="1"/>
  <c r="P74" i="1"/>
  <c r="F87" i="1"/>
  <c r="F110" i="1"/>
  <c r="F68" i="1"/>
  <c r="F85" i="1"/>
  <c r="F109" i="1"/>
  <c r="F75" i="1"/>
  <c r="F77" i="1"/>
  <c r="P84" i="1"/>
  <c r="P36" i="1"/>
  <c r="B20" i="2"/>
  <c r="B10" i="2" s="1"/>
  <c r="F249" i="1"/>
  <c r="Z213" i="1"/>
  <c r="F238" i="1"/>
  <c r="F212" i="1"/>
  <c r="F186" i="1"/>
  <c r="F171" i="1"/>
  <c r="D13" i="4"/>
  <c r="Z242" i="1"/>
  <c r="P92" i="1"/>
  <c r="F57" i="1"/>
  <c r="P58" i="1"/>
  <c r="F49" i="1"/>
  <c r="P59" i="1"/>
  <c r="F60" i="1"/>
  <c r="F162" i="1"/>
  <c r="P131" i="1"/>
  <c r="Z272" i="1"/>
  <c r="X272" i="1"/>
  <c r="F261" i="1"/>
  <c r="F263" i="1"/>
  <c r="F265" i="1"/>
  <c r="F267" i="1"/>
  <c r="F271" i="1"/>
  <c r="F269" i="1"/>
  <c r="F260" i="1"/>
  <c r="F262" i="1"/>
  <c r="F264" i="1"/>
  <c r="F266" i="1"/>
  <c r="F268" i="1"/>
  <c r="X257" i="1"/>
  <c r="F224" i="1"/>
  <c r="F221" i="1"/>
  <c r="F217" i="1"/>
  <c r="F240" i="1"/>
  <c r="F234" i="1"/>
  <c r="F232" i="1"/>
  <c r="F230" i="1"/>
  <c r="F228" i="1"/>
  <c r="F211" i="1"/>
  <c r="F204" i="1"/>
  <c r="F202" i="1"/>
  <c r="F200" i="1"/>
  <c r="F197" i="1"/>
  <c r="F194" i="1"/>
  <c r="F177" i="1"/>
  <c r="F206" i="1"/>
  <c r="F192" i="1"/>
  <c r="F190" i="1"/>
  <c r="F188" i="1"/>
  <c r="Z173" i="1"/>
  <c r="Z164" i="1"/>
  <c r="F137" i="1"/>
  <c r="F153" i="1"/>
  <c r="F155" i="1"/>
  <c r="F124" i="1"/>
  <c r="F126" i="1"/>
  <c r="F135" i="1"/>
  <c r="F132" i="1"/>
  <c r="F141" i="1"/>
  <c r="F159" i="1"/>
  <c r="F128" i="1"/>
  <c r="F146" i="1"/>
  <c r="F148" i="1"/>
  <c r="F150" i="1"/>
  <c r="F161" i="1"/>
  <c r="F152" i="1"/>
  <c r="F136" i="1"/>
  <c r="F154" i="1"/>
  <c r="F163" i="1"/>
  <c r="F125" i="1"/>
  <c r="F133" i="1"/>
  <c r="F156" i="1"/>
  <c r="F127" i="1"/>
  <c r="F131" i="1"/>
  <c r="F134" i="1"/>
  <c r="F140" i="1"/>
  <c r="F158" i="1"/>
  <c r="F160" i="1"/>
  <c r="F139" i="1"/>
  <c r="F157" i="1"/>
  <c r="F129" i="1"/>
  <c r="F144" i="1"/>
  <c r="F147" i="1"/>
  <c r="F151" i="1"/>
  <c r="K243" i="1"/>
  <c r="K273" i="1" s="1"/>
  <c r="Z120" i="1"/>
  <c r="X120" i="1"/>
  <c r="F88" i="1"/>
  <c r="F90" i="1"/>
  <c r="F92" i="1"/>
  <c r="F108" i="1"/>
  <c r="F111" i="1"/>
  <c r="F113" i="1"/>
  <c r="F115" i="1"/>
  <c r="F117" i="1"/>
  <c r="F119" i="1"/>
  <c r="F82" i="1"/>
  <c r="F84" i="1"/>
  <c r="F94" i="1"/>
  <c r="F96" i="1"/>
  <c r="F99" i="1"/>
  <c r="F101" i="1"/>
  <c r="F98" i="1"/>
  <c r="F104" i="1"/>
  <c r="Z79" i="1"/>
  <c r="F6" i="1"/>
  <c r="J13" i="4"/>
  <c r="D4" i="5"/>
  <c r="D3" i="5" s="1"/>
  <c r="H13" i="4"/>
  <c r="P217" i="1"/>
  <c r="P218" i="1"/>
  <c r="P224" i="1"/>
  <c r="P227" i="1"/>
  <c r="P230" i="1"/>
  <c r="P231" i="1"/>
  <c r="P234" i="1"/>
  <c r="P235" i="1"/>
  <c r="P241" i="1"/>
  <c r="P101" i="1"/>
  <c r="P111" i="1"/>
  <c r="P82" i="1"/>
  <c r="P88" i="1"/>
  <c r="P96" i="1"/>
  <c r="P104" i="1"/>
  <c r="P108" i="1"/>
  <c r="P115" i="1"/>
  <c r="P86" i="1"/>
  <c r="P90" i="1"/>
  <c r="P94" i="1"/>
  <c r="P99" i="1"/>
  <c r="P113" i="1"/>
  <c r="P117" i="1"/>
  <c r="P182" i="1"/>
  <c r="P183" i="1"/>
  <c r="P187" i="1"/>
  <c r="P190" i="1"/>
  <c r="P191" i="1"/>
  <c r="P196" i="1"/>
  <c r="P200" i="1"/>
  <c r="P201" i="1"/>
  <c r="P204" i="1"/>
  <c r="P177" i="1"/>
  <c r="P263" i="1"/>
  <c r="P267" i="1"/>
  <c r="P261" i="1"/>
  <c r="P265" i="1"/>
  <c r="P269" i="1"/>
  <c r="P260" i="1"/>
  <c r="P262" i="1"/>
  <c r="P264" i="1"/>
  <c r="P268" i="1"/>
  <c r="P270" i="1"/>
  <c r="P56" i="1"/>
  <c r="P179" i="1"/>
  <c r="P180" i="1"/>
  <c r="P181" i="1"/>
  <c r="P184" i="1"/>
  <c r="P185" i="1"/>
  <c r="P189" i="1"/>
  <c r="P192" i="1"/>
  <c r="P197" i="1"/>
  <c r="P198" i="1"/>
  <c r="P202" i="1"/>
  <c r="P203" i="1"/>
  <c r="F31" i="1"/>
  <c r="F34" i="1"/>
  <c r="F37" i="1"/>
  <c r="P6" i="1"/>
  <c r="P16" i="1"/>
  <c r="P8" i="1"/>
  <c r="P18" i="1"/>
  <c r="P7" i="1"/>
  <c r="P9" i="1"/>
  <c r="P12" i="1"/>
  <c r="P15" i="1"/>
  <c r="P17" i="1"/>
  <c r="P20" i="1"/>
  <c r="P13" i="1"/>
  <c r="P23" i="1"/>
  <c r="P83" i="1"/>
  <c r="F86" i="1"/>
  <c r="P87" i="1"/>
  <c r="P93" i="1"/>
  <c r="P95" i="1"/>
  <c r="P97" i="1"/>
  <c r="P100" i="1"/>
  <c r="P103" i="1"/>
  <c r="P105" i="1"/>
  <c r="P107" i="1"/>
  <c r="P109" i="1"/>
  <c r="P110" i="1"/>
  <c r="P112" i="1"/>
  <c r="P114" i="1"/>
  <c r="P116" i="1"/>
  <c r="F41" i="1"/>
  <c r="P42" i="1"/>
  <c r="F43" i="1"/>
  <c r="P44" i="1"/>
  <c r="P45" i="1"/>
  <c r="F46" i="1"/>
  <c r="P47" i="1"/>
  <c r="F48" i="1"/>
  <c r="F51" i="1"/>
  <c r="F53" i="1"/>
  <c r="P54" i="1"/>
  <c r="F55" i="1"/>
  <c r="U243" i="1"/>
  <c r="U273" i="1" s="1"/>
  <c r="P221" i="1"/>
  <c r="P223" i="1"/>
  <c r="P229" i="1"/>
  <c r="P232" i="1"/>
  <c r="P21" i="1"/>
  <c r="P31" i="1"/>
  <c r="F32" i="1"/>
  <c r="P34" i="1"/>
  <c r="F36" i="1"/>
  <c r="F38" i="1"/>
  <c r="F40" i="1"/>
  <c r="F42" i="1"/>
  <c r="F44" i="1"/>
  <c r="P46" i="1"/>
  <c r="F47" i="1"/>
  <c r="P48" i="1"/>
  <c r="F50" i="1"/>
  <c r="F52" i="1"/>
  <c r="P53" i="1"/>
  <c r="F54" i="1"/>
  <c r="P55" i="1"/>
  <c r="P57" i="1"/>
  <c r="F58" i="1"/>
  <c r="P49" i="1"/>
  <c r="F59" i="1"/>
  <c r="P60" i="1"/>
  <c r="F62" i="1"/>
  <c r="P63" i="1"/>
  <c r="F64" i="1"/>
  <c r="P65" i="1"/>
  <c r="F66" i="1"/>
  <c r="P68" i="1"/>
  <c r="F69" i="1"/>
  <c r="F72" i="1"/>
  <c r="P73" i="1"/>
  <c r="F74" i="1"/>
  <c r="F76" i="1"/>
  <c r="F78" i="1"/>
  <c r="C13" i="2"/>
  <c r="C3" i="2" s="1"/>
  <c r="X79" i="1"/>
  <c r="X124" i="1"/>
  <c r="X126" i="1"/>
  <c r="X134" i="1"/>
  <c r="X135" i="1"/>
  <c r="X136" i="1"/>
  <c r="C17" i="2"/>
  <c r="C7" i="2" s="1"/>
  <c r="X173" i="1"/>
  <c r="P172" i="1"/>
  <c r="P170" i="1"/>
  <c r="P168" i="1"/>
  <c r="P167" i="1"/>
  <c r="P248" i="1"/>
  <c r="P246" i="1"/>
  <c r="X252" i="1"/>
  <c r="P250" i="1"/>
  <c r="P247" i="1"/>
  <c r="P27" i="1"/>
  <c r="B13" i="2"/>
  <c r="B3" i="2" s="1"/>
  <c r="E243" i="1"/>
  <c r="F242" i="1" s="1"/>
  <c r="X28" i="1"/>
  <c r="Z28" i="1"/>
  <c r="B10" i="3"/>
  <c r="C14" i="2"/>
  <c r="C4" i="2" s="1"/>
  <c r="C15" i="2"/>
  <c r="C5" i="2" s="1"/>
  <c r="P148" i="1"/>
  <c r="F149" i="1"/>
  <c r="P149" i="1"/>
  <c r="F181" i="1"/>
  <c r="F183" i="1"/>
  <c r="F185" i="1"/>
  <c r="F187" i="1"/>
  <c r="F189" i="1"/>
  <c r="F191" i="1"/>
  <c r="F193" i="1"/>
  <c r="F196" i="1"/>
  <c r="F198" i="1"/>
  <c r="F201" i="1"/>
  <c r="F203" i="1"/>
  <c r="P212" i="1"/>
  <c r="X213" i="1"/>
  <c r="F218" i="1"/>
  <c r="F223" i="1"/>
  <c r="F226" i="1"/>
  <c r="F229" i="1"/>
  <c r="F231" i="1"/>
  <c r="F233" i="1"/>
  <c r="F235" i="1"/>
  <c r="F239" i="1"/>
  <c r="F241" i="1"/>
  <c r="X246" i="1"/>
  <c r="P249" i="1"/>
  <c r="F248" i="1"/>
  <c r="P255" i="1"/>
  <c r="C18" i="2"/>
  <c r="C8" i="2" s="1"/>
  <c r="C19" i="2"/>
  <c r="C9" i="2" s="1"/>
  <c r="C20" i="2"/>
  <c r="C10" i="2" s="1"/>
  <c r="C13" i="4"/>
  <c r="E13" i="4"/>
  <c r="G13" i="4"/>
  <c r="I13" i="4"/>
  <c r="X207" i="1"/>
  <c r="X242" i="1"/>
  <c r="F246" i="1"/>
  <c r="F247" i="1"/>
  <c r="F250" i="1"/>
  <c r="B9" i="3" l="1"/>
  <c r="P163" i="1"/>
  <c r="P151" i="1"/>
  <c r="P133" i="1"/>
  <c r="P126" i="1"/>
  <c r="P153" i="1"/>
  <c r="P128" i="1"/>
  <c r="P144" i="1"/>
  <c r="P160" i="1"/>
  <c r="P157" i="1"/>
  <c r="O243" i="1"/>
  <c r="P164" i="1" s="1"/>
  <c r="P125" i="1"/>
  <c r="P155" i="1"/>
  <c r="P132" i="1"/>
  <c r="P140" i="1"/>
  <c r="P147" i="1"/>
  <c r="P158" i="1"/>
  <c r="C16" i="2"/>
  <c r="C6" i="2" s="1"/>
  <c r="P162" i="1"/>
  <c r="P124" i="1"/>
  <c r="P156" i="1"/>
  <c r="P130" i="1"/>
  <c r="P161" i="1"/>
  <c r="P134" i="1"/>
  <c r="P150" i="1"/>
  <c r="P127" i="1"/>
  <c r="P129" i="1"/>
  <c r="P137" i="1"/>
  <c r="P139" i="1"/>
  <c r="P141" i="1"/>
  <c r="P146" i="1"/>
  <c r="P152" i="1"/>
  <c r="P154" i="1"/>
  <c r="P159" i="1"/>
  <c r="X164" i="1"/>
  <c r="F207" i="1"/>
  <c r="F120" i="1"/>
  <c r="E273" i="1"/>
  <c r="F213" i="1"/>
  <c r="F164" i="1"/>
  <c r="F173" i="1"/>
  <c r="F28" i="1"/>
  <c r="F79" i="1"/>
  <c r="P213" i="1" l="1"/>
  <c r="X243" i="1"/>
  <c r="P79" i="1"/>
  <c r="P242" i="1"/>
  <c r="P173" i="1"/>
  <c r="P207" i="1"/>
  <c r="O273" i="1"/>
  <c r="P120" i="1"/>
  <c r="P28" i="1"/>
</calcChain>
</file>

<file path=xl/sharedStrings.xml><?xml version="1.0" encoding="utf-8"?>
<sst xmlns="http://schemas.openxmlformats.org/spreadsheetml/2006/main" count="1709" uniqueCount="357">
  <si>
    <t>% Change (Current from Previous)</t>
  </si>
  <si>
    <t>Difference</t>
  </si>
  <si>
    <t>S/N</t>
  </si>
  <si>
    <t>FUND</t>
  </si>
  <si>
    <t>FUND MANAGER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</si>
  <si>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</si>
  <si>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NAV (N)</t>
  </si>
  <si>
    <t>% to Total</t>
  </si>
  <si>
    <t>Bid Price ($)</t>
  </si>
  <si>
    <t>Bid Price (N)</t>
  </si>
  <si>
    <t>Offer Price ($)</t>
  </si>
  <si>
    <t>Offer Price (N)</t>
  </si>
  <si>
    <t>Unitholders</t>
  </si>
  <si>
    <t>Yield (WTD)</t>
  </si>
  <si>
    <t>Yield  (YTD)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</si>
  <si>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</si>
  <si>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</si>
  <si>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</si>
  <si>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</si>
  <si>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</si>
  <si>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</si>
  <si>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</si>
  <si>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</si>
  <si>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N/A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</si>
  <si>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</si>
  <si>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</si>
  <si>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</si>
  <si>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</si>
  <si>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</si>
  <si>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</si>
  <si>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</si>
  <si>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</si>
  <si>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Coronation Equity Fund</t>
  </si>
  <si>
    <t>Coronation Asset Management Limited</t>
  </si>
  <si>
    <t>Cowry Equity Fund</t>
  </si>
  <si>
    <t>Cowry Treasurers Limited</t>
  </si>
  <si>
    <t>FCMBAM Equity Fund</t>
  </si>
  <si>
    <t>FCMB Asset Management Limited</t>
  </si>
  <si>
    <t>First Asset Nigeria Smart Beta Equity Fund</t>
  </si>
  <si>
    <t>First Asset Management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</si>
  <si>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</si>
  <si>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</si>
  <si>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</si>
  <si>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</si>
  <si>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</si>
  <si>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</si>
  <si>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</si>
  <si>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</si>
  <si>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</si>
  <si>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</si>
  <si>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</si>
  <si>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</si>
  <si>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</si>
  <si>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</si>
  <si>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</si>
  <si>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</si>
  <si>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</si>
  <si>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</si>
  <si>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</si>
  <si>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Zedcrest Equity Fund</t>
  </si>
  <si>
    <t>Zedcrest Investment Managers Limited</t>
  </si>
  <si>
    <t>Zrosk Magna Equity Fund</t>
  </si>
  <si>
    <t>Zrosk Investment Management Limited</t>
  </si>
  <si>
    <t>Sub-Total</t>
  </si>
  <si>
    <t>Afrinvest Plutus Fund</t>
  </si>
  <si>
    <t>AIICO Money Market Fund</t>
  </si>
  <si>
    <t>AIICO Capital Ltd</t>
  </si>
  <si>
    <t>Alpha10 Money Market Fund</t>
  </si>
  <si>
    <t>Alpha10 Fund Management Limited</t>
  </si>
  <si>
    <t>Anchoria Money Market Fund</t>
  </si>
  <si>
    <t>Apel Wealth Money Market Fund</t>
  </si>
  <si>
    <t>Apel Wealth Management Limited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</si>
  <si>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</si>
  <si>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</si>
  <si>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</si>
  <si>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</si>
  <si>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</si>
  <si>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</si>
  <si>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</si>
  <si>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</si>
  <si>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</si>
  <si>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</si>
  <si>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</si>
  <si>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</si>
  <si>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</si>
  <si>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</si>
  <si>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</si>
  <si>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</si>
  <si>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</si>
  <si>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</si>
  <si>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</si>
  <si>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</si>
  <si>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FCMBAM Money Market Fund</t>
  </si>
  <si>
    <t>First Asset Money Market Fund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</si>
  <si>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</si>
  <si>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</si>
  <si>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</si>
  <si>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</si>
  <si>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</si>
  <si>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</si>
  <si>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</si>
  <si>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</si>
  <si>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</si>
  <si>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</si>
  <si>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</si>
  <si>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</si>
  <si>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</si>
  <si>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</si>
  <si>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</si>
  <si>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</si>
  <si>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</si>
  <si>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Myrtle Nest Money Market Fund</t>
  </si>
  <si>
    <t>Myrtle Asset Management Limited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</si>
  <si>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</si>
  <si>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</si>
  <si>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</si>
  <si>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</si>
  <si>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</si>
  <si>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</si>
  <si>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</si>
  <si>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</si>
  <si>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</si>
  <si>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Radix Money Market Fund</t>
  </si>
  <si>
    <t>Radix Capital Partners Limited</t>
  </si>
  <si>
    <t>RMBN Money Market Fund</t>
  </si>
  <si>
    <t>RMB Nigeria Asset Management Ltd.</t>
  </si>
  <si>
    <t>RT Briscoe Savings &amp; Investment Fund</t>
  </si>
  <si>
    <t>SCM Capital Money Market Fund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</si>
  <si>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</si>
  <si>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</si>
  <si>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</si>
  <si>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</si>
  <si>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</si>
  <si>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</si>
  <si>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</si>
  <si>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</si>
  <si>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</si>
  <si>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</si>
  <si>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</si>
  <si>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</si>
  <si>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</si>
  <si>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</si>
  <si>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</si>
  <si>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</si>
  <si>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</si>
  <si>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</si>
  <si>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</si>
  <si>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</si>
  <si>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</si>
  <si>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</si>
  <si>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</si>
  <si>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</si>
  <si>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</si>
  <si>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</si>
  <si>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</si>
  <si>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</si>
  <si>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</si>
  <si>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</si>
  <si>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</si>
  <si>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FCMBAM Debt Fund</t>
  </si>
  <si>
    <t>First Asset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</si>
  <si>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</si>
  <si>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</si>
  <si>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</si>
  <si>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</si>
  <si>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</si>
  <si>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</si>
  <si>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</si>
  <si>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</si>
  <si>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</si>
  <si>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</si>
  <si>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</si>
  <si>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</si>
  <si>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</si>
  <si>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</si>
  <si>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</si>
  <si>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</si>
  <si>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</si>
  <si>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</si>
  <si>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</si>
  <si>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</si>
  <si>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</si>
  <si>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</si>
  <si>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</si>
  <si>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</si>
  <si>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EUROBONDS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</si>
  <si>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</si>
  <si>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</si>
  <si>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</si>
  <si>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</si>
  <si>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</si>
  <si>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</si>
  <si>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</si>
  <si>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</si>
  <si>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</si>
  <si>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FCMBAM USD Bond Fund</t>
  </si>
  <si>
    <t>First Asset Dollar Fund (Retail)</t>
  </si>
  <si>
    <t xml:space="preserve"> </t>
  </si>
  <si>
    <t>First Asset Specialized Dollar Fund</t>
  </si>
  <si>
    <t>FSL Eurobond Fund</t>
  </si>
  <si>
    <t>Futureview Dollar Fund</t>
  </si>
  <si>
    <t>Myrtle Dollar Shield Fund</t>
  </si>
  <si>
    <t>Norrenberger Dollar Fund</t>
  </si>
  <si>
    <t>PACAM Eurobond Fund</t>
  </si>
  <si>
    <t>United Capital Nigerian Eurobond Fund</t>
  </si>
  <si>
    <t>FIXED INCOME</t>
  </si>
  <si>
    <t>Alpha10 Dollar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</si>
  <si>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</si>
  <si>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</si>
  <si>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</si>
  <si>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</si>
  <si>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</si>
  <si>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</si>
  <si>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</si>
  <si>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</si>
  <si>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</si>
  <si>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Meristem Dollar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</si>
  <si>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</si>
  <si>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</si>
  <si>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</si>
  <si>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</si>
  <si>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</si>
  <si>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</si>
  <si>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</si>
  <si>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</si>
  <si>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</si>
  <si>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REAL ESTATE INVESTMENT TRUSTS</t>
  </si>
  <si>
    <t>Housing Solution Fund</t>
  </si>
  <si>
    <t>Fundco Capital Managers Limited</t>
  </si>
  <si>
    <t>MOFI Real Estate Investment Fund</t>
  </si>
  <si>
    <t>Nigeria Real Estate Investment Trust</t>
  </si>
  <si>
    <t>SFS Real Estate Investment Trust Fund</t>
  </si>
  <si>
    <t>Union Homes REITS</t>
  </si>
  <si>
    <t>UPDC Real Estate Investment Trust</t>
  </si>
  <si>
    <t>BALANCED FUNDS</t>
  </si>
  <si>
    <t>AIICO Balanced Fund</t>
  </si>
  <si>
    <t>Alpha Morgan Balanced Fund</t>
  </si>
  <si>
    <t>Alpha Morgan Capital Managers Limited</t>
  </si>
  <si>
    <t>Apel Wealth Balanced Fund</t>
  </si>
  <si>
    <t xml:space="preserve">Apel Wealth Managemenet Limited 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</si>
  <si>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</si>
  <si>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</si>
  <si>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</si>
  <si>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</si>
  <si>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</si>
  <si>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</si>
  <si>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</si>
  <si>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</si>
  <si>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</si>
  <si>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</si>
  <si>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First Asset Balanced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</si>
  <si>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</si>
  <si>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</si>
  <si>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</si>
  <si>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</si>
  <si>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</si>
  <si>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</si>
  <si>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</si>
  <si>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Myrtle Balanced Plus Fund</t>
  </si>
  <si>
    <t>Nigeria Energy Sector Fund</t>
  </si>
  <si>
    <t>Nova Hybrid Balanced Fund</t>
  </si>
  <si>
    <t>PACAM Balanced Fund</t>
  </si>
  <si>
    <t>Samtl Mixed Income Fund</t>
  </si>
  <si>
    <t>Samtl Fund Managers Limited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</si>
  <si>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</si>
  <si>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</si>
  <si>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</si>
  <si>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</si>
  <si>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</si>
  <si>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</si>
  <si>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Zenith Balanced Strategy Fund</t>
  </si>
  <si>
    <t>ETHICAL FUNDS</t>
  </si>
  <si>
    <t>CFG Ethical Fund</t>
  </si>
  <si>
    <t>ESG Impact Fund</t>
  </si>
  <si>
    <t>Zenith Asset Management Ltd.</t>
  </si>
  <si>
    <t>Stanbic IBTC Ethical Fund</t>
  </si>
  <si>
    <t>SHARIAH COMPLIANT FUNDS</t>
  </si>
  <si>
    <t>EQUITY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</si>
  <si>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</si>
  <si>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</si>
  <si>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</si>
  <si>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</si>
  <si>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</si>
  <si>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</si>
  <si>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</si>
  <si>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</si>
  <si>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</si>
  <si>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</si>
  <si>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</si>
  <si>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First Asset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</si>
  <si>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</si>
  <si>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</si>
  <si>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</si>
  <si>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</si>
  <si>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</si>
  <si>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</si>
  <si>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</si>
  <si>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</si>
  <si>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BALANCED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</si>
  <si>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</si>
  <si>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</si>
  <si>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</si>
  <si>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</si>
  <si>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</si>
  <si>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</si>
  <si>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</si>
  <si>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</si>
  <si>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</si>
  <si>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</si>
  <si>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First Asset Blended Dollar Fund</t>
  </si>
  <si>
    <t>United Capital Children Investment Fund</t>
  </si>
  <si>
    <t>ValuAlliance Specialized Dollar Fund</t>
  </si>
  <si>
    <t>Nigeria Infrastructure Debt Fund (NIDF)</t>
  </si>
  <si>
    <t>Chapel Hill Denham Management Limited</t>
  </si>
  <si>
    <t>-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</si>
  <si>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</si>
  <si>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</si>
  <si>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</si>
  <si>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</si>
  <si>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</si>
  <si>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</si>
  <si>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</si>
  <si>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</si>
  <si>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</si>
  <si>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</si>
  <si>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</si>
  <si>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</si>
  <si>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</si>
  <si>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</si>
  <si>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</si>
  <si>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</si>
  <si>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</si>
  <si>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</si>
  <si>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</si>
  <si>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</si>
  <si>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MONEY MARKET 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</si>
  <si>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</si>
  <si>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</si>
  <si>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</si>
  <si>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</si>
  <si>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</si>
  <si>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</si>
  <si>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</si>
  <si>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</si>
  <si>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EXCHANGE TRADED FUNDS (ETFs)</t>
  </si>
  <si>
    <t>NAV, Unit Price and Yield as at Week Ended August 7, 2026</t>
  </si>
  <si>
    <t>          120,043,586.31</t>
  </si>
  <si>
    <t>NAV, Unit Price and Yield as at Week Ended August 14, 2026</t>
  </si>
  <si>
    <t>WEEKLY VALUATION REPORT OF COLLECTIVE INVESTMENT SCHEMES AS AT WEEK ENDED FRIDAY, AUGUST 14, 2026</t>
  </si>
  <si>
    <t>NFEM RATE NG₦/US$ as at 14th August, 2026 = N1357.6088</t>
  </si>
  <si>
    <t>            39,026,957.92</t>
  </si>
  <si>
    <t>          119,886,731.62</t>
  </si>
  <si>
    <t>Parthian Equity Fund</t>
  </si>
  <si>
    <t>Alpha10 Halal Fund</t>
  </si>
  <si>
    <t>Week Ended Aug 7, 2026</t>
  </si>
  <si>
    <t>Week Ended Aug 14, 2026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</si>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</sst>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Ebrima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name val="Century Gothic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sz val="10"/>
      <color rgb="FF000000"/>
      <name val="Times New Roman"/>
      <family val="1"/>
    </font>
    <font>
      <b/>
      <sz val="8"/>
      <color rgb="FFFF0000"/>
      <name val="Arial Narrow"/>
      <family val="2"/>
    </font>
    <font>
      <sz val="12"/>
      <color rgb="FF000000"/>
      <name val="Aptos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sz val="8"/>
      <color rgb="FF242424"/>
      <name val="Arial Narrow"/>
      <family val="2"/>
    </font>
    <font>
      <sz val="8"/>
      <color theme="0"/>
      <name val="Arial"/>
      <family val="2"/>
    </font>
    <font>
      <sz val="8"/>
      <color rgb="FF424242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8"/>
      <name val="Arial Narrow"/>
      <family val="2"/>
    </font>
    <font>
      <sz val="10"/>
      <name val="Arial Narrow"/>
      <family val="2"/>
    </font>
    <font>
      <b/>
      <sz val="6"/>
      <color theme="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</font>
    <font>
      <b/>
      <sz val="18"/>
      <color theme="3"/>
      <name val="Calibri Light"/>
      <family val="2"/>
      <scheme val="major"/>
    </font>
    <font>
      <b/>
      <sz val="8"/>
      <color theme="1"/>
      <name val="Calibri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12"/>
      <color theme="0"/>
      <name val="Arial Narrow"/>
      <family val="2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82909634693444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</borders>
  <cellStyleXfs count="106">
    <xf numFmtId="0" fontId="0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37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4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6" fillId="23" borderId="0" applyNumberFormat="0" applyBorder="0" applyAlignment="0" applyProtection="0"/>
    <xf numFmtId="0" fontId="4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2" fillId="0" borderId="0"/>
    <xf numFmtId="164" fontId="2" fillId="0" borderId="0" applyFont="0" applyFill="0" applyBorder="0" applyAlignment="0" applyProtection="0"/>
    <xf numFmtId="0" fontId="1" fillId="0" borderId="0"/>
  </cellStyleXfs>
  <cellXfs count="273">
    <xf numFmtId="0" fontId="0" fillId="0" borderId="0" xfId="0"/>
    <xf numFmtId="0" fontId="4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164" fontId="5" fillId="5" borderId="1" xfId="1" applyFont="1" applyFill="1" applyBorder="1" applyAlignment="1">
      <alignment horizontal="center" vertical="top"/>
    </xf>
    <xf numFmtId="164" fontId="8" fillId="6" borderId="5" xfId="1" applyFont="1" applyFill="1" applyBorder="1" applyAlignment="1">
      <alignment horizontal="center" wrapText="1"/>
    </xf>
    <xf numFmtId="164" fontId="8" fillId="6" borderId="5" xfId="1" applyFont="1" applyFill="1" applyBorder="1"/>
    <xf numFmtId="0" fontId="0" fillId="7" borderId="0" xfId="0" applyFill="1"/>
    <xf numFmtId="0" fontId="12" fillId="6" borderId="1" xfId="0" applyFont="1" applyFill="1" applyBorder="1" applyAlignment="1">
      <alignment wrapText="1"/>
    </xf>
    <xf numFmtId="10" fontId="9" fillId="6" borderId="1" xfId="2" applyNumberFormat="1" applyFont="1" applyFill="1" applyBorder="1" applyAlignment="1">
      <alignment horizontal="center"/>
    </xf>
    <xf numFmtId="4" fontId="9" fillId="6" borderId="1" xfId="0" applyNumberFormat="1" applyFont="1" applyFill="1" applyBorder="1"/>
    <xf numFmtId="10" fontId="9" fillId="4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64" fontId="9" fillId="8" borderId="1" xfId="1" applyFont="1" applyFill="1" applyBorder="1" applyAlignment="1">
      <alignment horizontal="center"/>
    </xf>
    <xf numFmtId="10" fontId="9" fillId="8" borderId="1" xfId="2" applyNumberFormat="1" applyFont="1" applyFill="1" applyBorder="1" applyAlignment="1">
      <alignment horizontal="center"/>
    </xf>
    <xf numFmtId="10" fontId="9" fillId="5" borderId="1" xfId="2" applyNumberFormat="1" applyFont="1" applyFill="1" applyBorder="1" applyAlignment="1">
      <alignment horizontal="center" vertical="top" wrapText="1"/>
    </xf>
    <xf numFmtId="10" fontId="9" fillId="5" borderId="1" xfId="1" applyNumberFormat="1" applyFont="1" applyFill="1" applyBorder="1" applyAlignment="1">
      <alignment horizontal="center" vertical="top" wrapText="1"/>
    </xf>
    <xf numFmtId="0" fontId="13" fillId="0" borderId="0" xfId="0" applyFont="1"/>
    <xf numFmtId="4" fontId="12" fillId="6" borderId="1" xfId="0" applyNumberFormat="1" applyFont="1" applyFill="1" applyBorder="1"/>
    <xf numFmtId="10" fontId="12" fillId="4" borderId="1" xfId="2" applyNumberFormat="1" applyFont="1" applyFill="1" applyBorder="1" applyAlignment="1">
      <alignment horizontal="center"/>
    </xf>
    <xf numFmtId="164" fontId="12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2" applyNumberFormat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5" fillId="0" borderId="0" xfId="0" applyFont="1"/>
    <xf numFmtId="2" fontId="15" fillId="0" borderId="1" xfId="0" applyNumberFormat="1" applyFont="1" applyBorder="1"/>
    <xf numFmtId="10" fontId="0" fillId="0" borderId="0" xfId="2" applyNumberFormat="1" applyFont="1"/>
    <xf numFmtId="10" fontId="16" fillId="9" borderId="0" xfId="2" applyNumberFormat="1" applyFont="1" applyFill="1" applyAlignment="1">
      <alignment horizontal="right" vertical="center" wrapText="1"/>
    </xf>
    <xf numFmtId="10" fontId="16" fillId="9" borderId="0" xfId="0" applyNumberFormat="1" applyFont="1" applyFill="1" applyAlignment="1">
      <alignment horizontal="right" vertical="center" wrapText="1"/>
    </xf>
    <xf numFmtId="10" fontId="8" fillId="6" borderId="5" xfId="2" applyNumberFormat="1" applyFont="1" applyFill="1" applyBorder="1"/>
    <xf numFmtId="164" fontId="12" fillId="6" borderId="1" xfId="1" applyFont="1" applyFill="1" applyBorder="1"/>
    <xf numFmtId="164" fontId="12" fillId="6" borderId="1" xfId="3" applyFont="1" applyFill="1" applyBorder="1"/>
    <xf numFmtId="4" fontId="12" fillId="6" borderId="1" xfId="0" applyNumberFormat="1" applyFont="1" applyFill="1" applyBorder="1" applyAlignment="1">
      <alignment wrapText="1"/>
    </xf>
    <xf numFmtId="4" fontId="12" fillId="6" borderId="1" xfId="3" applyNumberFormat="1" applyFont="1" applyFill="1" applyBorder="1" applyAlignment="1">
      <alignment horizontal="right" vertical="top" wrapText="1"/>
    </xf>
    <xf numFmtId="4" fontId="12" fillId="6" borderId="5" xfId="0" applyNumberFormat="1" applyFont="1" applyFill="1" applyBorder="1"/>
    <xf numFmtId="4" fontId="9" fillId="0" borderId="1" xfId="0" applyNumberFormat="1" applyFont="1" applyBorder="1"/>
    <xf numFmtId="4" fontId="12" fillId="6" borderId="1" xfId="0" applyNumberFormat="1" applyFont="1" applyFill="1" applyBorder="1" applyAlignment="1">
      <alignment horizontal="right"/>
    </xf>
    <xf numFmtId="4" fontId="12" fillId="6" borderId="5" xfId="0" applyNumberFormat="1" applyFont="1" applyFill="1" applyBorder="1" applyAlignment="1">
      <alignment horizontal="right"/>
    </xf>
    <xf numFmtId="164" fontId="8" fillId="6" borderId="6" xfId="1" applyFont="1" applyFill="1" applyBorder="1"/>
    <xf numFmtId="0" fontId="9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 vertical="top" wrapText="1"/>
    </xf>
    <xf numFmtId="10" fontId="17" fillId="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 vertical="top" wrapText="1"/>
    </xf>
    <xf numFmtId="4" fontId="12" fillId="6" borderId="1" xfId="1" applyNumberFormat="1" applyFont="1" applyFill="1" applyBorder="1" applyAlignment="1">
      <alignment vertical="top" wrapText="1"/>
    </xf>
    <xf numFmtId="164" fontId="7" fillId="8" borderId="1" xfId="1" applyFont="1" applyFill="1" applyBorder="1" applyAlignment="1">
      <alignment horizontal="center"/>
    </xf>
    <xf numFmtId="10" fontId="12" fillId="8" borderId="1" xfId="2" applyNumberFormat="1" applyFont="1" applyFill="1" applyBorder="1" applyAlignment="1">
      <alignment horizontal="center" vertical="top" wrapText="1"/>
    </xf>
    <xf numFmtId="10" fontId="17" fillId="6" borderId="1" xfId="2" applyNumberFormat="1" applyFont="1" applyFill="1" applyBorder="1" applyAlignment="1">
      <alignment horizontal="center" vertical="top" wrapText="1"/>
    </xf>
    <xf numFmtId="164" fontId="12" fillId="6" borderId="1" xfId="3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/>
    </xf>
    <xf numFmtId="10" fontId="12" fillId="8" borderId="1" xfId="2" applyNumberFormat="1" applyFont="1" applyFill="1" applyBorder="1" applyAlignment="1">
      <alignment horizontal="center"/>
    </xf>
    <xf numFmtId="10" fontId="12" fillId="5" borderId="1" xfId="1" applyNumberFormat="1" applyFont="1" applyFill="1" applyBorder="1" applyAlignment="1">
      <alignment horizontal="center" vertical="top" wrapText="1"/>
    </xf>
    <xf numFmtId="0" fontId="18" fillId="0" borderId="0" xfId="0" applyFont="1"/>
    <xf numFmtId="4" fontId="12" fillId="6" borderId="1" xfId="1" applyNumberFormat="1" applyFont="1" applyFill="1" applyBorder="1" applyAlignment="1">
      <alignment horizontal="right"/>
    </xf>
    <xf numFmtId="164" fontId="12" fillId="6" borderId="1" xfId="3" applyFont="1" applyFill="1" applyBorder="1" applyAlignment="1">
      <alignment horizontal="right" wrapText="1"/>
    </xf>
    <xf numFmtId="164" fontId="12" fillId="8" borderId="1" xfId="1" applyFont="1" applyFill="1" applyBorder="1" applyAlignment="1">
      <alignment horizontal="center" wrapText="1"/>
    </xf>
    <xf numFmtId="10" fontId="12" fillId="8" borderId="1" xfId="2" applyNumberFormat="1" applyFont="1" applyFill="1" applyBorder="1" applyAlignment="1">
      <alignment horizontal="center" wrapText="1"/>
    </xf>
    <xf numFmtId="164" fontId="12" fillId="6" borderId="1" xfId="1" applyFont="1" applyFill="1" applyBorder="1" applyAlignment="1">
      <alignment horizontal="right"/>
    </xf>
    <xf numFmtId="10" fontId="12" fillId="4" borderId="1" xfId="2" applyNumberFormat="1" applyFont="1" applyFill="1" applyBorder="1" applyAlignment="1">
      <alignment horizontal="center" wrapText="1"/>
    </xf>
    <xf numFmtId="164" fontId="7" fillId="6" borderId="1" xfId="1" applyFont="1" applyFill="1" applyBorder="1" applyAlignment="1">
      <alignment horizontal="right"/>
    </xf>
    <xf numFmtId="10" fontId="12" fillId="8" borderId="1" xfId="1" applyNumberFormat="1" applyFont="1" applyFill="1" applyBorder="1" applyAlignment="1">
      <alignment horizontal="center"/>
    </xf>
    <xf numFmtId="2" fontId="12" fillId="6" borderId="1" xfId="0" applyNumberFormat="1" applyFont="1" applyFill="1" applyBorder="1"/>
    <xf numFmtId="164" fontId="12" fillId="6" borderId="1" xfId="3" applyFont="1" applyFill="1" applyBorder="1" applyAlignment="1">
      <alignment wrapText="1"/>
    </xf>
    <xf numFmtId="0" fontId="12" fillId="6" borderId="1" xfId="0" applyFont="1" applyFill="1" applyBorder="1" applyAlignment="1">
      <alignment horizontal="left" wrapText="1"/>
    </xf>
    <xf numFmtId="2" fontId="9" fillId="6" borderId="1" xfId="0" applyNumberFormat="1" applyFont="1" applyFill="1" applyBorder="1"/>
    <xf numFmtId="164" fontId="9" fillId="6" borderId="1" xfId="1" applyFont="1" applyFill="1" applyBorder="1" applyAlignment="1">
      <alignment horizontal="center"/>
    </xf>
    <xf numFmtId="164" fontId="12" fillId="10" borderId="1" xfId="1" applyFont="1" applyFill="1" applyBorder="1" applyAlignment="1">
      <alignment horizontal="center"/>
    </xf>
    <xf numFmtId="10" fontId="12" fillId="10" borderId="1" xfId="2" applyNumberFormat="1" applyFont="1" applyFill="1" applyBorder="1" applyAlignment="1">
      <alignment horizontal="center"/>
    </xf>
    <xf numFmtId="0" fontId="0" fillId="11" borderId="0" xfId="0" applyFill="1"/>
    <xf numFmtId="4" fontId="0" fillId="0" borderId="0" xfId="0" applyNumberFormat="1"/>
    <xf numFmtId="2" fontId="0" fillId="0" borderId="0" xfId="0" applyNumberFormat="1"/>
    <xf numFmtId="164" fontId="12" fillId="6" borderId="1" xfId="1" applyFont="1" applyFill="1" applyBorder="1" applyAlignment="1">
      <alignment wrapText="1"/>
    </xf>
    <xf numFmtId="164" fontId="12" fillId="6" borderId="1" xfId="1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/>
    </xf>
    <xf numFmtId="164" fontId="15" fillId="0" borderId="1" xfId="1" applyFont="1" applyBorder="1"/>
    <xf numFmtId="164" fontId="12" fillId="6" borderId="1" xfId="3" applyFont="1" applyFill="1" applyBorder="1"/>
    <xf numFmtId="165" fontId="0" fillId="0" borderId="0" xfId="0" applyNumberFormat="1"/>
    <xf numFmtId="4" fontId="20" fillId="9" borderId="0" xfId="0" applyNumberFormat="1" applyFont="1" applyFill="1" applyAlignment="1">
      <alignment horizontal="right" vertical="center" wrapText="1"/>
    </xf>
    <xf numFmtId="164" fontId="15" fillId="0" borderId="0" xfId="1" applyFont="1"/>
    <xf numFmtId="164" fontId="12" fillId="6" borderId="1" xfId="1" applyFont="1" applyFill="1" applyBorder="1" applyAlignment="1">
      <alignment horizontal="center" wrapText="1"/>
    </xf>
    <xf numFmtId="0" fontId="21" fillId="0" borderId="0" xfId="0" applyFont="1"/>
    <xf numFmtId="166" fontId="22" fillId="0" borderId="0" xfId="1" applyNumberFormat="1" applyFont="1"/>
    <xf numFmtId="0" fontId="23" fillId="0" borderId="0" xfId="0" applyFont="1"/>
    <xf numFmtId="4" fontId="24" fillId="0" borderId="0" xfId="0" applyNumberFormat="1" applyFont="1"/>
    <xf numFmtId="0" fontId="7" fillId="0" borderId="1" xfId="0" applyFont="1" applyBorder="1" applyAlignment="1">
      <alignment horizontal="right"/>
    </xf>
    <xf numFmtId="4" fontId="12" fillId="8" borderId="1" xfId="1" applyNumberFormat="1" applyFont="1" applyFill="1" applyBorder="1" applyAlignment="1">
      <alignment horizontal="center"/>
    </xf>
    <xf numFmtId="164" fontId="17" fillId="6" borderId="1" xfId="1" applyFont="1" applyFill="1" applyBorder="1" applyAlignment="1">
      <alignment horizontal="center" vertical="top" wrapText="1"/>
    </xf>
    <xf numFmtId="4" fontId="26" fillId="0" borderId="1" xfId="0" applyNumberFormat="1" applyFont="1" applyBorder="1"/>
    <xf numFmtId="0" fontId="14" fillId="6" borderId="1" xfId="0" applyFont="1" applyFill="1" applyBorder="1"/>
    <xf numFmtId="4" fontId="12" fillId="6" borderId="1" xfId="1" applyNumberFormat="1" applyFont="1" applyFill="1" applyBorder="1" applyAlignment="1">
      <alignment horizontal="right" vertical="top" wrapText="1"/>
    </xf>
    <xf numFmtId="4" fontId="12" fillId="8" borderId="1" xfId="1" applyNumberFormat="1" applyFont="1" applyFill="1" applyBorder="1" applyAlignment="1">
      <alignment horizontal="center" vertical="top" wrapText="1"/>
    </xf>
    <xf numFmtId="164" fontId="8" fillId="6" borderId="0" xfId="1" applyFont="1" applyFill="1" applyBorder="1"/>
    <xf numFmtId="164" fontId="7" fillId="6" borderId="1" xfId="1" applyFont="1" applyFill="1" applyBorder="1"/>
    <xf numFmtId="43" fontId="12" fillId="6" borderId="1" xfId="0" applyNumberFormat="1" applyFont="1" applyFill="1" applyBorder="1"/>
    <xf numFmtId="43" fontId="12" fillId="8" borderId="1" xfId="0" applyNumberFormat="1" applyFont="1" applyFill="1" applyBorder="1" applyAlignment="1">
      <alignment horizontal="center"/>
    </xf>
    <xf numFmtId="4" fontId="12" fillId="6" borderId="1" xfId="0" applyNumberFormat="1" applyFont="1" applyFill="1" applyBorder="1" applyAlignment="1">
      <alignment horizontal="right" wrapText="1"/>
    </xf>
    <xf numFmtId="4" fontId="12" fillId="6" borderId="1" xfId="3" applyNumberFormat="1" applyFont="1" applyFill="1" applyBorder="1" applyAlignment="1">
      <alignment horizontal="right"/>
    </xf>
    <xf numFmtId="4" fontId="12" fillId="6" borderId="1" xfId="3" applyNumberFormat="1" applyFont="1" applyFill="1" applyBorder="1" applyAlignment="1">
      <alignment horizontal="right" wrapText="1"/>
    </xf>
    <xf numFmtId="164" fontId="0" fillId="0" borderId="0" xfId="1" applyFont="1"/>
    <xf numFmtId="4" fontId="12" fillId="6" borderId="1" xfId="3" applyNumberFormat="1" applyFont="1" applyFill="1" applyBorder="1" applyAlignment="1">
      <alignment horizontal="right"/>
    </xf>
    <xf numFmtId="4" fontId="12" fillId="6" borderId="5" xfId="7" applyNumberFormat="1" applyFont="1" applyFill="1" applyBorder="1" applyAlignment="1">
      <alignment horizontal="right"/>
    </xf>
    <xf numFmtId="164" fontId="8" fillId="6" borderId="6" xfId="1" applyFont="1" applyFill="1" applyBorder="1" applyAlignment="1">
      <alignment horizontal="center" wrapText="1"/>
    </xf>
    <xf numFmtId="9" fontId="0" fillId="0" borderId="0" xfId="2" applyFont="1"/>
    <xf numFmtId="0" fontId="28" fillId="0" borderId="0" xfId="0" applyFont="1"/>
    <xf numFmtId="4" fontId="7" fillId="8" borderId="1" xfId="1" applyNumberFormat="1" applyFont="1" applyFill="1" applyBorder="1" applyAlignment="1">
      <alignment horizontal="right" vertical="top" wrapText="1"/>
    </xf>
    <xf numFmtId="0" fontId="0" fillId="14" borderId="0" xfId="0" applyFill="1"/>
    <xf numFmtId="0" fontId="12" fillId="14" borderId="1" xfId="0" applyFont="1" applyFill="1" applyBorder="1" applyAlignment="1">
      <alignment horizontal="right" vertical="center"/>
    </xf>
    <xf numFmtId="0" fontId="7" fillId="14" borderId="1" xfId="0" applyFont="1" applyFill="1" applyBorder="1" applyAlignment="1">
      <alignment horizontal="right" vertical="center"/>
    </xf>
    <xf numFmtId="164" fontId="7" fillId="14" borderId="1" xfId="1" applyFont="1" applyFill="1" applyBorder="1" applyAlignment="1">
      <alignment horizontal="right" vertical="center" wrapText="1"/>
    </xf>
    <xf numFmtId="10" fontId="12" fillId="14" borderId="1" xfId="1" applyNumberFormat="1" applyFont="1" applyFill="1" applyBorder="1" applyAlignment="1">
      <alignment horizontal="right" vertical="center" wrapText="1"/>
    </xf>
    <xf numFmtId="4" fontId="12" fillId="14" borderId="1" xfId="1" applyNumberFormat="1" applyFont="1" applyFill="1" applyBorder="1" applyAlignment="1">
      <alignment horizontal="right" vertical="center" wrapText="1"/>
    </xf>
    <xf numFmtId="9" fontId="12" fillId="14" borderId="1" xfId="2" applyFont="1" applyFill="1" applyBorder="1" applyAlignment="1">
      <alignment horizontal="center" vertical="center" wrapText="1"/>
    </xf>
    <xf numFmtId="4" fontId="12" fillId="14" borderId="1" xfId="1" applyNumberFormat="1" applyFont="1" applyFill="1" applyBorder="1" applyAlignment="1">
      <alignment horizontal="center" vertical="center" wrapText="1"/>
    </xf>
    <xf numFmtId="10" fontId="9" fillId="14" borderId="1" xfId="2" applyNumberFormat="1" applyFont="1" applyFill="1" applyBorder="1" applyAlignment="1">
      <alignment horizontal="center" vertical="top" wrapText="1"/>
    </xf>
    <xf numFmtId="10" fontId="12" fillId="6" borderId="1" xfId="2" applyNumberFormat="1" applyFont="1" applyFill="1" applyBorder="1" applyAlignment="1">
      <alignment horizontal="center"/>
    </xf>
    <xf numFmtId="43" fontId="0" fillId="0" borderId="0" xfId="0" applyNumberFormat="1"/>
    <xf numFmtId="164" fontId="7" fillId="14" borderId="1" xfId="1" applyFont="1" applyFill="1" applyBorder="1" applyAlignment="1">
      <alignment horizontal="right" vertical="top" wrapText="1"/>
    </xf>
    <xf numFmtId="164" fontId="29" fillId="14" borderId="1" xfId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right" vertical="top" wrapText="1"/>
    </xf>
    <xf numFmtId="4" fontId="12" fillId="14" borderId="1" xfId="1" applyNumberFormat="1" applyFont="1" applyFill="1" applyBorder="1" applyAlignment="1">
      <alignment horizontal="center" vertical="top" wrapText="1"/>
    </xf>
    <xf numFmtId="167" fontId="9" fillId="14" borderId="1" xfId="2" applyNumberFormat="1" applyFont="1" applyFill="1" applyBorder="1" applyAlignment="1">
      <alignment horizontal="center" vertical="top" wrapText="1"/>
    </xf>
    <xf numFmtId="10" fontId="9" fillId="14" borderId="1" xfId="1" applyNumberFormat="1" applyFont="1" applyFill="1" applyBorder="1" applyAlignment="1">
      <alignment horizontal="center" vertical="top" wrapText="1"/>
    </xf>
    <xf numFmtId="0" fontId="0" fillId="0" borderId="5" xfId="0" applyBorder="1"/>
    <xf numFmtId="164" fontId="12" fillId="6" borderId="1" xfId="3" applyFont="1" applyFill="1" applyBorder="1" applyAlignment="1">
      <alignment horizontal="right" vertical="top" wrapText="1"/>
    </xf>
    <xf numFmtId="10" fontId="12" fillId="4" borderId="1" xfId="2" applyNumberFormat="1" applyFont="1" applyFill="1" applyBorder="1" applyAlignment="1">
      <alignment horizontal="center" vertical="top" wrapText="1"/>
    </xf>
    <xf numFmtId="4" fontId="12" fillId="6" borderId="1" xfId="3" applyNumberFormat="1" applyFont="1" applyFill="1" applyBorder="1" applyAlignment="1">
      <alignment vertical="top" wrapText="1"/>
    </xf>
    <xf numFmtId="164" fontId="12" fillId="8" borderId="1" xfId="1" applyFont="1" applyFill="1" applyBorder="1" applyAlignment="1">
      <alignment horizontal="center" vertical="top" wrapText="1"/>
    </xf>
    <xf numFmtId="10" fontId="0" fillId="0" borderId="0" xfId="2" applyNumberFormat="1" applyFont="1" applyBorder="1"/>
    <xf numFmtId="164" fontId="12" fillId="6" borderId="1" xfId="1" applyFont="1" applyFill="1" applyBorder="1" applyAlignment="1">
      <alignment horizontal="right" vertical="top" wrapText="1"/>
    </xf>
    <xf numFmtId="0" fontId="0" fillId="0" borderId="4" xfId="0" applyBorder="1"/>
    <xf numFmtId="4" fontId="12" fillId="6" borderId="4" xfId="3" applyNumberFormat="1" applyFont="1" applyFill="1" applyBorder="1" applyAlignment="1">
      <alignment horizontal="right" vertical="top" wrapText="1"/>
    </xf>
    <xf numFmtId="0" fontId="12" fillId="14" borderId="1" xfId="0" applyFont="1" applyFill="1" applyBorder="1" applyAlignment="1">
      <alignment horizontal="right"/>
    </xf>
    <xf numFmtId="0" fontId="7" fillId="14" borderId="1" xfId="0" applyFont="1" applyFill="1" applyBorder="1" applyAlignment="1">
      <alignment horizontal="right"/>
    </xf>
    <xf numFmtId="164" fontId="12" fillId="14" borderId="1" xfId="1" applyFont="1" applyFill="1" applyBorder="1" applyAlignment="1">
      <alignment horizontal="center" vertical="top" wrapText="1"/>
    </xf>
    <xf numFmtId="0" fontId="12" fillId="15" borderId="1" xfId="0" applyFont="1" applyFill="1" applyBorder="1" applyAlignment="1">
      <alignment horizontal="right" vertical="top" wrapText="1"/>
    </xf>
    <xf numFmtId="0" fontId="25" fillId="15" borderId="1" xfId="0" applyFont="1" applyFill="1" applyBorder="1" applyAlignment="1">
      <alignment horizontal="right" vertical="top" wrapText="1"/>
    </xf>
    <xf numFmtId="0" fontId="7" fillId="15" borderId="1" xfId="0" applyFont="1" applyFill="1" applyBorder="1" applyAlignment="1">
      <alignment horizontal="center" vertical="top" wrapText="1"/>
    </xf>
    <xf numFmtId="164" fontId="25" fillId="15" borderId="1" xfId="1" applyFont="1" applyFill="1" applyBorder="1" applyAlignment="1">
      <alignment horizontal="right" vertical="top" wrapText="1"/>
    </xf>
    <xf numFmtId="164" fontId="30" fillId="15" borderId="1" xfId="1" applyFont="1" applyFill="1" applyBorder="1" applyAlignment="1">
      <alignment horizontal="right" vertical="top" wrapText="1"/>
    </xf>
    <xf numFmtId="4" fontId="30" fillId="15" borderId="1" xfId="0" applyNumberFormat="1" applyFont="1" applyFill="1" applyBorder="1" applyAlignment="1">
      <alignment horizontal="right"/>
    </xf>
    <xf numFmtId="9" fontId="30" fillId="15" borderId="1" xfId="2" applyFont="1" applyFill="1" applyBorder="1" applyAlignment="1">
      <alignment horizontal="center"/>
    </xf>
    <xf numFmtId="4" fontId="30" fillId="15" borderId="1" xfId="0" applyNumberFormat="1" applyFont="1" applyFill="1" applyBorder="1" applyAlignment="1">
      <alignment horizontal="center"/>
    </xf>
    <xf numFmtId="10" fontId="30" fillId="15" borderId="1" xfId="2" applyNumberFormat="1" applyFont="1" applyFill="1" applyBorder="1" applyAlignment="1">
      <alignment horizontal="center" vertical="top" wrapText="1"/>
    </xf>
    <xf numFmtId="167" fontId="30" fillId="15" borderId="1" xfId="2" applyNumberFormat="1" applyFont="1" applyFill="1" applyBorder="1" applyAlignment="1">
      <alignment horizontal="center" vertical="top" wrapText="1"/>
    </xf>
    <xf numFmtId="167" fontId="12" fillId="15" borderId="1" xfId="2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left" vertical="center"/>
    </xf>
    <xf numFmtId="0" fontId="32" fillId="2" borderId="1" xfId="0" applyFont="1" applyFill="1" applyBorder="1"/>
    <xf numFmtId="0" fontId="33" fillId="2" borderId="1" xfId="0" applyFont="1" applyFill="1" applyBorder="1"/>
    <xf numFmtId="0" fontId="34" fillId="0" borderId="0" xfId="0" applyFont="1"/>
    <xf numFmtId="0" fontId="35" fillId="0" borderId="0" xfId="0" applyFont="1"/>
    <xf numFmtId="0" fontId="14" fillId="6" borderId="0" xfId="0" applyFont="1" applyFill="1" applyAlignment="1">
      <alignment wrapText="1"/>
    </xf>
    <xf numFmtId="43" fontId="35" fillId="0" borderId="0" xfId="8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0" fontId="33" fillId="0" borderId="0" xfId="0" applyFont="1"/>
    <xf numFmtId="0" fontId="33" fillId="6" borderId="0" xfId="0" applyFont="1" applyFill="1"/>
    <xf numFmtId="0" fontId="37" fillId="0" borderId="0" xfId="0" applyFont="1"/>
    <xf numFmtId="164" fontId="22" fillId="6" borderId="0" xfId="1" applyFont="1" applyFill="1" applyBorder="1"/>
    <xf numFmtId="4" fontId="22" fillId="6" borderId="0" xfId="0" applyNumberFormat="1" applyFont="1" applyFill="1"/>
    <xf numFmtId="0" fontId="38" fillId="6" borderId="0" xfId="0" applyFont="1" applyFill="1" applyAlignment="1">
      <alignment horizontal="right"/>
    </xf>
    <xf numFmtId="0" fontId="39" fillId="6" borderId="0" xfId="0" applyFont="1" applyFill="1" applyAlignment="1">
      <alignment horizontal="right"/>
    </xf>
    <xf numFmtId="4" fontId="40" fillId="6" borderId="0" xfId="0" applyNumberFormat="1" applyFont="1" applyFill="1"/>
    <xf numFmtId="0" fontId="39" fillId="0" borderId="0" xfId="0" applyFont="1" applyAlignment="1">
      <alignment horizontal="right"/>
    </xf>
    <xf numFmtId="164" fontId="40" fillId="6" borderId="0" xfId="1" applyFont="1" applyFill="1" applyBorder="1" applyAlignment="1">
      <alignment horizontal="right" vertical="top" wrapText="1"/>
    </xf>
    <xf numFmtId="0" fontId="41" fillId="0" borderId="0" xfId="0" applyFont="1" applyAlignment="1">
      <alignment horizontal="right"/>
    </xf>
    <xf numFmtId="4" fontId="42" fillId="6" borderId="0" xfId="0" applyNumberFormat="1" applyFont="1" applyFill="1"/>
    <xf numFmtId="0" fontId="4" fillId="6" borderId="0" xfId="0" applyFont="1" applyFill="1" applyAlignment="1">
      <alignment wrapText="1"/>
    </xf>
    <xf numFmtId="0" fontId="43" fillId="0" borderId="7" xfId="0" applyFont="1" applyBorder="1" applyAlignment="1">
      <alignment horizontal="right"/>
    </xf>
    <xf numFmtId="16" fontId="44" fillId="6" borderId="7" xfId="0" applyNumberFormat="1" applyFont="1" applyFill="1" applyBorder="1"/>
    <xf numFmtId="0" fontId="44" fillId="0" borderId="7" xfId="0" applyFont="1" applyBorder="1" applyAlignment="1">
      <alignment horizontal="right"/>
    </xf>
    <xf numFmtId="4" fontId="42" fillId="6" borderId="7" xfId="0" applyNumberFormat="1" applyFont="1" applyFill="1" applyBorder="1" applyAlignment="1">
      <alignment horizontal="right"/>
    </xf>
    <xf numFmtId="4" fontId="42" fillId="6" borderId="7" xfId="0" applyNumberFormat="1" applyFont="1" applyFill="1" applyBorder="1"/>
    <xf numFmtId="164" fontId="42" fillId="6" borderId="7" xfId="1" applyFont="1" applyFill="1" applyBorder="1" applyAlignment="1">
      <alignment horizontal="right" vertical="top" wrapText="1"/>
    </xf>
    <xf numFmtId="4" fontId="4" fillId="6" borderId="7" xfId="0" applyNumberFormat="1" applyFont="1" applyFill="1" applyBorder="1"/>
    <xf numFmtId="0" fontId="27" fillId="16" borderId="7" xfId="0" applyFont="1" applyFill="1" applyBorder="1" applyAlignment="1">
      <alignment horizontal="right"/>
    </xf>
    <xf numFmtId="43" fontId="27" fillId="16" borderId="7" xfId="0" applyNumberFormat="1" applyFont="1" applyFill="1" applyBorder="1"/>
    <xf numFmtId="0" fontId="4" fillId="0" borderId="0" xfId="0" applyFont="1"/>
    <xf numFmtId="164" fontId="4" fillId="0" borderId="0" xfId="1" applyFont="1"/>
    <xf numFmtId="0" fontId="43" fillId="17" borderId="7" xfId="0" applyFont="1" applyFill="1" applyBorder="1" applyAlignment="1">
      <alignment horizontal="right"/>
    </xf>
    <xf numFmtId="43" fontId="43" fillId="17" borderId="7" xfId="0" quotePrefix="1" applyNumberFormat="1" applyFont="1" applyFill="1" applyBorder="1" applyAlignment="1">
      <alignment horizontal="center"/>
    </xf>
    <xf numFmtId="43" fontId="43" fillId="17" borderId="7" xfId="0" applyNumberFormat="1" applyFont="1" applyFill="1" applyBorder="1"/>
    <xf numFmtId="164" fontId="43" fillId="17" borderId="7" xfId="1" applyFont="1" applyFill="1" applyBorder="1"/>
    <xf numFmtId="0" fontId="41" fillId="0" borderId="7" xfId="0" applyFont="1" applyBorder="1" applyAlignment="1">
      <alignment horizontal="right"/>
    </xf>
    <xf numFmtId="164" fontId="42" fillId="0" borderId="7" xfId="1" applyFont="1" applyBorder="1"/>
    <xf numFmtId="164" fontId="37" fillId="0" borderId="0" xfId="1" applyFont="1"/>
    <xf numFmtId="43" fontId="37" fillId="0" borderId="0" xfId="0" applyNumberFormat="1" applyFont="1"/>
    <xf numFmtId="0" fontId="11" fillId="6" borderId="1" xfId="0" applyFont="1" applyFill="1" applyBorder="1" applyAlignment="1">
      <alignment wrapText="1"/>
    </xf>
    <xf numFmtId="164" fontId="51" fillId="6" borderId="1" xfId="3" applyFont="1" applyFill="1" applyBorder="1"/>
    <xf numFmtId="164" fontId="51" fillId="6" borderId="1" xfId="3" applyFont="1" applyFill="1" applyBorder="1" applyAlignment="1">
      <alignment horizontal="right"/>
    </xf>
    <xf numFmtId="4" fontId="42" fillId="6" borderId="0" xfId="0" applyNumberFormat="1" applyFont="1" applyFill="1" applyAlignment="1">
      <alignment horizontal="right"/>
    </xf>
    <xf numFmtId="10" fontId="11" fillId="8" borderId="1" xfId="2" applyNumberFormat="1" applyFont="1" applyFill="1" applyBorder="1" applyAlignment="1">
      <alignment horizontal="center"/>
    </xf>
    <xf numFmtId="164" fontId="11" fillId="6" borderId="1" xfId="3" applyFont="1" applyFill="1" applyBorder="1"/>
    <xf numFmtId="0" fontId="11" fillId="6" borderId="0" xfId="0" applyFont="1" applyFill="1" applyAlignment="1">
      <alignment horizontal="center" vertical="center"/>
    </xf>
    <xf numFmtId="4" fontId="11" fillId="6" borderId="1" xfId="0" applyNumberFormat="1" applyFont="1" applyFill="1" applyBorder="1" applyAlignment="1">
      <alignment wrapText="1"/>
    </xf>
    <xf numFmtId="0" fontId="11" fillId="6" borderId="0" xfId="0" applyFont="1" applyFill="1" applyAlignment="1">
      <alignment horizontal="center"/>
    </xf>
    <xf numFmtId="49" fontId="11" fillId="6" borderId="1" xfId="0" applyNumberFormat="1" applyFont="1" applyFill="1" applyBorder="1" applyAlignment="1">
      <alignment wrapText="1"/>
    </xf>
    <xf numFmtId="164" fontId="11" fillId="6" borderId="1" xfId="3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164" fontId="11" fillId="6" borderId="1" xfId="1" applyFont="1" applyFill="1" applyBorder="1"/>
    <xf numFmtId="0" fontId="9" fillId="6" borderId="0" xfId="0" applyFont="1" applyFill="1" applyAlignment="1">
      <alignment horizontal="center"/>
    </xf>
    <xf numFmtId="4" fontId="9" fillId="6" borderId="1" xfId="0" applyNumberFormat="1" applyFont="1" applyFill="1" applyBorder="1" applyAlignment="1">
      <alignment wrapText="1"/>
    </xf>
    <xf numFmtId="0" fontId="9" fillId="0" borderId="0" xfId="0" applyFont="1" applyAlignment="1">
      <alignment horizontal="center"/>
    </xf>
    <xf numFmtId="0" fontId="9" fillId="6" borderId="1" xfId="0" applyFont="1" applyFill="1" applyBorder="1" applyAlignment="1">
      <alignment wrapText="1"/>
    </xf>
    <xf numFmtId="164" fontId="12" fillId="6" borderId="1" xfId="1" applyFont="1" applyFill="1" applyBorder="1" applyAlignment="1">
      <alignment horizontal="right" wrapText="1"/>
    </xf>
    <xf numFmtId="4" fontId="11" fillId="6" borderId="1" xfId="0" applyNumberFormat="1" applyFont="1" applyFill="1" applyBorder="1"/>
    <xf numFmtId="164" fontId="11" fillId="6" borderId="1" xfId="3" applyFont="1" applyFill="1" applyBorder="1" applyAlignment="1">
      <alignment horizontal="right" wrapText="1"/>
    </xf>
    <xf numFmtId="164" fontId="11" fillId="6" borderId="1" xfId="1" applyFont="1" applyFill="1" applyBorder="1" applyAlignment="1">
      <alignment horizontal="right"/>
    </xf>
    <xf numFmtId="164" fontId="11" fillId="6" borderId="1" xfId="3" applyFont="1" applyFill="1" applyBorder="1" applyAlignment="1">
      <alignment wrapText="1"/>
    </xf>
    <xf numFmtId="10" fontId="11" fillId="6" borderId="1" xfId="2" applyNumberFormat="1" applyFont="1" applyFill="1" applyBorder="1" applyAlignment="1">
      <alignment horizontal="center"/>
    </xf>
    <xf numFmtId="164" fontId="11" fillId="6" borderId="1" xfId="3" applyFont="1" applyFill="1" applyBorder="1" applyAlignment="1">
      <alignment horizontal="right" vertical="top" wrapText="1"/>
    </xf>
    <xf numFmtId="164" fontId="11" fillId="6" borderId="1" xfId="1" applyFont="1" applyFill="1" applyBorder="1" applyAlignment="1">
      <alignment horizontal="right" vertical="top" wrapText="1"/>
    </xf>
    <xf numFmtId="4" fontId="11" fillId="6" borderId="1" xfId="3" applyNumberFormat="1" applyFont="1" applyFill="1" applyBorder="1" applyAlignment="1">
      <alignment vertical="top" wrapText="1"/>
    </xf>
    <xf numFmtId="164" fontId="11" fillId="8" borderId="1" xfId="1" applyFont="1" applyFill="1" applyBorder="1" applyAlignment="1">
      <alignment horizontal="center" vertical="top" wrapText="1"/>
    </xf>
    <xf numFmtId="10" fontId="11" fillId="8" borderId="1" xfId="2" applyNumberFormat="1" applyFont="1" applyFill="1" applyBorder="1" applyAlignment="1">
      <alignment horizontal="center" vertical="top" wrapText="1"/>
    </xf>
    <xf numFmtId="4" fontId="11" fillId="6" borderId="1" xfId="3" applyNumberFormat="1" applyFont="1" applyFill="1" applyBorder="1" applyAlignment="1">
      <alignment horizontal="right" vertical="top" wrapText="1"/>
    </xf>
    <xf numFmtId="2" fontId="11" fillId="6" borderId="1" xfId="0" applyNumberFormat="1" applyFont="1" applyFill="1" applyBorder="1" applyAlignment="1">
      <alignment horizontal="right"/>
    </xf>
    <xf numFmtId="164" fontId="11" fillId="8" borderId="1" xfId="1" applyFont="1" applyFill="1" applyBorder="1" applyAlignment="1">
      <alignment horizontal="center"/>
    </xf>
    <xf numFmtId="10" fontId="11" fillId="8" borderId="1" xfId="2" applyNumberFormat="1" applyFont="1" applyFill="1" applyBorder="1" applyAlignment="1">
      <alignment horizontal="center" wrapText="1"/>
    </xf>
    <xf numFmtId="4" fontId="11" fillId="6" borderId="1" xfId="3" applyNumberFormat="1" applyFont="1" applyFill="1" applyBorder="1" applyAlignment="1">
      <alignment horizontal="right"/>
    </xf>
    <xf numFmtId="4" fontId="11" fillId="6" borderId="1" xfId="3" applyNumberFormat="1" applyFont="1" applyFill="1" applyBorder="1" applyAlignment="1">
      <alignment horizontal="right" wrapText="1"/>
    </xf>
    <xf numFmtId="164" fontId="11" fillId="8" borderId="1" xfId="1" applyFont="1" applyFill="1" applyBorder="1" applyAlignment="1">
      <alignment horizontal="center" wrapText="1"/>
    </xf>
    <xf numFmtId="2" fontId="11" fillId="6" borderId="1" xfId="0" applyNumberFormat="1" applyFont="1" applyFill="1" applyBorder="1"/>
    <xf numFmtId="164" fontId="11" fillId="10" borderId="1" xfId="1" applyFont="1" applyFill="1" applyBorder="1" applyAlignment="1">
      <alignment horizontal="center"/>
    </xf>
    <xf numFmtId="10" fontId="11" fillId="10" borderId="1" xfId="2" applyNumberFormat="1" applyFont="1" applyFill="1" applyBorder="1" applyAlignment="1">
      <alignment horizontal="center"/>
    </xf>
    <xf numFmtId="4" fontId="11" fillId="6" borderId="1" xfId="0" applyNumberFormat="1" applyFont="1" applyFill="1" applyBorder="1" applyAlignment="1">
      <alignment horizontal="right"/>
    </xf>
    <xf numFmtId="4" fontId="11" fillId="6" borderId="1" xfId="1" applyNumberFormat="1" applyFont="1" applyFill="1" applyBorder="1" applyAlignment="1">
      <alignment horizontal="right"/>
    </xf>
    <xf numFmtId="0" fontId="54" fillId="6" borderId="0" xfId="0" applyFont="1" applyFill="1" applyAlignment="1">
      <alignment horizontal="right"/>
    </xf>
    <xf numFmtId="16" fontId="54" fillId="6" borderId="0" xfId="0" applyNumberFormat="1" applyFont="1" applyFill="1" applyAlignment="1">
      <alignment horizontal="center" wrapText="1"/>
    </xf>
    <xf numFmtId="0" fontId="55" fillId="6" borderId="0" xfId="0" applyFont="1" applyFill="1"/>
    <xf numFmtId="0" fontId="54" fillId="6" borderId="0" xfId="0" applyFont="1" applyFill="1" applyAlignment="1">
      <alignment horizontal="right" wrapText="1"/>
    </xf>
    <xf numFmtId="4" fontId="56" fillId="6" borderId="0" xfId="0" applyNumberFormat="1" applyFont="1" applyFill="1"/>
    <xf numFmtId="4" fontId="56" fillId="6" borderId="0" xfId="0" applyNumberFormat="1" applyFont="1" applyFill="1" applyAlignment="1">
      <alignment horizontal="right"/>
    </xf>
    <xf numFmtId="164" fontId="56" fillId="6" borderId="0" xfId="1" applyFont="1" applyFill="1" applyBorder="1" applyAlignment="1">
      <alignment horizontal="right" vertical="top" wrapText="1"/>
    </xf>
    <xf numFmtId="0" fontId="38" fillId="6" borderId="0" xfId="0" applyFont="1" applyFill="1" applyAlignment="1">
      <alignment horizontal="right" wrapText="1"/>
    </xf>
    <xf numFmtId="4" fontId="22" fillId="6" borderId="0" xfId="0" applyNumberFormat="1" applyFont="1" applyFill="1" applyAlignment="1">
      <alignment horizontal="right"/>
    </xf>
    <xf numFmtId="164" fontId="22" fillId="6" borderId="0" xfId="1" applyFont="1" applyFill="1" applyBorder="1" applyAlignment="1">
      <alignment horizontal="right" vertical="top" wrapText="1"/>
    </xf>
    <xf numFmtId="0" fontId="57" fillId="6" borderId="0" xfId="0" applyFont="1" applyFill="1" applyAlignment="1">
      <alignment horizontal="right"/>
    </xf>
    <xf numFmtId="16" fontId="39" fillId="6" borderId="0" xfId="0" applyNumberFormat="1" applyFont="1" applyFill="1"/>
    <xf numFmtId="4" fontId="40" fillId="6" borderId="0" xfId="0" applyNumberFormat="1" applyFont="1" applyFill="1" applyAlignment="1">
      <alignment horizontal="right"/>
    </xf>
    <xf numFmtId="164" fontId="33" fillId="6" borderId="0" xfId="1" applyFont="1" applyFill="1" applyBorder="1"/>
    <xf numFmtId="0" fontId="53" fillId="0" borderId="0" xfId="0" applyFont="1"/>
    <xf numFmtId="16" fontId="58" fillId="6" borderId="0" xfId="0" applyNumberFormat="1" applyFont="1" applyFill="1"/>
    <xf numFmtId="164" fontId="59" fillId="0" borderId="0" xfId="1" applyFont="1"/>
    <xf numFmtId="43" fontId="59" fillId="0" borderId="0" xfId="0" applyNumberFormat="1" applyFont="1"/>
    <xf numFmtId="4" fontId="59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0" fontId="19" fillId="12" borderId="1" xfId="0" applyFont="1" applyFill="1" applyBorder="1" applyAlignment="1">
      <alignment horizontal="center"/>
    </xf>
    <xf numFmtId="0" fontId="25" fillId="7" borderId="1" xfId="0" applyFont="1" applyFill="1" applyBorder="1" applyAlignment="1">
      <alignment horizontal="center"/>
    </xf>
    <xf numFmtId="0" fontId="27" fillId="7" borderId="1" xfId="0" applyFont="1" applyFill="1" applyBorder="1" applyAlignment="1">
      <alignment horizontal="center"/>
    </xf>
    <xf numFmtId="0" fontId="25" fillId="13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/>
    </xf>
    <xf numFmtId="0" fontId="30" fillId="6" borderId="0" xfId="0" applyFont="1" applyFill="1" applyAlignment="1">
      <alignment horizontal="center" wrapText="1"/>
    </xf>
    <xf numFmtId="4" fontId="11" fillId="6" borderId="1" xfId="4" applyNumberFormat="1" applyFont="1" applyFill="1" applyBorder="1" applyAlignment="1">
      <alignment wrapText="1"/>
    </xf>
    <xf numFmtId="4" fontId="12" fillId="6" borderId="6" xfId="3" applyNumberFormat="1" applyFont="1" applyFill="1" applyBorder="1" applyAlignment="1">
      <alignment horizontal="right" vertical="top" wrapText="1"/>
    </xf>
    <xf numFmtId="4" fontId="12" fillId="6" borderId="8" xfId="7" applyNumberFormat="1" applyFont="1" applyFill="1" applyBorder="1" applyAlignment="1">
      <alignment horizontal="right" vertical="top" wrapText="1"/>
    </xf>
    <xf numFmtId="0" fontId="0" fillId="0" borderId="9" xfId="0" applyBorder="1"/>
    <xf numFmtId="4" fontId="11" fillId="6" borderId="0" xfId="3" applyNumberFormat="1" applyFont="1" applyFill="1" applyBorder="1" applyAlignment="1">
      <alignment horizontal="right" vertical="top" wrapText="1"/>
    </xf>
    <xf numFmtId="10" fontId="12" fillId="6" borderId="0" xfId="2" applyNumberFormat="1" applyFont="1" applyFill="1" applyBorder="1" applyAlignment="1">
      <alignment horizontal="right" vertical="top" wrapText="1"/>
    </xf>
    <xf numFmtId="0" fontId="0" fillId="0" borderId="0" xfId="0" applyBorder="1"/>
  </cellXfs>
  <cellStyles count="106">
    <cellStyle name="60% - Accent1 2" xfId="9"/>
    <cellStyle name="60% - Accent2 2" xfId="10"/>
    <cellStyle name="60% - Accent3 2" xfId="11"/>
    <cellStyle name="60% - Accent4 2" xfId="12"/>
    <cellStyle name="60% - Accent5 2" xfId="13"/>
    <cellStyle name="60% - Accent6 2" xfId="14"/>
    <cellStyle name="Comma" xfId="1" builtinId="3"/>
    <cellStyle name="Comma 10" xfId="15"/>
    <cellStyle name="Comma 10 13" xfId="3"/>
    <cellStyle name="Comma 10 13 2" xfId="16"/>
    <cellStyle name="Comma 10 13 2 2" xfId="7"/>
    <cellStyle name="Comma 10 13 3" xfId="17"/>
    <cellStyle name="Comma 11" xfId="18"/>
    <cellStyle name="Comma 11 2" xfId="19"/>
    <cellStyle name="Comma 12" xfId="20"/>
    <cellStyle name="Comma 13" xfId="21"/>
    <cellStyle name="Comma 14" xfId="22"/>
    <cellStyle name="Comma 15" xfId="23"/>
    <cellStyle name="Comma 15 2" xfId="24"/>
    <cellStyle name="Comma 2" xfId="8"/>
    <cellStyle name="Comma 2 2" xfId="25"/>
    <cellStyle name="Comma 2 2 2" xfId="26"/>
    <cellStyle name="Comma 2 2 2 2" xfId="27"/>
    <cellStyle name="Comma 2 2 3" xfId="28"/>
    <cellStyle name="Comma 2 3" xfId="29"/>
    <cellStyle name="Comma 2 3 2" xfId="30"/>
    <cellStyle name="Comma 2 4" xfId="31"/>
    <cellStyle name="Comma 2 5" xfId="5"/>
    <cellStyle name="Comma 2 6" xfId="104"/>
    <cellStyle name="Comma 3" xfId="32"/>
    <cellStyle name="Comma 3 2" xfId="33"/>
    <cellStyle name="Comma 3 2 2" xfId="34"/>
    <cellStyle name="Comma 3 2 2 2" xfId="35"/>
    <cellStyle name="Comma 3 2 2 2 2" xfId="36"/>
    <cellStyle name="Comma 3 2 2 3" xfId="37"/>
    <cellStyle name="Comma 3 2 3" xfId="38"/>
    <cellStyle name="Comma 3 2 3 2" xfId="39"/>
    <cellStyle name="Comma 3 2 4" xfId="40"/>
    <cellStyle name="Comma 4" xfId="41"/>
    <cellStyle name="Comma 5" xfId="42"/>
    <cellStyle name="Comma 6" xfId="43"/>
    <cellStyle name="Comma 7" xfId="44"/>
    <cellStyle name="Comma 7 2" xfId="45"/>
    <cellStyle name="Comma 7 2 2" xfId="46"/>
    <cellStyle name="Comma 7 3" xfId="47"/>
    <cellStyle name="Comma 8" xfId="48"/>
    <cellStyle name="Comma 9" xfId="49"/>
    <cellStyle name="Comma 9 2" xfId="50"/>
    <cellStyle name="Comma 9 2 2" xfId="51"/>
    <cellStyle name="Comma 9 3" xfId="52"/>
    <cellStyle name="Neutral 2" xfId="53"/>
    <cellStyle name="Normal" xfId="0" builtinId="0"/>
    <cellStyle name="Normal 2" xfId="54"/>
    <cellStyle name="Normal 2 2" xfId="55"/>
    <cellStyle name="Normal 2 2 2" xfId="56"/>
    <cellStyle name="Normal 2 2 2 2" xfId="57"/>
    <cellStyle name="Normal 2 2 3" xfId="58"/>
    <cellStyle name="Normal 2 3" xfId="105"/>
    <cellStyle name="Normal 27 2" xfId="59"/>
    <cellStyle name="Normal 3" xfId="60"/>
    <cellStyle name="Normal 3 2" xfId="61"/>
    <cellStyle name="Normal 3 2 2" xfId="62"/>
    <cellStyle name="Normal 3 3" xfId="63"/>
    <cellStyle name="Normal 4" xfId="64"/>
    <cellStyle name="Normal 4 2" xfId="65"/>
    <cellStyle name="Normal 4 2 2" xfId="66"/>
    <cellStyle name="Normal 4 3" xfId="67"/>
    <cellStyle name="Normal 5" xfId="68"/>
    <cellStyle name="Normal 5 2" xfId="69"/>
    <cellStyle name="Normal 5 2 2" xfId="70"/>
    <cellStyle name="Normal 5 3" xfId="71"/>
    <cellStyle name="Normal 6" xfId="4"/>
    <cellStyle name="Normal 6 2" xfId="72"/>
    <cellStyle name="Normal 6 2 2" xfId="73"/>
    <cellStyle name="Normal 6 2 2 2" xfId="74"/>
    <cellStyle name="Normal 6 2 3" xfId="75"/>
    <cellStyle name="Normal 6 3" xfId="76"/>
    <cellStyle name="Normal 7" xfId="77"/>
    <cellStyle name="Normal 8" xfId="6"/>
    <cellStyle name="Normal 9" xfId="103"/>
    <cellStyle name="Percent" xfId="2" builtinId="5"/>
    <cellStyle name="Percent 13" xfId="78"/>
    <cellStyle name="Percent 13 2" xfId="79"/>
    <cellStyle name="Percent 2" xfId="80"/>
    <cellStyle name="Percent 2 2" xfId="81"/>
    <cellStyle name="Percent 2 2 2" xfId="82"/>
    <cellStyle name="Percent 2 2 2 2" xfId="83"/>
    <cellStyle name="Percent 2 2 3" xfId="84"/>
    <cellStyle name="Percent 2 3" xfId="85"/>
    <cellStyle name="Percent 2 3 2" xfId="86"/>
    <cellStyle name="Percent 2 4" xfId="87"/>
    <cellStyle name="Percent 3" xfId="88"/>
    <cellStyle name="Percent 3 2" xfId="89"/>
    <cellStyle name="Percent 3 2 2" xfId="90"/>
    <cellStyle name="Percent 3 3" xfId="91"/>
    <cellStyle name="Percent 4" xfId="92"/>
    <cellStyle name="Percent 4 2" xfId="93"/>
    <cellStyle name="Percent 4 2 2" xfId="94"/>
    <cellStyle name="Percent 4 3" xfId="95"/>
    <cellStyle name="Percent 5" xfId="96"/>
    <cellStyle name="Percent 6" xfId="97"/>
    <cellStyle name="Percent 7" xfId="98"/>
    <cellStyle name="Percent 7 2" xfId="99"/>
    <cellStyle name="Percent 8" xfId="100"/>
    <cellStyle name="Percent 9" xfId="101"/>
    <cellStyle name="Title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mpd="sng" algn="ctr">
          <a:solidFill>
            <a:schemeClr val="accent3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029948179554479E-2"/>
          <c:y val="0.12704990307584102"/>
          <c:w val="0.94540905952453602"/>
          <c:h val="0.73327195644378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Aug 7,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240.4180215446487</c:v>
                </c:pt>
                <c:pt idx="1">
                  <c:v>6317.6958735711487</c:v>
                </c:pt>
                <c:pt idx="2">
                  <c:v>233.6309006173162</c:v>
                </c:pt>
                <c:pt idx="3">
                  <c:v>1807.3676245681486</c:v>
                </c:pt>
                <c:pt idx="4">
                  <c:v>516.1729719836386</c:v>
                </c:pt>
                <c:pt idx="5" formatCode="_-* #,##0.00_-;\-* #,##0.00_-;_-* &quot;-&quot;??_-;_-@_-">
                  <c:v>158.02861792433822</c:v>
                </c:pt>
                <c:pt idx="6">
                  <c:v>19.658399662889998</c:v>
                </c:pt>
                <c:pt idx="7">
                  <c:v>147.78531868610264</c:v>
                </c:pt>
                <c:pt idx="8">
                  <c:v>32.281492380122813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2-43FB-8807-8F42904C1B04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Aug 14,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  <a:tileRect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235.54647724746704</c:v>
                </c:pt>
                <c:pt idx="1">
                  <c:v>6366.4190322589529</c:v>
                </c:pt>
                <c:pt idx="2">
                  <c:v>232.80855704747901</c:v>
                </c:pt>
                <c:pt idx="3">
                  <c:v>1787.9910956869765</c:v>
                </c:pt>
                <c:pt idx="4">
                  <c:v>515.35787245855443</c:v>
                </c:pt>
                <c:pt idx="5" formatCode="_-* #,##0.00_-;\-* #,##0.00_-;_-* &quot;-&quot;??_-;_-@_-">
                  <c:v>156.05645683963124</c:v>
                </c:pt>
                <c:pt idx="6">
                  <c:v>19.214258027819998</c:v>
                </c:pt>
                <c:pt idx="7">
                  <c:v>147.47867723920695</c:v>
                </c:pt>
                <c:pt idx="8">
                  <c:v>53.136278649465893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2-43FB-8807-8F42904C1B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14TH AUGUST,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5908775302"/>
          <c:y val="1.87027491629124E-2"/>
        </c:manualLayout>
      </c:layout>
      <c:overlay val="0"/>
      <c:spPr>
        <a:solidFill>
          <a:schemeClr val="dk1"/>
        </a:solidFill>
        <a:ln w="12700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7143230399"/>
          <c:y val="0.14742729067802399"/>
          <c:w val="0.84316498041152999"/>
          <c:h val="0.81423920392990101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14-Aug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80-404D-9122-441AE6B5E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80-404D-9122-441AE6B5EDA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80-404D-9122-441AE6B5EDA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80-404D-9122-441AE6B5EDA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80-404D-9122-441AE6B5EDA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380-404D-9122-441AE6B5ED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380-404D-9122-441AE6B5EDA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380-404D-9122-441AE6B5EDA5}"/>
              </c:ext>
            </c:extLst>
          </c:dPt>
          <c:dLbls>
            <c:dLbl>
              <c:idx val="0"/>
              <c:layout>
                <c:manualLayout>
                  <c:x val="-4.3124206364154802E-2"/>
                  <c:y val="0.11941221356391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  <a:tileRect/>
                </a:gradFill>
                <a:ln w="6350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/>
                </c:ext>
                <c:ext xmlns:c16="http://schemas.microsoft.com/office/drawing/2014/chart" uri="{C3380CC4-5D6E-409C-BE32-E72D297353CC}">
                  <c16:uniqueId val="{00000001-C380-404D-9122-441AE6B5EDA5}"/>
                </c:ext>
              </c:extLst>
            </c:dLbl>
            <c:dLbl>
              <c:idx val="1"/>
              <c:layout>
                <c:manualLayout>
                  <c:x val="-8.3929151296615601E-2"/>
                  <c:y val="5.52374087274074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80-404D-9122-441AE6B5EDA5}"/>
                </c:ext>
              </c:extLst>
            </c:dLbl>
            <c:dLbl>
              <c:idx val="2"/>
              <c:layout>
                <c:manualLayout>
                  <c:x val="-2.4332942441105801E-2"/>
                  <c:y val="-9.7563132643699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80-404D-9122-441AE6B5EDA5}"/>
                </c:ext>
              </c:extLst>
            </c:dLbl>
            <c:dLbl>
              <c:idx val="3"/>
              <c:layout>
                <c:manualLayout>
                  <c:x val="-1.8232066184282299E-2"/>
                  <c:y val="3.1761456280946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80-404D-9122-441AE6B5EDA5}"/>
                </c:ext>
              </c:extLst>
            </c:dLbl>
            <c:dLbl>
              <c:idx val="4"/>
              <c:layout>
                <c:manualLayout>
                  <c:x val="-1.9911337643861798E-2"/>
                  <c:y val="-0.1152061000466349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380-404D-9122-441AE6B5EDA5}"/>
                </c:ext>
              </c:extLst>
            </c:dLbl>
            <c:dLbl>
              <c:idx val="5"/>
              <c:layout>
                <c:manualLayout>
                  <c:x val="0.12519177794456501"/>
                  <c:y val="-0.153816595673561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380-404D-9122-441AE6B5EDA5}"/>
                </c:ext>
              </c:extLst>
            </c:dLbl>
            <c:dLbl>
              <c:idx val="6"/>
              <c:layout>
                <c:manualLayout>
                  <c:x val="0.104828163981438"/>
                  <c:y val="7.5248312205076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380-404D-9122-441AE6B5EDA5}"/>
                </c:ext>
              </c:extLst>
            </c:dLbl>
            <c:dLbl>
              <c:idx val="7"/>
              <c:layout>
                <c:manualLayout>
                  <c:x val="0.112579382956028"/>
                  <c:y val="8.3652377128601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380-404D-9122-441AE6B5EDA5}"/>
                </c:ext>
              </c:extLst>
            </c:dLbl>
            <c:dLbl>
              <c:idx val="8"/>
              <c:layout>
                <c:manualLayout>
                  <c:x val="-0.21830311417579701"/>
                  <c:y val="-0.199591666460037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380-404D-9122-441AE6B5EDA5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  <a:tileRect/>
              </a:gradFill>
              <a:ln w="6350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19214258027.82</c:v>
                </c:pt>
                <c:pt idx="1">
                  <c:v>53136278649.465897</c:v>
                </c:pt>
                <c:pt idx="2">
                  <c:v>147478677239.20694</c:v>
                </c:pt>
                <c:pt idx="3" formatCode="_-* #,##0.00_-;\-* #,##0.00_-;_-* &quot;-&quot;??_-;_-@_-">
                  <c:v>156056456839.63123</c:v>
                </c:pt>
                <c:pt idx="4">
                  <c:v>235546477247.46704</c:v>
                </c:pt>
                <c:pt idx="5">
                  <c:v>232808557047.479</c:v>
                </c:pt>
                <c:pt idx="6">
                  <c:v>515357872458.55438</c:v>
                </c:pt>
                <c:pt idx="7">
                  <c:v>1787991095686.9766</c:v>
                </c:pt>
                <c:pt idx="8">
                  <c:v>6366419032258.9531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380-404D-9122-441AE6B5EDA5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2102851901"/>
          <c:y val="1.56862791627645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46199</c:v>
                </c:pt>
                <c:pt idx="1">
                  <c:v>46206</c:v>
                </c:pt>
                <c:pt idx="2">
                  <c:v>46213</c:v>
                </c:pt>
                <c:pt idx="3">
                  <c:v>46220</c:v>
                </c:pt>
                <c:pt idx="4">
                  <c:v>46227</c:v>
                </c:pt>
                <c:pt idx="5">
                  <c:v>46234</c:v>
                </c:pt>
                <c:pt idx="6">
                  <c:v>46241</c:v>
                </c:pt>
                <c:pt idx="7">
                  <c:v>46248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9145.8109795412729</c:v>
                </c:pt>
                <c:pt idx="1">
                  <c:v>9170.4865225909325</c:v>
                </c:pt>
                <c:pt idx="2">
                  <c:v>9322.9578326476822</c:v>
                </c:pt>
                <c:pt idx="3">
                  <c:v>9381.6721985894019</c:v>
                </c:pt>
                <c:pt idx="4">
                  <c:v>9403.97354604477</c:v>
                </c:pt>
                <c:pt idx="5">
                  <c:v>9322.9578326476822</c:v>
                </c:pt>
                <c:pt idx="6">
                  <c:v>9473.0392209383554</c:v>
                </c:pt>
                <c:pt idx="7">
                  <c:v>9514.0087054555552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542-9882-B8458D4236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46199</c:v>
                </c:pt>
                <c:pt idx="1">
                  <c:v>46206</c:v>
                </c:pt>
                <c:pt idx="2">
                  <c:v>46213</c:v>
                </c:pt>
                <c:pt idx="3">
                  <c:v>46220</c:v>
                </c:pt>
                <c:pt idx="4">
                  <c:v>46227</c:v>
                </c:pt>
                <c:pt idx="5">
                  <c:v>46234</c:v>
                </c:pt>
                <c:pt idx="6">
                  <c:v>46241</c:v>
                </c:pt>
                <c:pt idx="7">
                  <c:v>46248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29.959038932529999</c:v>
                </c:pt>
                <c:pt idx="1">
                  <c:v>29.355227401120001</c:v>
                </c:pt>
                <c:pt idx="2">
                  <c:v>31.056126253639995</c:v>
                </c:pt>
                <c:pt idx="3">
                  <c:v>31.336682253870002</c:v>
                </c:pt>
                <c:pt idx="4">
                  <c:v>31.945291834430002</c:v>
                </c:pt>
                <c:pt idx="5">
                  <c:v>31.056126253639995</c:v>
                </c:pt>
                <c:pt idx="6">
                  <c:v>31.9642466514</c:v>
                </c:pt>
                <c:pt idx="7">
                  <c:v>31.696141977819998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A-4965-A706-4F6A23AE5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"/>
        <c:axId val="2"/>
      </c:lineChart>
      <c:dateAx>
        <c:axId val="1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Offset val="100"/>
        <c:baseTimeUnit val="days"/>
      </c:date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191770</xdr:colOff>
      <xdr:row>32</xdr:row>
      <xdr:rowOff>71755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588645</xdr:colOff>
      <xdr:row>19</xdr:row>
      <xdr:rowOff>8890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434340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G281"/>
  <sheetViews>
    <sheetView tabSelected="1" zoomScale="118" zoomScaleNormal="118" workbookViewId="0">
      <selection sqref="A1:AB1"/>
    </sheetView>
  </sheetViews>
  <sheetFormatPr defaultColWidth="9" defaultRowHeight="14.4"/>
  <cols>
    <col min="1" max="1" width="4.44140625" customWidth="1"/>
    <col min="2" max="2" width="34.5546875" customWidth="1"/>
    <col min="3" max="3" width="35.3320312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18" width="12.44140625" customWidth="1"/>
    <col min="19" max="20" width="10.109375" customWidth="1"/>
    <col min="21" max="21" width="11.6640625" customWidth="1"/>
    <col min="22" max="22" width="8.33203125" customWidth="1"/>
    <col min="23" max="23" width="9.109375" customWidth="1"/>
    <col min="24" max="24" width="8.4414062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52" t="s">
        <v>348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</row>
    <row r="2" spans="1:32" ht="14.4" customHeight="1">
      <c r="A2" s="1"/>
      <c r="B2" s="2"/>
      <c r="C2" s="3"/>
      <c r="D2" s="253" t="s">
        <v>345</v>
      </c>
      <c r="E2" s="254"/>
      <c r="F2" s="254"/>
      <c r="G2" s="254"/>
      <c r="H2" s="254"/>
      <c r="I2" s="254"/>
      <c r="J2" s="254"/>
      <c r="K2" s="254"/>
      <c r="L2" s="254"/>
      <c r="M2" s="255"/>
      <c r="N2" s="253" t="s">
        <v>347</v>
      </c>
      <c r="O2" s="254"/>
      <c r="P2" s="254"/>
      <c r="Q2" s="254"/>
      <c r="R2" s="254"/>
      <c r="S2" s="254"/>
      <c r="T2" s="254"/>
      <c r="U2" s="254"/>
      <c r="V2" s="254"/>
      <c r="W2" s="255"/>
      <c r="X2" s="256" t="s">
        <v>0</v>
      </c>
      <c r="Y2" s="256"/>
      <c r="Z2" s="256"/>
      <c r="AA2" s="256" t="s">
        <v>1</v>
      </c>
      <c r="AB2" s="256"/>
    </row>
    <row r="3" spans="1:32" ht="20.399999999999999">
      <c r="A3" s="4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6" t="s">
        <v>5</v>
      </c>
      <c r="O3" s="8" t="s">
        <v>6</v>
      </c>
      <c r="P3" s="7" t="s">
        <v>7</v>
      </c>
      <c r="Q3" s="7" t="s">
        <v>8</v>
      </c>
      <c r="R3" s="7" t="s">
        <v>9</v>
      </c>
      <c r="S3" s="7" t="s">
        <v>10</v>
      </c>
      <c r="T3" s="7" t="s">
        <v>11</v>
      </c>
      <c r="U3" s="7" t="s">
        <v>12</v>
      </c>
      <c r="V3" s="7" t="s">
        <v>13</v>
      </c>
      <c r="W3" s="7" t="s">
        <v>14</v>
      </c>
      <c r="X3" s="6" t="s">
        <v>15</v>
      </c>
      <c r="Y3" s="7" t="s">
        <v>16</v>
      </c>
      <c r="Z3" s="7" t="s">
        <v>17</v>
      </c>
      <c r="AA3" s="7" t="s">
        <v>18</v>
      </c>
      <c r="AB3" s="7" t="s">
        <v>19</v>
      </c>
      <c r="AD3" s="9"/>
      <c r="AF3" s="10"/>
    </row>
    <row r="4" spans="1:32" ht="5.7" customHeight="1"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</row>
    <row r="5" spans="1:32" ht="15" customHeight="1">
      <c r="A5" s="11"/>
      <c r="B5" s="258" t="s">
        <v>20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</row>
    <row r="6" spans="1:32">
      <c r="A6" s="199">
        <v>1</v>
      </c>
      <c r="B6" s="200" t="s">
        <v>21</v>
      </c>
      <c r="C6" s="12" t="s">
        <v>22</v>
      </c>
      <c r="D6" s="13" t="s">
        <v>23</v>
      </c>
      <c r="E6" s="14">
        <v>12610218344.139999</v>
      </c>
      <c r="F6" s="15">
        <f t="shared" ref="F6:F27" si="0">(E6/$E$28)</f>
        <v>5.2451219185322681E-2</v>
      </c>
      <c r="G6" s="13" t="s">
        <v>23</v>
      </c>
      <c r="H6" s="14">
        <v>890.71910000000003</v>
      </c>
      <c r="I6" s="13" t="s">
        <v>23</v>
      </c>
      <c r="J6" s="14">
        <v>901.86760000000004</v>
      </c>
      <c r="K6" s="18">
        <v>1712</v>
      </c>
      <c r="L6" s="19">
        <v>-2.0000000000000001E-4</v>
      </c>
      <c r="M6" s="19">
        <v>0.43909999999999999</v>
      </c>
      <c r="N6" s="13" t="s">
        <v>23</v>
      </c>
      <c r="O6" s="14">
        <v>12312696703.65</v>
      </c>
      <c r="P6" s="15">
        <f t="shared" ref="P6:P27" si="1">(O6/$O$28)</f>
        <v>5.227289682924946E-2</v>
      </c>
      <c r="Q6" s="13" t="s">
        <v>23</v>
      </c>
      <c r="R6" s="14">
        <v>874.83519999999999</v>
      </c>
      <c r="S6" s="13" t="s">
        <v>23</v>
      </c>
      <c r="T6" s="14">
        <v>886.37639999999999</v>
      </c>
      <c r="U6" s="18">
        <v>1712</v>
      </c>
      <c r="V6" s="19">
        <v>-1.78E-2</v>
      </c>
      <c r="W6" s="19">
        <v>0.41339999999999999</v>
      </c>
      <c r="X6" s="20">
        <f>((O6-E6)/E6)</f>
        <v>-2.3593694603096134E-2</v>
      </c>
      <c r="Y6" s="20">
        <f>((T6-J6)/J6)</f>
        <v>-1.7176800674511477E-2</v>
      </c>
      <c r="Z6" s="20">
        <f>((U6-K6)/K6)</f>
        <v>0</v>
      </c>
      <c r="AA6" s="20">
        <f>V6-L6</f>
        <v>-1.7600000000000001E-2</v>
      </c>
      <c r="AB6" s="21">
        <f>W6-M6</f>
        <v>-2.5700000000000001E-2</v>
      </c>
      <c r="AC6" s="22"/>
    </row>
    <row r="7" spans="1:32" ht="13.2" customHeight="1">
      <c r="A7" s="199">
        <v>2</v>
      </c>
      <c r="B7" s="200" t="s">
        <v>24</v>
      </c>
      <c r="C7" s="12" t="s">
        <v>25</v>
      </c>
      <c r="D7" s="13" t="s">
        <v>23</v>
      </c>
      <c r="E7" s="211">
        <v>2271146204.27</v>
      </c>
      <c r="F7" s="15">
        <f t="shared" si="0"/>
        <v>9.4466554115961703E-3</v>
      </c>
      <c r="G7" s="13" t="s">
        <v>23</v>
      </c>
      <c r="H7" s="211">
        <v>591.57669999999996</v>
      </c>
      <c r="I7" s="13" t="s">
        <v>23</v>
      </c>
      <c r="J7" s="211">
        <v>600.26760000000002</v>
      </c>
      <c r="K7" s="223">
        <v>873</v>
      </c>
      <c r="L7" s="19">
        <v>-2.663E-3</v>
      </c>
      <c r="M7" s="197">
        <v>-2.663E-3</v>
      </c>
      <c r="N7" s="13" t="s">
        <v>23</v>
      </c>
      <c r="O7" s="23">
        <v>2229289089.6100001</v>
      </c>
      <c r="P7" s="24">
        <f t="shared" si="1"/>
        <v>9.4643278713435856E-3</v>
      </c>
      <c r="Q7" s="13" t="s">
        <v>23</v>
      </c>
      <c r="R7" s="23">
        <v>581.15859999999998</v>
      </c>
      <c r="S7" s="13" t="s">
        <v>23</v>
      </c>
      <c r="T7" s="23">
        <v>589.70339999999999</v>
      </c>
      <c r="U7" s="25">
        <v>881</v>
      </c>
      <c r="V7" s="19">
        <v>-5.5420000000000001E-3</v>
      </c>
      <c r="W7" s="56">
        <v>0.41860000000000003</v>
      </c>
      <c r="X7" s="27">
        <f t="shared" ref="X7:X28" si="2">((O7-E7)/E7)</f>
        <v>-1.8429951617075092E-2</v>
      </c>
      <c r="Y7" s="27">
        <f t="shared" ref="Y7:Y28" si="3">((T7-J7)/J7)</f>
        <v>-1.7599150778752723E-2</v>
      </c>
      <c r="Z7" s="27">
        <f t="shared" ref="Z7:Z28" si="4">((U7-K7)/K7)</f>
        <v>9.1638029782359683E-3</v>
      </c>
      <c r="AA7" s="20">
        <f t="shared" ref="AA7:AA28" si="5">V7-L7</f>
        <v>-2.879E-3</v>
      </c>
      <c r="AB7" s="21">
        <f t="shared" ref="AB7:AB28" si="6">W7-M7</f>
        <v>0.42126300000000005</v>
      </c>
      <c r="AC7" s="28"/>
      <c r="AD7" s="10"/>
      <c r="AE7" s="10"/>
    </row>
    <row r="8" spans="1:32" ht="13.95" customHeight="1">
      <c r="A8" s="199">
        <v>3</v>
      </c>
      <c r="B8" s="200" t="s">
        <v>26</v>
      </c>
      <c r="C8" s="12" t="s">
        <v>27</v>
      </c>
      <c r="D8" s="13" t="s">
        <v>23</v>
      </c>
      <c r="E8" s="211">
        <v>18461493447.740002</v>
      </c>
      <c r="F8" s="15">
        <f t="shared" si="0"/>
        <v>7.6789141384359438E-2</v>
      </c>
      <c r="G8" s="13" t="s">
        <v>23</v>
      </c>
      <c r="H8" s="211">
        <v>72.727000000000004</v>
      </c>
      <c r="I8" s="13" t="s">
        <v>23</v>
      </c>
      <c r="J8" s="30">
        <v>74.896043919999997</v>
      </c>
      <c r="K8" s="18">
        <v>12923</v>
      </c>
      <c r="L8" s="19">
        <v>-4.0000000000000002E-4</v>
      </c>
      <c r="M8" s="19">
        <v>-2.1100000000000001E-2</v>
      </c>
      <c r="N8" s="13" t="s">
        <v>23</v>
      </c>
      <c r="O8" s="23">
        <v>18214890964.09</v>
      </c>
      <c r="P8" s="24">
        <f t="shared" si="1"/>
        <v>7.7330347610986713E-2</v>
      </c>
      <c r="Q8" s="13" t="s">
        <v>23</v>
      </c>
      <c r="R8" s="23">
        <v>71.486500000000007</v>
      </c>
      <c r="S8" s="13" t="s">
        <v>23</v>
      </c>
      <c r="T8" s="30">
        <v>73.618143919999994</v>
      </c>
      <c r="U8" s="18">
        <v>12953</v>
      </c>
      <c r="V8" s="19">
        <v>-1.7100000000000001E-2</v>
      </c>
      <c r="W8" s="19">
        <v>0.34939999999999999</v>
      </c>
      <c r="X8" s="27">
        <f t="shared" si="2"/>
        <v>-1.3357667100339048E-2</v>
      </c>
      <c r="Y8" s="27">
        <f t="shared" si="3"/>
        <v>-1.7062316420410506E-2</v>
      </c>
      <c r="Z8" s="27">
        <f t="shared" si="4"/>
        <v>2.3214423895380329E-3</v>
      </c>
      <c r="AA8" s="20">
        <f t="shared" si="5"/>
        <v>-1.67E-2</v>
      </c>
      <c r="AB8" s="21">
        <f t="shared" si="6"/>
        <v>0.3705</v>
      </c>
      <c r="AC8" s="31"/>
      <c r="AD8" s="32"/>
      <c r="AE8" s="33"/>
      <c r="AF8" s="34"/>
    </row>
    <row r="9" spans="1:32" ht="13.95" customHeight="1">
      <c r="A9" s="199">
        <v>4</v>
      </c>
      <c r="B9" s="200" t="s">
        <v>28</v>
      </c>
      <c r="C9" s="12" t="s">
        <v>29</v>
      </c>
      <c r="D9" s="13" t="s">
        <v>23</v>
      </c>
      <c r="E9" s="211">
        <v>3650532992.2600002</v>
      </c>
      <c r="F9" s="15">
        <f t="shared" si="0"/>
        <v>1.5184107118118222E-2</v>
      </c>
      <c r="G9" s="13" t="s">
        <v>23</v>
      </c>
      <c r="H9" s="211">
        <v>351.74790000000002</v>
      </c>
      <c r="I9" s="13" t="s">
        <v>23</v>
      </c>
      <c r="J9" s="211">
        <v>351.74790000000002</v>
      </c>
      <c r="K9" s="223">
        <v>2866</v>
      </c>
      <c r="L9" s="197">
        <v>3.3722637440001257E-3</v>
      </c>
      <c r="M9" s="197">
        <v>0.47681641293832722</v>
      </c>
      <c r="N9" s="13" t="s">
        <v>23</v>
      </c>
      <c r="O9" s="23">
        <v>3609685053.3000002</v>
      </c>
      <c r="P9" s="24">
        <f t="shared" si="1"/>
        <v>1.5324725274951302E-2</v>
      </c>
      <c r="Q9" s="13" t="s">
        <v>23</v>
      </c>
      <c r="R9" s="23">
        <v>349.8603</v>
      </c>
      <c r="S9" s="13" t="s">
        <v>23</v>
      </c>
      <c r="T9" s="23">
        <v>349.8603</v>
      </c>
      <c r="U9" s="25">
        <v>2877</v>
      </c>
      <c r="V9" s="56">
        <v>-5.4000000000000003E-3</v>
      </c>
      <c r="W9" s="56">
        <v>0.46929999999999999</v>
      </c>
      <c r="X9" s="27">
        <f t="shared" si="2"/>
        <v>-1.1189582191588845E-2</v>
      </c>
      <c r="Y9" s="27">
        <f t="shared" si="3"/>
        <v>-5.3663433385103942E-3</v>
      </c>
      <c r="Z9" s="27">
        <f t="shared" si="4"/>
        <v>3.8381018841591066E-3</v>
      </c>
      <c r="AA9" s="20">
        <f t="shared" si="5"/>
        <v>-8.772263744000126E-3</v>
      </c>
      <c r="AB9" s="21">
        <f t="shared" si="6"/>
        <v>-7.5164129383272216E-3</v>
      </c>
      <c r="AD9" s="31"/>
    </row>
    <row r="10" spans="1:32">
      <c r="A10" s="199">
        <v>5</v>
      </c>
      <c r="B10" s="207" t="s">
        <v>30</v>
      </c>
      <c r="C10" s="12" t="s">
        <v>31</v>
      </c>
      <c r="D10" s="13" t="s">
        <v>23</v>
      </c>
      <c r="E10" s="211">
        <v>12779755796.18</v>
      </c>
      <c r="F10" s="15">
        <f t="shared" si="0"/>
        <v>5.3156396987513836E-2</v>
      </c>
      <c r="G10" s="13" t="s">
        <v>23</v>
      </c>
      <c r="H10" s="211">
        <v>2.8355000000000001</v>
      </c>
      <c r="I10" s="13" t="s">
        <v>23</v>
      </c>
      <c r="J10" s="211">
        <v>2.8748999999999998</v>
      </c>
      <c r="K10" s="223">
        <v>3137</v>
      </c>
      <c r="L10" s="197">
        <v>-2.5000000000000001E-3</v>
      </c>
      <c r="M10" s="197">
        <v>0.58599999999999997</v>
      </c>
      <c r="N10" s="13" t="s">
        <v>23</v>
      </c>
      <c r="O10" s="23">
        <v>12512322990.85</v>
      </c>
      <c r="P10" s="24">
        <f t="shared" si="1"/>
        <v>5.3120399579164382E-2</v>
      </c>
      <c r="Q10" s="13" t="s">
        <v>23</v>
      </c>
      <c r="R10" s="23">
        <v>2.7765</v>
      </c>
      <c r="S10" s="13" t="s">
        <v>23</v>
      </c>
      <c r="T10" s="23">
        <v>2.8149999999999999</v>
      </c>
      <c r="U10" s="25">
        <v>3137</v>
      </c>
      <c r="V10" s="56">
        <v>-2.0799999999999999E-2</v>
      </c>
      <c r="W10" s="56">
        <v>0.55410000000000004</v>
      </c>
      <c r="X10" s="27">
        <f t="shared" si="2"/>
        <v>-2.0926284476416861E-2</v>
      </c>
      <c r="Y10" s="27">
        <f t="shared" si="3"/>
        <v>-2.0835507321993754E-2</v>
      </c>
      <c r="Z10" s="27">
        <f t="shared" si="4"/>
        <v>0</v>
      </c>
      <c r="AA10" s="20">
        <f t="shared" si="5"/>
        <v>-1.83E-2</v>
      </c>
      <c r="AB10" s="21">
        <f t="shared" si="6"/>
        <v>-3.1899999999999928E-2</v>
      </c>
    </row>
    <row r="11" spans="1:32">
      <c r="A11" s="199">
        <v>6</v>
      </c>
      <c r="B11" s="200" t="s">
        <v>32</v>
      </c>
      <c r="C11" s="12" t="s">
        <v>33</v>
      </c>
      <c r="D11" s="13" t="s">
        <v>23</v>
      </c>
      <c r="E11" s="211">
        <v>896671156.51999998</v>
      </c>
      <c r="F11" s="15">
        <f t="shared" si="0"/>
        <v>3.7296337053230296E-3</v>
      </c>
      <c r="G11" s="13" t="s">
        <v>23</v>
      </c>
      <c r="H11" s="211">
        <v>0.98280000000000001</v>
      </c>
      <c r="I11" s="13" t="s">
        <v>23</v>
      </c>
      <c r="J11" s="211">
        <v>1.0116000000000001</v>
      </c>
      <c r="K11" s="223">
        <v>750</v>
      </c>
      <c r="L11" s="197">
        <v>-3.1443351252662399E-3</v>
      </c>
      <c r="M11" s="197">
        <v>-2.7999999999999137E-3</v>
      </c>
      <c r="N11" s="13" t="s">
        <v>23</v>
      </c>
      <c r="O11" s="23">
        <v>880612432.10000002</v>
      </c>
      <c r="P11" s="24">
        <f>(O11/$O$28)</f>
        <v>3.7385930895278111E-3</v>
      </c>
      <c r="Q11" s="13" t="s">
        <v>23</v>
      </c>
      <c r="R11" s="23">
        <v>0.96589999999999998</v>
      </c>
      <c r="S11" s="13" t="s">
        <v>23</v>
      </c>
      <c r="T11" s="23">
        <v>0.99399999999999999</v>
      </c>
      <c r="U11" s="25">
        <v>770</v>
      </c>
      <c r="V11" s="26">
        <v>-1.7195767195767209E-2</v>
      </c>
      <c r="W11" s="26">
        <v>-2.0050000000000012E-2</v>
      </c>
      <c r="X11" s="27">
        <f>((O11-E11)/E11)</f>
        <v>-1.7909268412652207E-2</v>
      </c>
      <c r="Y11" s="27">
        <f>((T11-J11)/J11)</f>
        <v>-1.7398181099248775E-2</v>
      </c>
      <c r="Z11" s="27">
        <f>((U11-K11)/K11)</f>
        <v>2.6666666666666668E-2</v>
      </c>
      <c r="AA11" s="20">
        <f>V11-L11</f>
        <v>-1.4051432070500969E-2</v>
      </c>
      <c r="AB11" s="21">
        <f>W11-M11</f>
        <v>-1.7250000000000099E-2</v>
      </c>
    </row>
    <row r="12" spans="1:32" ht="12.6" customHeight="1">
      <c r="A12" s="199">
        <v>7</v>
      </c>
      <c r="B12" s="200" t="s">
        <v>34</v>
      </c>
      <c r="C12" s="12" t="s">
        <v>35</v>
      </c>
      <c r="D12" s="13" t="s">
        <v>23</v>
      </c>
      <c r="E12" s="205">
        <v>748469974.36000001</v>
      </c>
      <c r="F12" s="15">
        <f t="shared" si="0"/>
        <v>3.1132024527578922E-3</v>
      </c>
      <c r="G12" s="13" t="s">
        <v>23</v>
      </c>
      <c r="H12" s="211">
        <v>335.18740000000003</v>
      </c>
      <c r="I12" s="13" t="s">
        <v>23</v>
      </c>
      <c r="J12" s="211">
        <v>337.69029999999998</v>
      </c>
      <c r="K12" s="18">
        <v>269</v>
      </c>
      <c r="L12" s="19">
        <v>4.1300000000000001E-4</v>
      </c>
      <c r="M12" s="19">
        <v>0.5655</v>
      </c>
      <c r="N12" s="13" t="s">
        <v>23</v>
      </c>
      <c r="O12" s="35">
        <v>750952281.98000002</v>
      </c>
      <c r="P12" s="24">
        <f t="shared" si="1"/>
        <v>3.1881278410758971E-3</v>
      </c>
      <c r="Q12" s="13" t="s">
        <v>23</v>
      </c>
      <c r="R12" s="23">
        <v>334.09140000000002</v>
      </c>
      <c r="S12" s="13" t="s">
        <v>23</v>
      </c>
      <c r="T12" s="23">
        <v>336.55560000000003</v>
      </c>
      <c r="U12" s="16">
        <v>270</v>
      </c>
      <c r="V12" s="17">
        <v>4.1300000000000001E-4</v>
      </c>
      <c r="W12" s="17">
        <v>0.56040000000000001</v>
      </c>
      <c r="X12" s="27">
        <f t="shared" si="2"/>
        <v>3.3165092856564764E-3</v>
      </c>
      <c r="Y12" s="27">
        <f t="shared" si="3"/>
        <v>-3.3601794306793906E-3</v>
      </c>
      <c r="Z12" s="27">
        <f t="shared" si="4"/>
        <v>3.7174721189591076E-3</v>
      </c>
      <c r="AA12" s="20">
        <f t="shared" si="5"/>
        <v>0</v>
      </c>
      <c r="AB12" s="21">
        <f t="shared" si="6"/>
        <v>-5.0999999999999934E-3</v>
      </c>
    </row>
    <row r="13" spans="1:32" ht="12.6" customHeight="1">
      <c r="A13" s="199">
        <v>8</v>
      </c>
      <c r="B13" s="200" t="s">
        <v>36</v>
      </c>
      <c r="C13" s="12" t="s">
        <v>37</v>
      </c>
      <c r="D13" s="13" t="s">
        <v>23</v>
      </c>
      <c r="E13" s="198">
        <v>4298149219.3999996</v>
      </c>
      <c r="F13" s="15">
        <f t="shared" si="0"/>
        <v>1.7877816279266646E-2</v>
      </c>
      <c r="G13" s="13" t="s">
        <v>23</v>
      </c>
      <c r="H13" s="211">
        <v>8.17</v>
      </c>
      <c r="I13" s="13" t="s">
        <v>23</v>
      </c>
      <c r="J13" s="211">
        <v>8.35</v>
      </c>
      <c r="K13" s="223">
        <v>3893</v>
      </c>
      <c r="L13" s="197">
        <v>1.77E-2</v>
      </c>
      <c r="M13" s="197">
        <v>0.47670000000000001</v>
      </c>
      <c r="N13" s="13" t="s">
        <v>23</v>
      </c>
      <c r="O13" s="81">
        <v>4210221738.4400001</v>
      </c>
      <c r="P13" s="24">
        <f t="shared" si="1"/>
        <v>1.7874271726070888E-2</v>
      </c>
      <c r="Q13" s="13" t="s">
        <v>23</v>
      </c>
      <c r="R13" s="23">
        <v>8.02</v>
      </c>
      <c r="S13" s="13" t="s">
        <v>23</v>
      </c>
      <c r="T13" s="23">
        <v>8.18</v>
      </c>
      <c r="U13" s="25">
        <v>3892</v>
      </c>
      <c r="V13" s="56">
        <v>-1.5E-3</v>
      </c>
      <c r="W13" s="56">
        <v>0.44879999999999998</v>
      </c>
      <c r="X13" s="27">
        <f>((O13-E13)/E13)</f>
        <v>-2.0457056391419051E-2</v>
      </c>
      <c r="Y13" s="27">
        <f>((T13-J13)/J13)</f>
        <v>-2.0359281437125742E-2</v>
      </c>
      <c r="Z13" s="27">
        <f>((U13-K13)/K13)</f>
        <v>-2.5687130747495504E-4</v>
      </c>
      <c r="AA13" s="20">
        <f>V13-L13</f>
        <v>-1.9200000000000002E-2</v>
      </c>
      <c r="AB13" s="21">
        <f>W13-M13</f>
        <v>-2.7900000000000036E-2</v>
      </c>
    </row>
    <row r="14" spans="1:32">
      <c r="A14" s="199">
        <v>9</v>
      </c>
      <c r="B14" s="200" t="s">
        <v>38</v>
      </c>
      <c r="C14" s="12" t="s">
        <v>39</v>
      </c>
      <c r="D14" s="13" t="s">
        <v>23</v>
      </c>
      <c r="E14" s="205">
        <v>6805829518.3800001</v>
      </c>
      <c r="F14" s="15">
        <f t="shared" si="0"/>
        <v>2.8308316800269781E-2</v>
      </c>
      <c r="G14" s="13" t="s">
        <v>23</v>
      </c>
      <c r="H14" s="211">
        <v>594.39</v>
      </c>
      <c r="I14" s="13" t="s">
        <v>23</v>
      </c>
      <c r="J14" s="211">
        <v>603.04</v>
      </c>
      <c r="K14" s="18">
        <v>2273</v>
      </c>
      <c r="L14" s="19">
        <v>-1.5900000000000001E-2</v>
      </c>
      <c r="M14" s="19">
        <v>0.31119999999999998</v>
      </c>
      <c r="N14" s="13" t="s">
        <v>23</v>
      </c>
      <c r="O14" s="35">
        <v>6819553590.8999996</v>
      </c>
      <c r="P14" s="24">
        <f t="shared" si="1"/>
        <v>2.8952050867376469E-2</v>
      </c>
      <c r="Q14" s="13" t="s">
        <v>23</v>
      </c>
      <c r="R14" s="23">
        <v>586.23</v>
      </c>
      <c r="S14" s="13" t="s">
        <v>23</v>
      </c>
      <c r="T14" s="23">
        <v>594.58000000000004</v>
      </c>
      <c r="U14" s="18">
        <v>2287</v>
      </c>
      <c r="V14" s="19">
        <v>-1.3899999999999999E-2</v>
      </c>
      <c r="W14" s="19">
        <v>0.29320000000000002</v>
      </c>
      <c r="X14" s="27">
        <f t="shared" si="2"/>
        <v>2.0165172346641828E-3</v>
      </c>
      <c r="Y14" s="27">
        <f t="shared" si="3"/>
        <v>-1.4028920137967504E-2</v>
      </c>
      <c r="Z14" s="27">
        <f t="shared" si="4"/>
        <v>6.1592608886933565E-3</v>
      </c>
      <c r="AA14" s="20">
        <f t="shared" si="5"/>
        <v>2.0000000000000018E-3</v>
      </c>
      <c r="AB14" s="21">
        <f t="shared" si="6"/>
        <v>-1.799999999999996E-2</v>
      </c>
      <c r="AC14" s="31"/>
      <c r="AD14" s="31"/>
      <c r="AE14" s="38"/>
    </row>
    <row r="15" spans="1:32" ht="13.2" customHeight="1">
      <c r="A15" s="199">
        <v>10</v>
      </c>
      <c r="B15" s="207" t="s">
        <v>40</v>
      </c>
      <c r="C15" s="12" t="s">
        <v>41</v>
      </c>
      <c r="D15" s="13" t="s">
        <v>23</v>
      </c>
      <c r="E15" s="198">
        <v>613950849.24000001</v>
      </c>
      <c r="F15" s="15">
        <f t="shared" si="0"/>
        <v>2.5536806487943815E-3</v>
      </c>
      <c r="G15" s="13" t="s">
        <v>23</v>
      </c>
      <c r="H15" s="211">
        <v>305.92</v>
      </c>
      <c r="I15" s="13" t="s">
        <v>23</v>
      </c>
      <c r="J15" s="211">
        <v>315.58</v>
      </c>
      <c r="K15" s="223">
        <v>2472</v>
      </c>
      <c r="L15" s="197">
        <v>1.72E-2</v>
      </c>
      <c r="M15" s="197">
        <v>0.2205</v>
      </c>
      <c r="N15" s="13" t="s">
        <v>23</v>
      </c>
      <c r="O15" s="36">
        <v>610207546.36000001</v>
      </c>
      <c r="P15" s="24">
        <f t="shared" si="1"/>
        <v>2.5906035763757613E-3</v>
      </c>
      <c r="Q15" s="13" t="s">
        <v>23</v>
      </c>
      <c r="R15" s="23">
        <v>304.06</v>
      </c>
      <c r="S15" s="13" t="s">
        <v>23</v>
      </c>
      <c r="T15" s="23">
        <v>313.45</v>
      </c>
      <c r="U15" s="25">
        <v>2472</v>
      </c>
      <c r="V15" s="26">
        <v>5.4000000000000003E-3</v>
      </c>
      <c r="W15" s="26">
        <v>0.20319999999999999</v>
      </c>
      <c r="X15" s="27">
        <f t="shared" si="2"/>
        <v>-6.0970725663687412E-3</v>
      </c>
      <c r="Y15" s="27">
        <f t="shared" si="3"/>
        <v>-6.7494771531782611E-3</v>
      </c>
      <c r="Z15" s="27">
        <f t="shared" si="4"/>
        <v>0</v>
      </c>
      <c r="AA15" s="20">
        <f t="shared" si="5"/>
        <v>-1.18E-2</v>
      </c>
      <c r="AB15" s="21">
        <f t="shared" si="6"/>
        <v>-1.730000000000001E-2</v>
      </c>
      <c r="AD15" s="10"/>
      <c r="AE15" s="38"/>
    </row>
    <row r="16" spans="1:32">
      <c r="A16" s="199">
        <v>11</v>
      </c>
      <c r="B16" s="207" t="s">
        <v>42</v>
      </c>
      <c r="C16" s="193" t="s">
        <v>43</v>
      </c>
      <c r="D16" s="13" t="s">
        <v>23</v>
      </c>
      <c r="E16" s="198">
        <v>205059056.56290001</v>
      </c>
      <c r="F16" s="15">
        <f t="shared" si="0"/>
        <v>8.5292714433563347E-4</v>
      </c>
      <c r="G16" s="13" t="s">
        <v>23</v>
      </c>
      <c r="H16" s="211">
        <v>504.02760000000001</v>
      </c>
      <c r="I16" s="13" t="s">
        <v>23</v>
      </c>
      <c r="J16" s="211">
        <v>520.73289999999997</v>
      </c>
      <c r="K16" s="223">
        <v>74</v>
      </c>
      <c r="L16" s="197">
        <v>-0.1032</v>
      </c>
      <c r="M16" s="197">
        <v>0.59130000000000005</v>
      </c>
      <c r="N16" s="13" t="s">
        <v>23</v>
      </c>
      <c r="O16" s="81">
        <v>204469163.29480001</v>
      </c>
      <c r="P16" s="24">
        <f t="shared" si="1"/>
        <v>8.6806292195142044E-4</v>
      </c>
      <c r="Q16" s="13" t="s">
        <v>23</v>
      </c>
      <c r="R16" s="23">
        <v>502.03129999999999</v>
      </c>
      <c r="S16" s="13" t="s">
        <v>23</v>
      </c>
      <c r="T16" s="23">
        <v>518.62779999999998</v>
      </c>
      <c r="U16" s="25">
        <v>74</v>
      </c>
      <c r="V16" s="56">
        <v>-4.0000000000000001E-3</v>
      </c>
      <c r="W16" s="56">
        <v>0.58489999999999998</v>
      </c>
      <c r="X16" s="27">
        <f t="shared" si="2"/>
        <v>-2.8766994152196789E-3</v>
      </c>
      <c r="Y16" s="27">
        <f t="shared" si="3"/>
        <v>-4.0425715371546394E-3</v>
      </c>
      <c r="Z16" s="27">
        <f t="shared" si="4"/>
        <v>0</v>
      </c>
      <c r="AA16" s="20">
        <f t="shared" si="5"/>
        <v>9.9199999999999997E-2</v>
      </c>
      <c r="AB16" s="21">
        <f t="shared" si="6"/>
        <v>-6.4000000000000723E-3</v>
      </c>
      <c r="AD16" s="31"/>
    </row>
    <row r="17" spans="1:34" ht="14.25" customHeight="1">
      <c r="A17" s="199">
        <v>12</v>
      </c>
      <c r="B17" s="200" t="s">
        <v>44</v>
      </c>
      <c r="C17" s="12" t="s">
        <v>45</v>
      </c>
      <c r="D17" s="13" t="s">
        <v>23</v>
      </c>
      <c r="E17" s="198">
        <v>19643059992.024673</v>
      </c>
      <c r="F17" s="15">
        <f t="shared" si="0"/>
        <v>8.1703775223758365E-2</v>
      </c>
      <c r="G17" s="13" t="s">
        <v>23</v>
      </c>
      <c r="H17" s="211">
        <v>5.5278090000000004</v>
      </c>
      <c r="I17" s="13" t="s">
        <v>23</v>
      </c>
      <c r="J17" s="211">
        <v>5.6118119999999996</v>
      </c>
      <c r="K17" s="223">
        <v>15977</v>
      </c>
      <c r="L17" s="197">
        <v>3.0602742470255961E-3</v>
      </c>
      <c r="M17" s="197">
        <v>0.3852238273990054</v>
      </c>
      <c r="N17" s="13" t="s">
        <v>23</v>
      </c>
      <c r="O17" s="36">
        <v>19583037534.689785</v>
      </c>
      <c r="P17" s="24">
        <f t="shared" si="1"/>
        <v>8.3138740869878033E-2</v>
      </c>
      <c r="Q17" s="13" t="s">
        <v>23</v>
      </c>
      <c r="R17" s="23">
        <v>5.4777399999999998</v>
      </c>
      <c r="S17" s="13" t="s">
        <v>23</v>
      </c>
      <c r="T17" s="23">
        <v>5.5637569999999998</v>
      </c>
      <c r="U17" s="25">
        <v>16598</v>
      </c>
      <c r="V17" s="56">
        <v>-9.0576573828800022E-3</v>
      </c>
      <c r="W17" s="26">
        <v>0.37687771247478241</v>
      </c>
      <c r="X17" s="27">
        <f t="shared" si="2"/>
        <v>-3.0556571816844381E-3</v>
      </c>
      <c r="Y17" s="27">
        <f t="shared" si="3"/>
        <v>-8.5631877903250744E-3</v>
      </c>
      <c r="Z17" s="27">
        <f t="shared" si="4"/>
        <v>3.8868373286599485E-2</v>
      </c>
      <c r="AA17" s="20">
        <f t="shared" si="5"/>
        <v>-1.2117931629905598E-2</v>
      </c>
      <c r="AB17" s="21">
        <f t="shared" si="6"/>
        <v>-8.3461149242229915E-3</v>
      </c>
      <c r="AD17" s="39"/>
    </row>
    <row r="18" spans="1:34" ht="14.25" customHeight="1">
      <c r="A18" s="199">
        <v>13</v>
      </c>
      <c r="B18" s="200" t="s">
        <v>46</v>
      </c>
      <c r="C18" s="12" t="s">
        <v>47</v>
      </c>
      <c r="D18" s="13" t="s">
        <v>23</v>
      </c>
      <c r="E18" s="198">
        <v>564169775.07000005</v>
      </c>
      <c r="F18" s="15">
        <f t="shared" si="0"/>
        <v>2.3466201553664586E-3</v>
      </c>
      <c r="G18" s="13" t="s">
        <v>23</v>
      </c>
      <c r="H18" s="211">
        <v>45.16</v>
      </c>
      <c r="I18" s="13" t="s">
        <v>23</v>
      </c>
      <c r="J18" s="211">
        <v>45.35</v>
      </c>
      <c r="K18" s="223">
        <v>121</v>
      </c>
      <c r="L18" s="197">
        <v>-0.02</v>
      </c>
      <c r="M18" s="197">
        <v>0.67730000000000001</v>
      </c>
      <c r="N18" s="13" t="s">
        <v>23</v>
      </c>
      <c r="O18" s="198">
        <v>523790510.48000002</v>
      </c>
      <c r="P18" s="24">
        <f t="shared" si="1"/>
        <v>2.2237246619048411E-3</v>
      </c>
      <c r="Q18" s="13" t="s">
        <v>23</v>
      </c>
      <c r="R18" s="23">
        <v>44.57</v>
      </c>
      <c r="S18" s="13" t="s">
        <v>23</v>
      </c>
      <c r="T18" s="23">
        <v>44.79</v>
      </c>
      <c r="U18" s="25">
        <v>122</v>
      </c>
      <c r="V18" s="26">
        <v>-0.01</v>
      </c>
      <c r="W18" s="56">
        <v>0.68</v>
      </c>
      <c r="X18" s="27">
        <f t="shared" ref="X18" si="7">((O18-E18)/E18)</f>
        <v>-7.1572895915932272E-2</v>
      </c>
      <c r="Y18" s="27">
        <f t="shared" ref="Y18" si="8">((T18-J18)/J18)</f>
        <v>-1.2348401323043049E-2</v>
      </c>
      <c r="Z18" s="27">
        <f t="shared" ref="Z18" si="9">((U18-K18)/K18)</f>
        <v>8.2644628099173556E-3</v>
      </c>
      <c r="AA18" s="20">
        <f t="shared" ref="AA18" si="10">V18-L18</f>
        <v>0.01</v>
      </c>
      <c r="AB18" s="21">
        <f t="shared" ref="AB18" si="11">W18-M18</f>
        <v>2.7000000000000357E-3</v>
      </c>
      <c r="AD18" s="31"/>
    </row>
    <row r="19" spans="1:34">
      <c r="A19" s="199">
        <v>14</v>
      </c>
      <c r="B19" s="207" t="s">
        <v>48</v>
      </c>
      <c r="C19" s="12" t="s">
        <v>49</v>
      </c>
      <c r="D19" s="13" t="s">
        <v>23</v>
      </c>
      <c r="E19" s="211">
        <v>9936547446.2900009</v>
      </c>
      <c r="F19" s="15">
        <f t="shared" si="0"/>
        <v>4.1330293721116317E-2</v>
      </c>
      <c r="G19" s="13" t="s">
        <v>23</v>
      </c>
      <c r="H19" s="211">
        <v>46</v>
      </c>
      <c r="I19" s="13" t="s">
        <v>23</v>
      </c>
      <c r="J19" s="211">
        <v>46.38</v>
      </c>
      <c r="K19" s="223">
        <v>2349</v>
      </c>
      <c r="L19" s="197">
        <v>-4.5999999999999999E-3</v>
      </c>
      <c r="M19" s="197">
        <v>0.49109999999999998</v>
      </c>
      <c r="N19" s="13" t="s">
        <v>23</v>
      </c>
      <c r="O19" s="23">
        <v>9709101199.8400002</v>
      </c>
      <c r="P19" s="24">
        <f t="shared" si="1"/>
        <v>4.1219471050036295E-2</v>
      </c>
      <c r="Q19" s="13" t="s">
        <v>23</v>
      </c>
      <c r="R19" s="23">
        <v>45.228020000000001</v>
      </c>
      <c r="S19" s="13" t="s">
        <v>23</v>
      </c>
      <c r="T19" s="23">
        <v>45.612225000000002</v>
      </c>
      <c r="U19" s="25">
        <v>2373</v>
      </c>
      <c r="V19" s="26">
        <v>-1.6899999999999998E-2</v>
      </c>
      <c r="W19" s="26">
        <v>0.4672</v>
      </c>
      <c r="X19" s="27">
        <f t="shared" si="2"/>
        <v>-2.2889866694585367E-2</v>
      </c>
      <c r="Y19" s="27">
        <f t="shared" si="3"/>
        <v>-1.6554010349288491E-2</v>
      </c>
      <c r="Z19" s="27">
        <f t="shared" si="4"/>
        <v>1.0217113665389528E-2</v>
      </c>
      <c r="AA19" s="20">
        <f t="shared" si="5"/>
        <v>-1.2299999999999998E-2</v>
      </c>
      <c r="AB19" s="21">
        <f t="shared" si="6"/>
        <v>-2.3899999999999977E-2</v>
      </c>
      <c r="AD19" s="10"/>
      <c r="AE19" s="10"/>
    </row>
    <row r="20" spans="1:34">
      <c r="A20" s="199">
        <v>15</v>
      </c>
      <c r="B20" s="207" t="s">
        <v>50</v>
      </c>
      <c r="C20" s="12" t="s">
        <v>51</v>
      </c>
      <c r="D20" s="13" t="s">
        <v>23</v>
      </c>
      <c r="E20" s="211">
        <v>384087842.28000003</v>
      </c>
      <c r="F20" s="15">
        <f t="shared" si="0"/>
        <v>1.5975834083164604E-3</v>
      </c>
      <c r="G20" s="13" t="s">
        <v>23</v>
      </c>
      <c r="H20" s="211">
        <v>2.8947690000000001</v>
      </c>
      <c r="I20" s="13" t="s">
        <v>23</v>
      </c>
      <c r="J20" s="211">
        <v>2.9267340000000002</v>
      </c>
      <c r="K20" s="223">
        <v>49</v>
      </c>
      <c r="L20" s="197">
        <v>5.5999999999999999E-3</v>
      </c>
      <c r="M20" s="197">
        <v>4.5999999999999999E-3</v>
      </c>
      <c r="N20" s="13" t="s">
        <v>23</v>
      </c>
      <c r="O20" s="23">
        <v>590744315.50999999</v>
      </c>
      <c r="P20" s="24">
        <f t="shared" si="1"/>
        <v>2.5079734683926486E-3</v>
      </c>
      <c r="Q20" s="13" t="s">
        <v>23</v>
      </c>
      <c r="R20" s="23">
        <v>4.3370220000000002</v>
      </c>
      <c r="S20" s="13" t="s">
        <v>23</v>
      </c>
      <c r="T20" s="23">
        <v>4.3691930000000001</v>
      </c>
      <c r="U20" s="25">
        <v>50</v>
      </c>
      <c r="V20" s="26">
        <v>0.4929</v>
      </c>
      <c r="W20" s="26">
        <v>1.0417000000000001</v>
      </c>
      <c r="X20" s="27">
        <f t="shared" si="2"/>
        <v>0.53804481808967908</v>
      </c>
      <c r="Y20" s="27">
        <f t="shared" si="3"/>
        <v>0.4928562008026694</v>
      </c>
      <c r="Z20" s="27">
        <f t="shared" si="4"/>
        <v>2.0408163265306121E-2</v>
      </c>
      <c r="AA20" s="20">
        <f t="shared" si="5"/>
        <v>0.48730000000000001</v>
      </c>
      <c r="AB20" s="21">
        <f t="shared" si="6"/>
        <v>1.0371000000000001</v>
      </c>
      <c r="AD20" s="31"/>
      <c r="AE20" s="31"/>
      <c r="AH20" t="s">
        <v>356</v>
      </c>
    </row>
    <row r="21" spans="1:34">
      <c r="A21" s="199">
        <v>16</v>
      </c>
      <c r="B21" s="200" t="s">
        <v>52</v>
      </c>
      <c r="C21" s="12" t="s">
        <v>53</v>
      </c>
      <c r="D21" s="13" t="s">
        <v>23</v>
      </c>
      <c r="E21" s="40">
        <v>22661690994.310001</v>
      </c>
      <c r="F21" s="15">
        <f t="shared" si="0"/>
        <v>9.4259535323983346E-2</v>
      </c>
      <c r="G21" s="13" t="s">
        <v>23</v>
      </c>
      <c r="H21" s="211">
        <v>70.8</v>
      </c>
      <c r="I21" s="13" t="s">
        <v>23</v>
      </c>
      <c r="J21" s="211">
        <v>70.900000000000006</v>
      </c>
      <c r="K21" s="223">
        <v>21522</v>
      </c>
      <c r="L21" s="197">
        <v>-1.4E-3</v>
      </c>
      <c r="M21" s="197">
        <v>0.55720000000000003</v>
      </c>
      <c r="N21" s="13" t="s">
        <v>23</v>
      </c>
      <c r="O21" s="40">
        <v>22333784930.369999</v>
      </c>
      <c r="P21" s="24">
        <f t="shared" si="1"/>
        <v>9.481689215375505E-2</v>
      </c>
      <c r="Q21" s="13" t="s">
        <v>23</v>
      </c>
      <c r="R21" s="23">
        <v>69.8</v>
      </c>
      <c r="S21" s="13" t="s">
        <v>23</v>
      </c>
      <c r="T21" s="23">
        <v>69.98</v>
      </c>
      <c r="U21" s="25">
        <v>21522</v>
      </c>
      <c r="V21" s="26">
        <v>2.2280000000000001E-2</v>
      </c>
      <c r="W21" s="26">
        <v>0.53439999999999999</v>
      </c>
      <c r="X21" s="27">
        <f t="shared" si="2"/>
        <v>-1.4469620295428729E-2</v>
      </c>
      <c r="Y21" s="27">
        <f t="shared" si="3"/>
        <v>-1.2976022566995791E-2</v>
      </c>
      <c r="Z21" s="27">
        <f t="shared" si="4"/>
        <v>0</v>
      </c>
      <c r="AA21" s="20">
        <f t="shared" si="5"/>
        <v>2.368E-2</v>
      </c>
      <c r="AB21" s="21">
        <f t="shared" si="6"/>
        <v>-2.2800000000000042E-2</v>
      </c>
      <c r="AD21" s="31"/>
    </row>
    <row r="22" spans="1:34">
      <c r="A22" s="199">
        <v>17</v>
      </c>
      <c r="B22" s="200" t="s">
        <v>352</v>
      </c>
      <c r="C22" s="12" t="s">
        <v>121</v>
      </c>
      <c r="D22" s="13" t="s">
        <v>23</v>
      </c>
      <c r="E22" s="40">
        <v>120786280.831094</v>
      </c>
      <c r="F22" s="15">
        <f t="shared" si="0"/>
        <v>5.0240110976315666E-4</v>
      </c>
      <c r="G22" s="13" t="s">
        <v>23</v>
      </c>
      <c r="H22" s="211">
        <v>1.0202445159129951</v>
      </c>
      <c r="I22" s="13" t="s">
        <v>23</v>
      </c>
      <c r="J22" s="211">
        <v>1.0242445159129951</v>
      </c>
      <c r="K22" s="223">
        <v>192</v>
      </c>
      <c r="L22" s="197">
        <v>5.1999999999999998E-3</v>
      </c>
      <c r="M22" s="197">
        <v>2.1000000000000001E-2</v>
      </c>
      <c r="N22" s="13" t="s">
        <v>23</v>
      </c>
      <c r="O22" s="40">
        <v>117789297.64248584</v>
      </c>
      <c r="P22" s="24">
        <f t="shared" si="1"/>
        <v>5.0006817770717688E-4</v>
      </c>
      <c r="Q22" s="13" t="s">
        <v>23</v>
      </c>
      <c r="R22" s="23">
        <v>1.0181702099350047</v>
      </c>
      <c r="S22" s="13" t="s">
        <v>23</v>
      </c>
      <c r="T22" s="23">
        <v>1.0221702099350047</v>
      </c>
      <c r="U22" s="25">
        <v>199</v>
      </c>
      <c r="V22" s="56">
        <v>2E-3</v>
      </c>
      <c r="W22" s="56">
        <v>1.8970209935004645E-2</v>
      </c>
      <c r="X22" s="27">
        <f t="shared" ref="X22:X23" si="12">((O22-E22)/E22)</f>
        <v>-2.4812281394764508E-2</v>
      </c>
      <c r="Y22" s="27">
        <f t="shared" ref="Y22:Y23" si="13">((T22-J22)/J22)</f>
        <v>-2.0252058427097422E-3</v>
      </c>
      <c r="Z22" s="27">
        <f t="shared" ref="Z22:Z23" si="14">((U22-K22)/K22)</f>
        <v>3.6458333333333336E-2</v>
      </c>
      <c r="AA22" s="20">
        <f t="shared" ref="AA22:AA23" si="15">V22-L22</f>
        <v>-3.1999999999999997E-3</v>
      </c>
      <c r="AB22" s="21">
        <f t="shared" ref="AB22:AB23" si="16">W22-M22</f>
        <v>-2.0297900649953564E-3</v>
      </c>
    </row>
    <row r="23" spans="1:34" ht="12.75" customHeight="1">
      <c r="A23" s="199">
        <v>18</v>
      </c>
      <c r="B23" s="200" t="s">
        <v>54</v>
      </c>
      <c r="C23" s="12" t="s">
        <v>55</v>
      </c>
      <c r="D23" s="13" t="s">
        <v>23</v>
      </c>
      <c r="E23" s="211">
        <v>4499199648.2200003</v>
      </c>
      <c r="F23" s="15">
        <f t="shared" si="0"/>
        <v>1.8714069849312197E-2</v>
      </c>
      <c r="G23" s="13" t="s">
        <v>23</v>
      </c>
      <c r="H23" s="211">
        <v>17143.38</v>
      </c>
      <c r="I23" s="13" t="s">
        <v>23</v>
      </c>
      <c r="J23" s="211">
        <v>17396.419999999998</v>
      </c>
      <c r="K23" s="223">
        <v>87</v>
      </c>
      <c r="L23" s="197">
        <v>-1.5988388536055199E-2</v>
      </c>
      <c r="M23" s="197">
        <v>0.35261333577994203</v>
      </c>
      <c r="N23" s="13" t="s">
        <v>23</v>
      </c>
      <c r="O23" s="23">
        <v>4252051761.4200001</v>
      </c>
      <c r="P23" s="24">
        <f t="shared" si="1"/>
        <v>1.8051858856512466E-2</v>
      </c>
      <c r="Q23" s="13" t="s">
        <v>23</v>
      </c>
      <c r="R23" s="23">
        <v>16859.53</v>
      </c>
      <c r="S23" s="13" t="s">
        <v>23</v>
      </c>
      <c r="T23" s="23">
        <v>17110.68</v>
      </c>
      <c r="U23" s="25">
        <v>88</v>
      </c>
      <c r="V23" s="56">
        <v>-1.18E-2</v>
      </c>
      <c r="W23" s="56">
        <v>0.33660000000000001</v>
      </c>
      <c r="X23" s="27">
        <f t="shared" si="12"/>
        <v>-5.4931522520406111E-2</v>
      </c>
      <c r="Y23" s="27">
        <f t="shared" si="13"/>
        <v>-1.6425218521971645E-2</v>
      </c>
      <c r="Z23" s="27">
        <f t="shared" si="14"/>
        <v>1.1494252873563218E-2</v>
      </c>
      <c r="AA23" s="20">
        <f t="shared" si="15"/>
        <v>4.1883885360551997E-3</v>
      </c>
      <c r="AB23" s="21">
        <f t="shared" si="16"/>
        <v>-1.6013335779942017E-2</v>
      </c>
      <c r="AD23" s="31"/>
    </row>
    <row r="24" spans="1:34">
      <c r="A24" s="199">
        <v>19</v>
      </c>
      <c r="B24" s="200" t="s">
        <v>56</v>
      </c>
      <c r="C24" s="12" t="s">
        <v>55</v>
      </c>
      <c r="D24" s="13" t="s">
        <v>23</v>
      </c>
      <c r="E24" s="211">
        <v>68683186769.050003</v>
      </c>
      <c r="F24" s="15">
        <f t="shared" si="0"/>
        <v>0.28568235578918388</v>
      </c>
      <c r="G24" s="13" t="s">
        <v>23</v>
      </c>
      <c r="H24" s="211">
        <v>61153.11</v>
      </c>
      <c r="I24" s="13" t="s">
        <v>23</v>
      </c>
      <c r="J24" s="211">
        <v>61153.11</v>
      </c>
      <c r="K24" s="223">
        <v>34873</v>
      </c>
      <c r="L24" s="197">
        <v>-4.7889320175643103E-3</v>
      </c>
      <c r="M24" s="197">
        <v>0.43167803043956798</v>
      </c>
      <c r="N24" s="13" t="s">
        <v>23</v>
      </c>
      <c r="O24" s="23">
        <v>67265281849.900002</v>
      </c>
      <c r="P24" s="24">
        <f t="shared" si="1"/>
        <v>0.28557116470576865</v>
      </c>
      <c r="Q24" s="13" t="s">
        <v>23</v>
      </c>
      <c r="R24" s="23">
        <v>60056.06</v>
      </c>
      <c r="S24" s="13" t="s">
        <v>23</v>
      </c>
      <c r="T24" s="23">
        <v>60845.760000000002</v>
      </c>
      <c r="U24" s="25">
        <v>35044</v>
      </c>
      <c r="V24" s="56">
        <v>-1.78E-2</v>
      </c>
      <c r="W24" s="56">
        <v>0.40610000000000002</v>
      </c>
      <c r="X24" s="27">
        <f t="shared" si="2"/>
        <v>-2.0644134115642657E-2</v>
      </c>
      <c r="Y24" s="27">
        <f t="shared" si="3"/>
        <v>-5.0259095571753998E-3</v>
      </c>
      <c r="Z24" s="27">
        <f t="shared" si="4"/>
        <v>4.9035070111547617E-3</v>
      </c>
      <c r="AA24" s="20">
        <f t="shared" si="5"/>
        <v>-1.301106798243569E-2</v>
      </c>
      <c r="AB24" s="21">
        <f t="shared" si="6"/>
        <v>-2.5578030439567967E-2</v>
      </c>
    </row>
    <row r="25" spans="1:34">
      <c r="A25" s="199">
        <v>20</v>
      </c>
      <c r="B25" s="193" t="s">
        <v>57</v>
      </c>
      <c r="C25" s="12" t="s">
        <v>58</v>
      </c>
      <c r="D25" s="13" t="s">
        <v>23</v>
      </c>
      <c r="E25" s="211">
        <v>16355425906.15</v>
      </c>
      <c r="F25" s="15">
        <f t="shared" si="0"/>
        <v>6.8029117788545604E-2</v>
      </c>
      <c r="G25" s="13" t="s">
        <v>23</v>
      </c>
      <c r="H25" s="211">
        <v>2.4304600000000001</v>
      </c>
      <c r="I25" s="13" t="s">
        <v>23</v>
      </c>
      <c r="J25" s="231">
        <v>2.4560399999999998</v>
      </c>
      <c r="K25" s="223">
        <v>10692</v>
      </c>
      <c r="L25" s="197">
        <v>3.3999999999999998E-3</v>
      </c>
      <c r="M25" s="197">
        <v>0.45169999999999999</v>
      </c>
      <c r="N25" s="13" t="s">
        <v>23</v>
      </c>
      <c r="O25" s="23">
        <v>15666362412.299999</v>
      </c>
      <c r="P25" s="24">
        <f t="shared" si="1"/>
        <v>6.6510705638109763E-2</v>
      </c>
      <c r="Q25" s="13" t="s">
        <v>23</v>
      </c>
      <c r="R25" s="23">
        <v>2.4199600000000001</v>
      </c>
      <c r="S25" s="13" t="s">
        <v>23</v>
      </c>
      <c r="T25" s="41">
        <v>2.4199600000000001</v>
      </c>
      <c r="U25" s="25">
        <v>10728</v>
      </c>
      <c r="V25" s="56">
        <v>-1.49E-2</v>
      </c>
      <c r="W25" s="56">
        <v>0.43030000000000002</v>
      </c>
      <c r="X25" s="27">
        <f t="shared" ref="X25:X26" si="17">((O25-E25)/E25)</f>
        <v>-4.2130574758734801E-2</v>
      </c>
      <c r="Y25" s="27">
        <f t="shared" ref="Y25:Y26" si="18">((T25-J25)/J25)</f>
        <v>-1.4690314489991885E-2</v>
      </c>
      <c r="Z25" s="27">
        <f t="shared" ref="Z25:Z26" si="19">((U25-K25)/K25)</f>
        <v>3.3670033670033669E-3</v>
      </c>
      <c r="AA25" s="20">
        <f t="shared" ref="AA25:AA26" si="20">V25-L25</f>
        <v>-1.83E-2</v>
      </c>
      <c r="AB25" s="21">
        <f t="shared" ref="AB25:AB26" si="21">W25-M25</f>
        <v>-2.1399999999999975E-2</v>
      </c>
      <c r="AD25" s="42"/>
      <c r="AE25" s="43"/>
    </row>
    <row r="26" spans="1:34">
      <c r="A26" s="199">
        <v>21</v>
      </c>
      <c r="B26" s="200" t="s">
        <v>59</v>
      </c>
      <c r="C26" s="12" t="s">
        <v>60</v>
      </c>
      <c r="D26" s="13" t="s">
        <v>23</v>
      </c>
      <c r="E26" s="211">
        <v>10262281240.01</v>
      </c>
      <c r="F26" s="15">
        <f t="shared" si="0"/>
        <v>4.2685158018007249E-2</v>
      </c>
      <c r="G26" s="13" t="s">
        <v>23</v>
      </c>
      <c r="H26" s="211">
        <v>1.91</v>
      </c>
      <c r="I26" s="13" t="s">
        <v>23</v>
      </c>
      <c r="J26" s="231">
        <v>1.91</v>
      </c>
      <c r="K26" s="223">
        <v>6177</v>
      </c>
      <c r="L26" s="197">
        <v>-2.1229999999999999E-3</v>
      </c>
      <c r="M26" s="197">
        <v>0.88173299999999999</v>
      </c>
      <c r="N26" s="13" t="s">
        <v>23</v>
      </c>
      <c r="O26" s="23">
        <v>9934121005.75</v>
      </c>
      <c r="P26" s="24">
        <f t="shared" si="1"/>
        <v>4.2174780628593873E-2</v>
      </c>
      <c r="Q26" s="13" t="s">
        <v>23</v>
      </c>
      <c r="R26" s="23">
        <v>1.8614999999999999</v>
      </c>
      <c r="S26" s="13" t="s">
        <v>23</v>
      </c>
      <c r="T26" s="41">
        <v>1.8873</v>
      </c>
      <c r="U26" s="25">
        <v>6338</v>
      </c>
      <c r="V26" s="26">
        <v>-2.6155999999999999E-2</v>
      </c>
      <c r="W26" s="26">
        <v>0.83218899999999996</v>
      </c>
      <c r="X26" s="27">
        <f t="shared" si="17"/>
        <v>-3.1977318354966505E-2</v>
      </c>
      <c r="Y26" s="27">
        <f t="shared" si="18"/>
        <v>-1.1884816753926672E-2</v>
      </c>
      <c r="Z26" s="27">
        <f t="shared" si="19"/>
        <v>2.6064432572446172E-2</v>
      </c>
      <c r="AA26" s="20">
        <f t="shared" si="20"/>
        <v>-2.4032999999999999E-2</v>
      </c>
      <c r="AB26" s="21">
        <f t="shared" si="21"/>
        <v>-4.9544000000000032E-2</v>
      </c>
      <c r="AD26" s="31"/>
      <c r="AE26" s="31"/>
      <c r="AF26" s="31"/>
      <c r="AG26" s="31"/>
    </row>
    <row r="27" spans="1:34">
      <c r="A27" s="199">
        <v>22</v>
      </c>
      <c r="B27" s="193" t="s">
        <v>61</v>
      </c>
      <c r="C27" s="12" t="s">
        <v>62</v>
      </c>
      <c r="D27" s="13" t="s">
        <v>23</v>
      </c>
      <c r="E27" s="211">
        <v>23966309091.360001</v>
      </c>
      <c r="F27" s="15">
        <f t="shared" si="0"/>
        <v>9.9685992494989203E-2</v>
      </c>
      <c r="G27" s="13" t="s">
        <v>23</v>
      </c>
      <c r="H27" s="211">
        <v>350.34</v>
      </c>
      <c r="I27" s="13" t="s">
        <v>23</v>
      </c>
      <c r="J27" s="231">
        <v>356.21</v>
      </c>
      <c r="K27" s="223">
        <v>187</v>
      </c>
      <c r="L27" s="197">
        <v>-1.4E-3</v>
      </c>
      <c r="M27" s="197">
        <v>0.65849999999999997</v>
      </c>
      <c r="N27" s="13" t="s">
        <v>23</v>
      </c>
      <c r="O27" s="23">
        <v>23215510874.990002</v>
      </c>
      <c r="P27" s="24">
        <f t="shared" si="1"/>
        <v>9.8560212601267641E-2</v>
      </c>
      <c r="Q27" s="13" t="s">
        <v>23</v>
      </c>
      <c r="R27" s="23">
        <v>339.22</v>
      </c>
      <c r="S27" s="13" t="s">
        <v>23</v>
      </c>
      <c r="T27" s="41">
        <v>344.9</v>
      </c>
      <c r="U27" s="25">
        <v>187</v>
      </c>
      <c r="V27" s="26">
        <v>-3.1699999999999999E-2</v>
      </c>
      <c r="W27" s="26">
        <v>0.60580000000000001</v>
      </c>
      <c r="X27" s="27">
        <f t="shared" si="2"/>
        <v>-3.1327235808732277E-2</v>
      </c>
      <c r="Y27" s="27">
        <f t="shared" si="3"/>
        <v>-3.1750933438140429E-2</v>
      </c>
      <c r="Z27" s="27">
        <f t="shared" si="4"/>
        <v>0</v>
      </c>
      <c r="AA27" s="20">
        <f t="shared" si="5"/>
        <v>-3.0300000000000001E-2</v>
      </c>
      <c r="AB27" s="21">
        <f t="shared" si="6"/>
        <v>-5.2699999999999969E-2</v>
      </c>
      <c r="AD27" s="31"/>
      <c r="AE27" s="31"/>
    </row>
    <row r="28" spans="1:34">
      <c r="B28" s="44"/>
      <c r="C28" s="45" t="s">
        <v>63</v>
      </c>
      <c r="D28" s="46" t="s">
        <v>23</v>
      </c>
      <c r="E28" s="47">
        <f>SUM(E6:E27)</f>
        <v>240418021544.64868</v>
      </c>
      <c r="F28" s="48">
        <f>(E28/$E$243)</f>
        <v>2.5465966658310243E-2</v>
      </c>
      <c r="G28" s="13"/>
      <c r="H28" s="49"/>
      <c r="I28" s="49"/>
      <c r="J28" s="50"/>
      <c r="K28" s="51">
        <f>SUM(K6:K27)</f>
        <v>123468</v>
      </c>
      <c r="L28" s="52"/>
      <c r="M28" s="25">
        <v>0</v>
      </c>
      <c r="N28" s="13" t="s">
        <v>23</v>
      </c>
      <c r="O28" s="47">
        <f>SUM(O6:O27)</f>
        <v>235546477247.46704</v>
      </c>
      <c r="P28" s="48">
        <f>(O28/$O$243)</f>
        <v>2.4896908722717614E-2</v>
      </c>
      <c r="Q28" s="53"/>
      <c r="R28" s="49"/>
      <c r="S28" s="49"/>
      <c r="T28" s="50"/>
      <c r="U28" s="51">
        <f>SUM(U6:U27)</f>
        <v>124574</v>
      </c>
      <c r="V28" s="52"/>
      <c r="W28" s="51"/>
      <c r="X28" s="27">
        <f t="shared" si="2"/>
        <v>-2.0262808361381234E-2</v>
      </c>
      <c r="Y28" s="27" t="e">
        <f t="shared" si="3"/>
        <v>#DIV/0!</v>
      </c>
      <c r="Z28" s="27">
        <f t="shared" si="4"/>
        <v>8.9577866329737261E-3</v>
      </c>
      <c r="AA28" s="20">
        <f t="shared" si="5"/>
        <v>0</v>
      </c>
      <c r="AB28" s="21">
        <f t="shared" si="6"/>
        <v>0</v>
      </c>
    </row>
    <row r="29" spans="1:34" ht="4.5" customHeight="1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</row>
    <row r="30" spans="1:34" ht="15" customHeight="1">
      <c r="A30" s="11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</row>
    <row r="31" spans="1:34" ht="16.2" customHeight="1">
      <c r="A31" s="201">
        <v>23</v>
      </c>
      <c r="B31" s="200" t="s">
        <v>64</v>
      </c>
      <c r="C31" s="12" t="s">
        <v>22</v>
      </c>
      <c r="D31" s="13" t="s">
        <v>23</v>
      </c>
      <c r="E31" s="203">
        <v>6532844621.5200005</v>
      </c>
      <c r="F31" s="24">
        <f>(E31/$O$79)</f>
        <v>1.0261411616825347E-3</v>
      </c>
      <c r="G31" s="13" t="s">
        <v>23</v>
      </c>
      <c r="H31" s="231">
        <v>100</v>
      </c>
      <c r="I31" s="13" t="s">
        <v>23</v>
      </c>
      <c r="J31" s="231">
        <v>100</v>
      </c>
      <c r="K31" s="223">
        <v>936</v>
      </c>
      <c r="L31" s="197">
        <v>0.14779999999999999</v>
      </c>
      <c r="M31" s="197">
        <v>0.14779999999999999</v>
      </c>
      <c r="N31" s="13" t="s">
        <v>23</v>
      </c>
      <c r="O31" s="55">
        <v>6515780422.9200001</v>
      </c>
      <c r="P31" s="24">
        <f t="shared" ref="P31:P41" si="22">(O31/$O$79)</f>
        <v>1.0234608168114957E-3</v>
      </c>
      <c r="Q31" s="13" t="s">
        <v>23</v>
      </c>
      <c r="R31" s="41">
        <v>100</v>
      </c>
      <c r="S31" s="13" t="s">
        <v>23</v>
      </c>
      <c r="T31" s="41">
        <v>100</v>
      </c>
      <c r="U31" s="25">
        <v>936</v>
      </c>
      <c r="V31" s="56">
        <v>0.1482</v>
      </c>
      <c r="W31" s="56">
        <v>0.1482</v>
      </c>
      <c r="X31" s="27">
        <f>((O31-E31)/E31)</f>
        <v>-2.6120625223181944E-3</v>
      </c>
      <c r="Y31" s="27">
        <f>((T31-J31)/J31)</f>
        <v>0</v>
      </c>
      <c r="Z31" s="27">
        <f>((U31-K31)/K31)</f>
        <v>0</v>
      </c>
      <c r="AA31" s="27">
        <f>V31-L31</f>
        <v>4.0000000000001146E-4</v>
      </c>
      <c r="AB31" s="57">
        <f>W31-M31</f>
        <v>4.0000000000001146E-4</v>
      </c>
    </row>
    <row r="32" spans="1:34" ht="15.6">
      <c r="A32" s="201">
        <v>24</v>
      </c>
      <c r="B32" s="200" t="s">
        <v>65</v>
      </c>
      <c r="C32" s="12" t="s">
        <v>66</v>
      </c>
      <c r="D32" s="13" t="s">
        <v>23</v>
      </c>
      <c r="E32" s="203">
        <v>47166339909.120003</v>
      </c>
      <c r="F32" s="24">
        <f>(E32/$O$79)</f>
        <v>7.4086138015933096E-3</v>
      </c>
      <c r="G32" s="13" t="s">
        <v>23</v>
      </c>
      <c r="H32" s="231">
        <v>100</v>
      </c>
      <c r="I32" s="13" t="s">
        <v>23</v>
      </c>
      <c r="J32" s="231">
        <v>100</v>
      </c>
      <c r="K32" s="223">
        <v>5480</v>
      </c>
      <c r="L32" s="197">
        <v>0.14833199999999999</v>
      </c>
      <c r="M32" s="197">
        <v>0.14833199999999999</v>
      </c>
      <c r="N32" s="13" t="s">
        <v>23</v>
      </c>
      <c r="O32" s="55">
        <v>47462199333.830002</v>
      </c>
      <c r="P32" s="24">
        <f t="shared" si="22"/>
        <v>7.4550856758464597E-3</v>
      </c>
      <c r="Q32" s="13" t="s">
        <v>23</v>
      </c>
      <c r="R32" s="41">
        <v>100</v>
      </c>
      <c r="S32" s="13" t="s">
        <v>23</v>
      </c>
      <c r="T32" s="41">
        <v>100</v>
      </c>
      <c r="U32" s="25">
        <v>5521</v>
      </c>
      <c r="V32" s="56">
        <v>0.17247599999999999</v>
      </c>
      <c r="W32" s="56">
        <v>0.17247599999999999</v>
      </c>
      <c r="X32" s="27">
        <f t="shared" ref="X32:X79" si="23">((O32-E32)/E32)</f>
        <v>6.2726814351094524E-3</v>
      </c>
      <c r="Y32" s="27">
        <f t="shared" ref="Y32:Y79" si="24">((T32-J32)/J32)</f>
        <v>0</v>
      </c>
      <c r="Z32" s="27">
        <f t="shared" ref="Z32:Z79" si="25">((U32-K32)/K32)</f>
        <v>7.4817518248175181E-3</v>
      </c>
      <c r="AA32" s="20">
        <f t="shared" ref="AA32:AA79" si="26">V32-L32</f>
        <v>2.4143999999999999E-2</v>
      </c>
      <c r="AB32" s="21">
        <f t="shared" ref="AB32:AB79" si="27">W32-M32</f>
        <v>2.4143999999999999E-2</v>
      </c>
      <c r="AD32" s="58"/>
    </row>
    <row r="33" spans="1:28">
      <c r="A33" s="201">
        <v>25</v>
      </c>
      <c r="B33" s="200" t="s">
        <v>67</v>
      </c>
      <c r="C33" s="12" t="s">
        <v>68</v>
      </c>
      <c r="D33" s="13" t="s">
        <v>23</v>
      </c>
      <c r="E33" s="203">
        <v>2382016206.8499999</v>
      </c>
      <c r="F33" s="24">
        <f>(E33/$O$79)</f>
        <v>3.7415322409351453E-4</v>
      </c>
      <c r="G33" s="13" t="s">
        <v>23</v>
      </c>
      <c r="H33" s="231">
        <v>1</v>
      </c>
      <c r="I33" s="13" t="s">
        <v>23</v>
      </c>
      <c r="J33" s="231">
        <v>1</v>
      </c>
      <c r="K33" s="223">
        <v>267</v>
      </c>
      <c r="L33" s="197">
        <v>0.19170000000000001</v>
      </c>
      <c r="M33" s="197">
        <v>0.19170000000000001</v>
      </c>
      <c r="N33" s="13" t="s">
        <v>23</v>
      </c>
      <c r="O33" s="54">
        <v>2320217702.9699998</v>
      </c>
      <c r="P33" s="24">
        <f t="shared" si="22"/>
        <v>3.6444627524725352E-4</v>
      </c>
      <c r="Q33" s="13" t="s">
        <v>23</v>
      </c>
      <c r="R33" s="41">
        <v>1</v>
      </c>
      <c r="S33" s="13" t="s">
        <v>23</v>
      </c>
      <c r="T33" s="41">
        <v>1</v>
      </c>
      <c r="U33" s="25">
        <v>289</v>
      </c>
      <c r="V33" s="26">
        <v>0.20380000000000001</v>
      </c>
      <c r="W33" s="26">
        <v>0.20380000000000001</v>
      </c>
      <c r="X33" s="27">
        <f t="shared" ref="X33" si="28">((O33-E33)/E33)</f>
        <v>-2.5943779770383268E-2</v>
      </c>
      <c r="Y33" s="27">
        <f t="shared" ref="Y33" si="29">((T33-J33)/J33)</f>
        <v>0</v>
      </c>
      <c r="Z33" s="27">
        <f t="shared" ref="Z33" si="30">((U33-K33)/K33)</f>
        <v>8.2397003745318345E-2</v>
      </c>
      <c r="AA33" s="20">
        <f t="shared" ref="AA33" si="31">V33-L33</f>
        <v>1.21E-2</v>
      </c>
      <c r="AB33" s="21">
        <f t="shared" ref="AB33" si="32">W33-M33</f>
        <v>1.21E-2</v>
      </c>
    </row>
    <row r="34" spans="1:28">
      <c r="A34" s="201">
        <v>26</v>
      </c>
      <c r="B34" s="200" t="s">
        <v>69</v>
      </c>
      <c r="C34" s="12" t="s">
        <v>25</v>
      </c>
      <c r="D34" s="13" t="s">
        <v>23</v>
      </c>
      <c r="E34" s="203">
        <v>4073572324.1100001</v>
      </c>
      <c r="F34" s="24">
        <f>(E34/$O$79)</f>
        <v>6.3985300110925973E-4</v>
      </c>
      <c r="G34" s="13" t="s">
        <v>23</v>
      </c>
      <c r="H34" s="231">
        <v>100</v>
      </c>
      <c r="I34" s="13" t="s">
        <v>23</v>
      </c>
      <c r="J34" s="231">
        <v>100</v>
      </c>
      <c r="K34" s="223">
        <v>2722</v>
      </c>
      <c r="L34" s="197">
        <v>0.16450000000000001</v>
      </c>
      <c r="M34" s="197">
        <v>0.16450000000000001</v>
      </c>
      <c r="N34" s="13" t="s">
        <v>23</v>
      </c>
      <c r="O34" s="55">
        <v>4154597010.5799999</v>
      </c>
      <c r="P34" s="24">
        <f t="shared" si="22"/>
        <v>6.5257988667231231E-4</v>
      </c>
      <c r="Q34" s="13" t="s">
        <v>23</v>
      </c>
      <c r="R34" s="41">
        <v>100</v>
      </c>
      <c r="S34" s="13" t="s">
        <v>23</v>
      </c>
      <c r="T34" s="41">
        <v>100</v>
      </c>
      <c r="U34" s="25">
        <v>2843</v>
      </c>
      <c r="V34" s="56">
        <v>0.16750000000000001</v>
      </c>
      <c r="W34" s="56">
        <v>0.16750000000000001</v>
      </c>
      <c r="X34" s="27">
        <f t="shared" si="23"/>
        <v>1.9890327217328141E-2</v>
      </c>
      <c r="Y34" s="27">
        <f t="shared" si="24"/>
        <v>0</v>
      </c>
      <c r="Z34" s="27">
        <f t="shared" si="25"/>
        <v>4.4452608376193976E-2</v>
      </c>
      <c r="AA34" s="20">
        <f t="shared" si="26"/>
        <v>3.0000000000000027E-3</v>
      </c>
      <c r="AB34" s="21">
        <f t="shared" si="27"/>
        <v>3.0000000000000027E-3</v>
      </c>
    </row>
    <row r="35" spans="1:28">
      <c r="A35" s="201">
        <v>27</v>
      </c>
      <c r="B35" s="207" t="s">
        <v>70</v>
      </c>
      <c r="C35" s="12" t="s">
        <v>71</v>
      </c>
      <c r="D35" s="13" t="s">
        <v>23</v>
      </c>
      <c r="E35" s="203">
        <v>1691745637.1700001</v>
      </c>
      <c r="F35" s="24">
        <v>0</v>
      </c>
      <c r="G35" s="13" t="s">
        <v>23</v>
      </c>
      <c r="H35" s="231">
        <v>100</v>
      </c>
      <c r="I35" s="13" t="s">
        <v>23</v>
      </c>
      <c r="J35" s="231">
        <v>100</v>
      </c>
      <c r="K35" s="223">
        <v>196</v>
      </c>
      <c r="L35" s="197">
        <v>0.18278800000000001</v>
      </c>
      <c r="M35" s="197">
        <v>0.18278800000000001</v>
      </c>
      <c r="N35" s="13" t="s">
        <v>23</v>
      </c>
      <c r="O35" s="54">
        <v>1915548568.5799999</v>
      </c>
      <c r="P35" s="24">
        <f t="shared" si="22"/>
        <v>3.0088320590803444E-4</v>
      </c>
      <c r="Q35" s="13" t="s">
        <v>23</v>
      </c>
      <c r="R35" s="41">
        <v>100</v>
      </c>
      <c r="S35" s="13" t="s">
        <v>23</v>
      </c>
      <c r="T35" s="41">
        <v>100</v>
      </c>
      <c r="U35" s="25">
        <v>201</v>
      </c>
      <c r="V35" s="26">
        <v>0.186192</v>
      </c>
      <c r="W35" s="26">
        <v>0.186192</v>
      </c>
      <c r="X35" s="27">
        <f t="shared" ref="X35" si="33">((O35-E35)/E35)</f>
        <v>0.13229112373204266</v>
      </c>
      <c r="Y35" s="27">
        <f t="shared" ref="Y35" si="34">((T35-J35)/J35)</f>
        <v>0</v>
      </c>
      <c r="Z35" s="27">
        <f t="shared" ref="Z35" si="35">((U35-K35)/K35)</f>
        <v>2.5510204081632654E-2</v>
      </c>
      <c r="AA35" s="20">
        <f t="shared" ref="AA35" si="36">V35-L35</f>
        <v>3.4039999999999904E-3</v>
      </c>
      <c r="AB35" s="21">
        <f t="shared" ref="AB35" si="37">W35-M35</f>
        <v>3.4039999999999904E-3</v>
      </c>
    </row>
    <row r="36" spans="1:28">
      <c r="A36" s="201">
        <v>28</v>
      </c>
      <c r="B36" s="200" t="s">
        <v>72</v>
      </c>
      <c r="C36" s="12" t="s">
        <v>27</v>
      </c>
      <c r="D36" s="13" t="s">
        <v>23</v>
      </c>
      <c r="E36" s="203">
        <v>444683268893.23999</v>
      </c>
      <c r="F36" s="24">
        <f>(E36/$O$79)</f>
        <v>6.9848256396572134E-2</v>
      </c>
      <c r="G36" s="13" t="s">
        <v>23</v>
      </c>
      <c r="H36" s="231">
        <v>1</v>
      </c>
      <c r="I36" s="13" t="s">
        <v>23</v>
      </c>
      <c r="J36" s="231">
        <v>1</v>
      </c>
      <c r="K36" s="223">
        <v>88738</v>
      </c>
      <c r="L36" s="197">
        <v>0.16739999999999999</v>
      </c>
      <c r="M36" s="197">
        <v>0.16739999999999999</v>
      </c>
      <c r="N36" s="13" t="s">
        <v>23</v>
      </c>
      <c r="O36" s="55">
        <v>447066969987.16998</v>
      </c>
      <c r="P36" s="24">
        <f t="shared" si="22"/>
        <v>7.0222674272909152E-2</v>
      </c>
      <c r="Q36" s="13" t="s">
        <v>23</v>
      </c>
      <c r="R36" s="41">
        <v>1</v>
      </c>
      <c r="S36" s="13" t="s">
        <v>23</v>
      </c>
      <c r="T36" s="41">
        <v>1</v>
      </c>
      <c r="U36" s="25">
        <v>89080</v>
      </c>
      <c r="V36" s="56">
        <v>0.16800000000000001</v>
      </c>
      <c r="W36" s="56">
        <v>0.16800000000000001</v>
      </c>
      <c r="X36" s="27">
        <f t="shared" si="23"/>
        <v>5.3604469982932368E-3</v>
      </c>
      <c r="Y36" s="27">
        <f t="shared" si="24"/>
        <v>0</v>
      </c>
      <c r="Z36" s="27">
        <f t="shared" si="25"/>
        <v>3.8540422366967926E-3</v>
      </c>
      <c r="AA36" s="20">
        <f t="shared" si="26"/>
        <v>6.0000000000001719E-4</v>
      </c>
      <c r="AB36" s="21">
        <f t="shared" si="27"/>
        <v>6.0000000000001719E-4</v>
      </c>
    </row>
    <row r="37" spans="1:28">
      <c r="A37" s="201">
        <v>29</v>
      </c>
      <c r="B37" s="200" t="s">
        <v>73</v>
      </c>
      <c r="C37" s="12" t="s">
        <v>74</v>
      </c>
      <c r="D37" s="13" t="s">
        <v>23</v>
      </c>
      <c r="E37" s="203">
        <v>2357036419.4299998</v>
      </c>
      <c r="F37" s="24">
        <f>(E37/$O$79)</f>
        <v>3.7022954466031568E-4</v>
      </c>
      <c r="G37" s="13" t="s">
        <v>23</v>
      </c>
      <c r="H37" s="231">
        <v>1</v>
      </c>
      <c r="I37" s="13" t="s">
        <v>23</v>
      </c>
      <c r="J37" s="231">
        <v>1</v>
      </c>
      <c r="K37" s="223">
        <v>441</v>
      </c>
      <c r="L37" s="197">
        <v>0.17</v>
      </c>
      <c r="M37" s="197">
        <v>0.17</v>
      </c>
      <c r="N37" s="13" t="s">
        <v>23</v>
      </c>
      <c r="O37" s="55">
        <v>2357036419.4299998</v>
      </c>
      <c r="P37" s="24">
        <f t="shared" si="22"/>
        <v>3.7022954466031568E-4</v>
      </c>
      <c r="Q37" s="13" t="s">
        <v>23</v>
      </c>
      <c r="R37" s="41">
        <v>1</v>
      </c>
      <c r="S37" s="13" t="s">
        <v>23</v>
      </c>
      <c r="T37" s="41">
        <v>1</v>
      </c>
      <c r="U37" s="25">
        <v>441</v>
      </c>
      <c r="V37" s="26">
        <v>0.17</v>
      </c>
      <c r="W37" s="56">
        <v>0.17</v>
      </c>
      <c r="X37" s="27">
        <f t="shared" si="23"/>
        <v>0</v>
      </c>
      <c r="Y37" s="27">
        <f t="shared" si="24"/>
        <v>0</v>
      </c>
      <c r="Z37" s="27">
        <f t="shared" si="25"/>
        <v>0</v>
      </c>
      <c r="AA37" s="20">
        <f t="shared" si="26"/>
        <v>0</v>
      </c>
      <c r="AB37" s="21">
        <f t="shared" si="27"/>
        <v>0</v>
      </c>
    </row>
    <row r="38" spans="1:28">
      <c r="A38" s="201">
        <v>30</v>
      </c>
      <c r="B38" s="200" t="s">
        <v>75</v>
      </c>
      <c r="C38" s="12" t="s">
        <v>29</v>
      </c>
      <c r="D38" s="13" t="s">
        <v>23</v>
      </c>
      <c r="E38" s="203">
        <v>181309266540.98718</v>
      </c>
      <c r="F38" s="24">
        <f>(E38/$O$79)</f>
        <v>2.8479002972045094E-2</v>
      </c>
      <c r="G38" s="13" t="s">
        <v>23</v>
      </c>
      <c r="H38" s="231">
        <v>1</v>
      </c>
      <c r="I38" s="13" t="s">
        <v>23</v>
      </c>
      <c r="J38" s="231">
        <v>1</v>
      </c>
      <c r="K38" s="223">
        <v>41893</v>
      </c>
      <c r="L38" s="197">
        <v>0.15312015366139445</v>
      </c>
      <c r="M38" s="197">
        <v>0.15312015366139445</v>
      </c>
      <c r="N38" s="13" t="s">
        <v>23</v>
      </c>
      <c r="O38" s="55">
        <v>180149525542.82001</v>
      </c>
      <c r="P38" s="24">
        <f t="shared" si="22"/>
        <v>2.8296837614676894E-2</v>
      </c>
      <c r="Q38" s="13" t="s">
        <v>23</v>
      </c>
      <c r="R38" s="41">
        <v>1</v>
      </c>
      <c r="S38" s="13" t="s">
        <v>23</v>
      </c>
      <c r="T38" s="41">
        <v>1</v>
      </c>
      <c r="U38" s="25">
        <v>41990</v>
      </c>
      <c r="V38" s="56">
        <v>0.15429999999999999</v>
      </c>
      <c r="W38" s="26">
        <v>0.15429999999999999</v>
      </c>
      <c r="X38" s="27">
        <f t="shared" si="23"/>
        <v>-6.3964794535474098E-3</v>
      </c>
      <c r="Y38" s="27">
        <f t="shared" si="24"/>
        <v>0</v>
      </c>
      <c r="Z38" s="27">
        <f t="shared" si="25"/>
        <v>2.3154226243047764E-3</v>
      </c>
      <c r="AA38" s="20">
        <f t="shared" si="26"/>
        <v>1.1798463386055447E-3</v>
      </c>
      <c r="AB38" s="21">
        <f t="shared" si="27"/>
        <v>1.1798463386055447E-3</v>
      </c>
    </row>
    <row r="39" spans="1:28">
      <c r="A39" s="201">
        <v>31</v>
      </c>
      <c r="B39" s="207" t="s">
        <v>76</v>
      </c>
      <c r="C39" s="12" t="s">
        <v>31</v>
      </c>
      <c r="D39" s="13" t="s">
        <v>23</v>
      </c>
      <c r="E39" s="211">
        <v>37765397904.360001</v>
      </c>
      <c r="F39" s="24">
        <f t="shared" ref="F39" si="38">(E39/$E$28)</f>
        <v>0.15708222562403246</v>
      </c>
      <c r="G39" s="13" t="s">
        <v>23</v>
      </c>
      <c r="H39" s="211">
        <v>1</v>
      </c>
      <c r="I39" s="13" t="s">
        <v>23</v>
      </c>
      <c r="J39" s="211">
        <v>1</v>
      </c>
      <c r="K39" s="223">
        <v>2499</v>
      </c>
      <c r="L39" s="197">
        <v>0.18410000000000001</v>
      </c>
      <c r="M39" s="197">
        <v>0.18410000000000001</v>
      </c>
      <c r="N39" s="13" t="s">
        <v>23</v>
      </c>
      <c r="O39" s="23">
        <v>35547253696.360001</v>
      </c>
      <c r="P39" s="24">
        <f t="shared" si="22"/>
        <v>5.583555451854543E-3</v>
      </c>
      <c r="Q39" s="13" t="s">
        <v>23</v>
      </c>
      <c r="R39" s="23">
        <v>1</v>
      </c>
      <c r="S39" s="13" t="s">
        <v>23</v>
      </c>
      <c r="T39" s="23">
        <v>1</v>
      </c>
      <c r="U39" s="25">
        <v>2559</v>
      </c>
      <c r="V39" s="56">
        <v>0.18809999999999999</v>
      </c>
      <c r="W39" s="26">
        <v>0.18809999999999999</v>
      </c>
      <c r="X39" s="27">
        <f t="shared" si="23"/>
        <v>-5.8734829528803031E-2</v>
      </c>
      <c r="Y39" s="27">
        <f t="shared" si="24"/>
        <v>0</v>
      </c>
      <c r="Z39" s="27">
        <f t="shared" si="25"/>
        <v>2.4009603841536616E-2</v>
      </c>
      <c r="AA39" s="20">
        <f t="shared" si="26"/>
        <v>3.9999999999999758E-3</v>
      </c>
      <c r="AB39" s="21">
        <f t="shared" si="27"/>
        <v>3.9999999999999758E-3</v>
      </c>
    </row>
    <row r="40" spans="1:28" ht="15" customHeight="1">
      <c r="A40" s="201">
        <v>32</v>
      </c>
      <c r="B40" s="200" t="s">
        <v>77</v>
      </c>
      <c r="C40" s="12" t="s">
        <v>53</v>
      </c>
      <c r="D40" s="13" t="s">
        <v>23</v>
      </c>
      <c r="E40" s="203">
        <v>44998878814.089996</v>
      </c>
      <c r="F40" s="24">
        <f>(E40/$O$79)</f>
        <v>7.0681616441014171E-3</v>
      </c>
      <c r="G40" s="13" t="s">
        <v>23</v>
      </c>
      <c r="H40" s="231">
        <v>100</v>
      </c>
      <c r="I40" s="13" t="s">
        <v>23</v>
      </c>
      <c r="J40" s="231">
        <v>100</v>
      </c>
      <c r="K40" s="223">
        <v>18503</v>
      </c>
      <c r="L40" s="197">
        <v>0.17610000000000001</v>
      </c>
      <c r="M40" s="197">
        <v>0.17610000000000001</v>
      </c>
      <c r="N40" s="13" t="s">
        <v>23</v>
      </c>
      <c r="O40" s="54">
        <v>46359357369.860001</v>
      </c>
      <c r="P40" s="24">
        <f t="shared" si="22"/>
        <v>7.2818576871793855E-3</v>
      </c>
      <c r="Q40" s="13" t="s">
        <v>23</v>
      </c>
      <c r="R40" s="41">
        <v>100</v>
      </c>
      <c r="S40" s="13" t="s">
        <v>23</v>
      </c>
      <c r="T40" s="41">
        <v>100</v>
      </c>
      <c r="U40" s="25">
        <v>18503</v>
      </c>
      <c r="V40" s="26">
        <v>0.17799999999999999</v>
      </c>
      <c r="W40" s="26">
        <v>0.17799999999999999</v>
      </c>
      <c r="X40" s="27">
        <f t="shared" si="23"/>
        <v>3.0233610072613916E-2</v>
      </c>
      <c r="Y40" s="27">
        <f t="shared" si="24"/>
        <v>0</v>
      </c>
      <c r="Z40" s="27">
        <f t="shared" si="25"/>
        <v>0</v>
      </c>
      <c r="AA40" s="20">
        <f t="shared" si="26"/>
        <v>1.899999999999985E-3</v>
      </c>
      <c r="AB40" s="21">
        <f t="shared" si="27"/>
        <v>1.899999999999985E-3</v>
      </c>
    </row>
    <row r="41" spans="1:28" ht="15" customHeight="1">
      <c r="A41" s="201">
        <v>33</v>
      </c>
      <c r="B41" s="200" t="s">
        <v>78</v>
      </c>
      <c r="C41" s="12" t="s">
        <v>79</v>
      </c>
      <c r="D41" s="13" t="s">
        <v>23</v>
      </c>
      <c r="E41" s="203">
        <v>3468563310.0500002</v>
      </c>
      <c r="F41" s="24">
        <f>(E41/$O$79)</f>
        <v>5.4482171099241535E-4</v>
      </c>
      <c r="G41" s="13" t="s">
        <v>23</v>
      </c>
      <c r="H41" s="231">
        <v>1</v>
      </c>
      <c r="I41" s="13" t="s">
        <v>23</v>
      </c>
      <c r="J41" s="231">
        <v>1</v>
      </c>
      <c r="K41" s="223">
        <v>863</v>
      </c>
      <c r="L41" s="197">
        <v>0.154</v>
      </c>
      <c r="M41" s="197">
        <v>0.154</v>
      </c>
      <c r="N41" s="13" t="s">
        <v>23</v>
      </c>
      <c r="O41" s="203">
        <v>3653956801.29</v>
      </c>
      <c r="P41" s="24">
        <f t="shared" si="22"/>
        <v>5.739422401785406E-4</v>
      </c>
      <c r="Q41" s="13" t="s">
        <v>23</v>
      </c>
      <c r="R41" s="41">
        <v>1</v>
      </c>
      <c r="S41" s="13" t="s">
        <v>23</v>
      </c>
      <c r="T41" s="41">
        <v>1</v>
      </c>
      <c r="U41" s="25">
        <v>867</v>
      </c>
      <c r="V41" s="26">
        <v>0.154</v>
      </c>
      <c r="W41" s="26">
        <v>0.154</v>
      </c>
      <c r="X41" s="27">
        <f t="shared" si="23"/>
        <v>5.3449648937596378E-2</v>
      </c>
      <c r="Y41" s="27">
        <f t="shared" si="24"/>
        <v>0</v>
      </c>
      <c r="Z41" s="27">
        <f t="shared" si="25"/>
        <v>4.6349942062572421E-3</v>
      </c>
      <c r="AA41" s="20">
        <f t="shared" si="26"/>
        <v>0</v>
      </c>
      <c r="AB41" s="21">
        <f t="shared" si="27"/>
        <v>0</v>
      </c>
    </row>
    <row r="42" spans="1:28">
      <c r="A42" s="201">
        <v>34</v>
      </c>
      <c r="B42" s="200" t="s">
        <v>80</v>
      </c>
      <c r="C42" s="12" t="s">
        <v>81</v>
      </c>
      <c r="D42" s="13" t="s">
        <v>23</v>
      </c>
      <c r="E42" s="203">
        <v>107887387222.25002</v>
      </c>
      <c r="F42" s="24">
        <f>(E42/$O$79)</f>
        <v>1.6946322049425179E-2</v>
      </c>
      <c r="G42" s="13" t="s">
        <v>23</v>
      </c>
      <c r="H42" s="231">
        <v>100</v>
      </c>
      <c r="I42" s="13" t="s">
        <v>23</v>
      </c>
      <c r="J42" s="231">
        <v>100</v>
      </c>
      <c r="K42" s="223">
        <v>6569</v>
      </c>
      <c r="L42" s="197">
        <v>0.18035919171838999</v>
      </c>
      <c r="M42" s="197">
        <v>0.18035919171838999</v>
      </c>
      <c r="N42" s="13" t="s">
        <v>23</v>
      </c>
      <c r="O42" s="54">
        <v>111449966689.59</v>
      </c>
      <c r="P42" s="24">
        <f t="shared" ref="P42:P55" si="39">(O42/$O$79)</f>
        <v>1.750591127050664E-2</v>
      </c>
      <c r="Q42" s="13" t="s">
        <v>23</v>
      </c>
      <c r="R42" s="41">
        <v>100</v>
      </c>
      <c r="S42" s="13" t="s">
        <v>23</v>
      </c>
      <c r="T42" s="41">
        <v>100</v>
      </c>
      <c r="U42" s="25">
        <v>6599</v>
      </c>
      <c r="V42" s="26">
        <v>0.18161285092465401</v>
      </c>
      <c r="W42" s="26">
        <v>0.18161285092465401</v>
      </c>
      <c r="X42" s="27">
        <f t="shared" si="23"/>
        <v>3.3021278567076623E-2</v>
      </c>
      <c r="Y42" s="27">
        <f t="shared" si="24"/>
        <v>0</v>
      </c>
      <c r="Z42" s="27">
        <f t="shared" si="25"/>
        <v>4.5669051606028318E-3</v>
      </c>
      <c r="AA42" s="20">
        <f t="shared" si="26"/>
        <v>1.2536592062640239E-3</v>
      </c>
      <c r="AB42" s="21">
        <f t="shared" si="27"/>
        <v>1.2536592062640239E-3</v>
      </c>
    </row>
    <row r="43" spans="1:28">
      <c r="A43" s="201">
        <v>35</v>
      </c>
      <c r="B43" s="207" t="s">
        <v>82</v>
      </c>
      <c r="C43" s="12" t="s">
        <v>83</v>
      </c>
      <c r="D43" s="13" t="s">
        <v>23</v>
      </c>
      <c r="E43" s="203">
        <v>46823326621.279999</v>
      </c>
      <c r="F43" s="24">
        <f>(E43/$O$79)</f>
        <v>7.3547352733183188E-3</v>
      </c>
      <c r="G43" s="13" t="s">
        <v>23</v>
      </c>
      <c r="H43" s="231">
        <v>100</v>
      </c>
      <c r="I43" s="13" t="s">
        <v>23</v>
      </c>
      <c r="J43" s="231">
        <v>100</v>
      </c>
      <c r="K43" s="223">
        <v>6131</v>
      </c>
      <c r="L43" s="197">
        <v>0.16059999999999999</v>
      </c>
      <c r="M43" s="197">
        <v>0.16059999999999999</v>
      </c>
      <c r="N43" s="13" t="s">
        <v>23</v>
      </c>
      <c r="O43" s="55">
        <v>46802284712.129997</v>
      </c>
      <c r="P43" s="24">
        <f t="shared" si="39"/>
        <v>7.3514301328549934E-3</v>
      </c>
      <c r="Q43" s="13" t="s">
        <v>23</v>
      </c>
      <c r="R43" s="41">
        <v>100</v>
      </c>
      <c r="S43" s="13" t="s">
        <v>23</v>
      </c>
      <c r="T43" s="41">
        <v>100</v>
      </c>
      <c r="U43" s="25">
        <v>6056</v>
      </c>
      <c r="V43" s="56">
        <v>0.1555</v>
      </c>
      <c r="W43" s="26">
        <v>0.1555</v>
      </c>
      <c r="X43" s="27">
        <f t="shared" si="23"/>
        <v>-4.493894532567987E-4</v>
      </c>
      <c r="Y43" s="27">
        <f t="shared" si="24"/>
        <v>0</v>
      </c>
      <c r="Z43" s="27">
        <f t="shared" si="25"/>
        <v>-1.2232914695808188E-2</v>
      </c>
      <c r="AA43" s="20">
        <f t="shared" si="26"/>
        <v>-5.0999999999999934E-3</v>
      </c>
      <c r="AB43" s="21">
        <f t="shared" si="27"/>
        <v>-5.0999999999999934E-3</v>
      </c>
    </row>
    <row r="44" spans="1:28">
      <c r="A44" s="201">
        <v>36</v>
      </c>
      <c r="B44" s="200" t="s">
        <v>84</v>
      </c>
      <c r="C44" s="12" t="s">
        <v>33</v>
      </c>
      <c r="D44" s="13" t="s">
        <v>23</v>
      </c>
      <c r="E44" s="203">
        <v>96790858463.369995</v>
      </c>
      <c r="F44" s="24">
        <f>(E44/$O$79)</f>
        <v>1.5203343979233229E-2</v>
      </c>
      <c r="G44" s="13" t="s">
        <v>23</v>
      </c>
      <c r="H44" s="231">
        <v>1</v>
      </c>
      <c r="I44" s="13" t="s">
        <v>23</v>
      </c>
      <c r="J44" s="231">
        <v>1</v>
      </c>
      <c r="K44" s="223">
        <v>20749</v>
      </c>
      <c r="L44" s="197">
        <v>0.19639999999999999</v>
      </c>
      <c r="M44" s="197">
        <v>0.19639999999999999</v>
      </c>
      <c r="N44" s="13" t="s">
        <v>23</v>
      </c>
      <c r="O44" s="54">
        <v>99357335380.119995</v>
      </c>
      <c r="P44" s="24">
        <f t="shared" si="39"/>
        <v>1.5606471216655952E-2</v>
      </c>
      <c r="Q44" s="13" t="s">
        <v>23</v>
      </c>
      <c r="R44" s="41">
        <v>1</v>
      </c>
      <c r="S44" s="13" t="s">
        <v>23</v>
      </c>
      <c r="T44" s="41">
        <v>1</v>
      </c>
      <c r="U44" s="25">
        <v>21103</v>
      </c>
      <c r="V44" s="26">
        <v>0.20019999999999999</v>
      </c>
      <c r="W44" s="26">
        <v>0.20019999999999999</v>
      </c>
      <c r="X44" s="27">
        <f t="shared" si="23"/>
        <v>2.6515695361057988E-2</v>
      </c>
      <c r="Y44" s="27">
        <f t="shared" si="24"/>
        <v>0</v>
      </c>
      <c r="Z44" s="27">
        <f t="shared" si="25"/>
        <v>1.7061063183767891E-2</v>
      </c>
      <c r="AA44" s="20">
        <f t="shared" si="26"/>
        <v>3.7999999999999978E-3</v>
      </c>
      <c r="AB44" s="21">
        <f t="shared" si="27"/>
        <v>3.7999999999999978E-3</v>
      </c>
    </row>
    <row r="45" spans="1:28">
      <c r="A45" s="201">
        <v>37</v>
      </c>
      <c r="B45" s="200" t="s">
        <v>85</v>
      </c>
      <c r="C45" s="12" t="s">
        <v>86</v>
      </c>
      <c r="D45" s="13" t="s">
        <v>23</v>
      </c>
      <c r="E45" s="203">
        <v>2402988480.5</v>
      </c>
      <c r="F45" s="24">
        <v>0</v>
      </c>
      <c r="G45" s="13" t="s">
        <v>23</v>
      </c>
      <c r="H45" s="231">
        <v>1000</v>
      </c>
      <c r="I45" s="13" t="s">
        <v>23</v>
      </c>
      <c r="J45" s="231">
        <v>1000</v>
      </c>
      <c r="K45" s="223">
        <v>320</v>
      </c>
      <c r="L45" s="197">
        <v>0.20502556999999999</v>
      </c>
      <c r="M45" s="197">
        <v>0.20502556999999999</v>
      </c>
      <c r="N45" s="13" t="s">
        <v>23</v>
      </c>
      <c r="O45" s="54">
        <v>2520161854.1500001</v>
      </c>
      <c r="P45" s="24">
        <f t="shared" si="39"/>
        <v>3.9585233729985697E-4</v>
      </c>
      <c r="Q45" s="13" t="s">
        <v>23</v>
      </c>
      <c r="R45" s="41">
        <v>1000</v>
      </c>
      <c r="S45" s="13" t="s">
        <v>23</v>
      </c>
      <c r="T45" s="41">
        <v>1000</v>
      </c>
      <c r="U45" s="25">
        <v>330</v>
      </c>
      <c r="V45" s="26">
        <v>0.20454683000000001</v>
      </c>
      <c r="W45" s="26">
        <v>0.20454683000000001</v>
      </c>
      <c r="X45" s="27">
        <f t="shared" si="23"/>
        <v>4.8761521164520663E-2</v>
      </c>
      <c r="Y45" s="27">
        <f t="shared" si="24"/>
        <v>0</v>
      </c>
      <c r="Z45" s="27">
        <f t="shared" si="25"/>
        <v>3.125E-2</v>
      </c>
      <c r="AA45" s="20">
        <f t="shared" si="26"/>
        <v>-4.7873999999997752E-4</v>
      </c>
      <c r="AB45" s="21">
        <f t="shared" si="27"/>
        <v>-4.7873999999997752E-4</v>
      </c>
    </row>
    <row r="46" spans="1:28">
      <c r="A46" s="201">
        <v>38</v>
      </c>
      <c r="B46" s="207" t="s">
        <v>87</v>
      </c>
      <c r="C46" s="12" t="s">
        <v>88</v>
      </c>
      <c r="D46" s="13" t="s">
        <v>23</v>
      </c>
      <c r="E46" s="203">
        <v>89537324732.350006</v>
      </c>
      <c r="F46" s="24">
        <f t="shared" ref="F46:F55" si="40">(E46/$O$79)</f>
        <v>1.4064001172191157E-2</v>
      </c>
      <c r="G46" s="13" t="s">
        <v>23</v>
      </c>
      <c r="H46" s="232">
        <v>100</v>
      </c>
      <c r="I46" s="13" t="s">
        <v>23</v>
      </c>
      <c r="J46" s="232">
        <v>100</v>
      </c>
      <c r="K46" s="223">
        <v>5087</v>
      </c>
      <c r="L46" s="197">
        <v>0.1537</v>
      </c>
      <c r="M46" s="197">
        <v>0.1537</v>
      </c>
      <c r="N46" s="13" t="s">
        <v>23</v>
      </c>
      <c r="O46" s="55">
        <v>87029028179.119995</v>
      </c>
      <c r="P46" s="24">
        <f t="shared" si="39"/>
        <v>1.3670012567212383E-2</v>
      </c>
      <c r="Q46" s="13" t="s">
        <v>23</v>
      </c>
      <c r="R46" s="59">
        <v>100</v>
      </c>
      <c r="S46" s="13" t="s">
        <v>23</v>
      </c>
      <c r="T46" s="59">
        <v>100</v>
      </c>
      <c r="U46" s="25">
        <v>5087</v>
      </c>
      <c r="V46" s="56">
        <v>0.15049999999999999</v>
      </c>
      <c r="W46" s="56">
        <v>0.15049999999999999</v>
      </c>
      <c r="X46" s="27">
        <f t="shared" si="23"/>
        <v>-2.8013976972485515E-2</v>
      </c>
      <c r="Y46" s="27">
        <f t="shared" si="24"/>
        <v>0</v>
      </c>
      <c r="Z46" s="27">
        <f t="shared" si="25"/>
        <v>0</v>
      </c>
      <c r="AA46" s="20">
        <f t="shared" si="26"/>
        <v>-3.2000000000000084E-3</v>
      </c>
      <c r="AB46" s="21">
        <f t="shared" si="27"/>
        <v>-3.2000000000000084E-3</v>
      </c>
    </row>
    <row r="47" spans="1:28">
      <c r="A47" s="201">
        <v>39</v>
      </c>
      <c r="B47" s="207" t="s">
        <v>89</v>
      </c>
      <c r="C47" s="12" t="s">
        <v>88</v>
      </c>
      <c r="D47" s="13" t="s">
        <v>23</v>
      </c>
      <c r="E47" s="203">
        <v>9843650897.0100002</v>
      </c>
      <c r="F47" s="24">
        <f t="shared" si="40"/>
        <v>1.5461833170471099E-3</v>
      </c>
      <c r="G47" s="13" t="s">
        <v>23</v>
      </c>
      <c r="H47" s="232">
        <v>1000000</v>
      </c>
      <c r="I47" s="13" t="s">
        <v>23</v>
      </c>
      <c r="J47" s="232">
        <v>1000000</v>
      </c>
      <c r="K47" s="223">
        <v>50</v>
      </c>
      <c r="L47" s="197">
        <v>0.1522</v>
      </c>
      <c r="M47" s="197">
        <v>0.1522</v>
      </c>
      <c r="N47" s="13" t="s">
        <v>23</v>
      </c>
      <c r="O47" s="55">
        <v>9666778171.6800003</v>
      </c>
      <c r="P47" s="24">
        <f t="shared" si="39"/>
        <v>1.5184011801136507E-3</v>
      </c>
      <c r="Q47" s="13" t="s">
        <v>23</v>
      </c>
      <c r="R47" s="59">
        <v>1000000</v>
      </c>
      <c r="S47" s="13" t="s">
        <v>23</v>
      </c>
      <c r="T47" s="59">
        <v>1000000</v>
      </c>
      <c r="U47" s="25">
        <v>50</v>
      </c>
      <c r="V47" s="56">
        <v>0.15</v>
      </c>
      <c r="W47" s="56">
        <v>0.15</v>
      </c>
      <c r="X47" s="27">
        <f t="shared" si="23"/>
        <v>-1.796820378745094E-2</v>
      </c>
      <c r="Y47" s="27">
        <f t="shared" si="24"/>
        <v>0</v>
      </c>
      <c r="Z47" s="27">
        <f t="shared" si="25"/>
        <v>0</v>
      </c>
      <c r="AA47" s="20">
        <f t="shared" si="26"/>
        <v>-2.2000000000000075E-3</v>
      </c>
      <c r="AB47" s="21">
        <f t="shared" si="27"/>
        <v>-2.2000000000000075E-3</v>
      </c>
    </row>
    <row r="48" spans="1:28">
      <c r="A48" s="201">
        <v>40</v>
      </c>
      <c r="B48" s="207" t="s">
        <v>90</v>
      </c>
      <c r="C48" s="12" t="s">
        <v>91</v>
      </c>
      <c r="D48" s="13" t="s">
        <v>23</v>
      </c>
      <c r="E48" s="203">
        <v>9245591936.8899994</v>
      </c>
      <c r="F48" s="24">
        <f t="shared" si="40"/>
        <v>1.4522437009003237E-3</v>
      </c>
      <c r="G48" s="13" t="s">
        <v>23</v>
      </c>
      <c r="H48" s="231">
        <v>1</v>
      </c>
      <c r="I48" s="13" t="s">
        <v>23</v>
      </c>
      <c r="J48" s="231">
        <v>1</v>
      </c>
      <c r="K48" s="223">
        <v>1345</v>
      </c>
      <c r="L48" s="197">
        <v>0.18609999999999999</v>
      </c>
      <c r="M48" s="197">
        <v>0.18609999999999999</v>
      </c>
      <c r="N48" s="13" t="s">
        <v>23</v>
      </c>
      <c r="O48" s="54">
        <v>9308199876.0900002</v>
      </c>
      <c r="P48" s="24">
        <f t="shared" si="39"/>
        <v>1.4620777911295033E-3</v>
      </c>
      <c r="Q48" s="13" t="s">
        <v>23</v>
      </c>
      <c r="R48" s="41">
        <v>1</v>
      </c>
      <c r="S48" s="13" t="s">
        <v>23</v>
      </c>
      <c r="T48" s="41">
        <v>1</v>
      </c>
      <c r="U48" s="25">
        <v>1359</v>
      </c>
      <c r="V48" s="26">
        <v>0.1741</v>
      </c>
      <c r="W48" s="26">
        <v>0.1741</v>
      </c>
      <c r="X48" s="27">
        <f t="shared" si="23"/>
        <v>6.7716528727808645E-3</v>
      </c>
      <c r="Y48" s="27">
        <f t="shared" si="24"/>
        <v>0</v>
      </c>
      <c r="Z48" s="27">
        <f t="shared" si="25"/>
        <v>1.0408921933085501E-2</v>
      </c>
      <c r="AA48" s="20">
        <f t="shared" si="26"/>
        <v>-1.1999999999999983E-2</v>
      </c>
      <c r="AB48" s="21">
        <f t="shared" si="27"/>
        <v>-1.1999999999999983E-2</v>
      </c>
    </row>
    <row r="49" spans="1:28">
      <c r="A49" s="201">
        <v>41</v>
      </c>
      <c r="B49" s="200" t="s">
        <v>92</v>
      </c>
      <c r="C49" s="12" t="s">
        <v>37</v>
      </c>
      <c r="D49" s="13" t="s">
        <v>23</v>
      </c>
      <c r="E49" s="203">
        <v>72324451657.389999</v>
      </c>
      <c r="F49" s="24">
        <f t="shared" si="40"/>
        <v>1.1360303381055897E-2</v>
      </c>
      <c r="G49" s="13" t="s">
        <v>23</v>
      </c>
      <c r="H49" s="231">
        <v>1</v>
      </c>
      <c r="I49" s="13" t="s">
        <v>23</v>
      </c>
      <c r="J49" s="231">
        <v>1</v>
      </c>
      <c r="K49" s="223">
        <v>4408</v>
      </c>
      <c r="L49" s="197">
        <v>0.2369</v>
      </c>
      <c r="M49" s="197">
        <v>0.2369</v>
      </c>
      <c r="N49" s="13" t="s">
        <v>23</v>
      </c>
      <c r="O49" s="55">
        <v>71444085585.619995</v>
      </c>
      <c r="P49" s="24">
        <f t="shared" si="39"/>
        <v>1.1222020609012595E-2</v>
      </c>
      <c r="Q49" s="13" t="s">
        <v>23</v>
      </c>
      <c r="R49" s="41">
        <v>1</v>
      </c>
      <c r="S49" s="13" t="s">
        <v>23</v>
      </c>
      <c r="T49" s="41">
        <v>1</v>
      </c>
      <c r="U49" s="25">
        <v>4412</v>
      </c>
      <c r="V49" s="56">
        <v>0.16639999999999999</v>
      </c>
      <c r="W49" s="56">
        <v>0.16639999999999999</v>
      </c>
      <c r="X49" s="27">
        <f>((O49-E49)/E49)</f>
        <v>-1.2172454150643393E-2</v>
      </c>
      <c r="Y49" s="27">
        <f>((T49-J49)/J49)</f>
        <v>0</v>
      </c>
      <c r="Z49" s="27">
        <f>((U49-K49)/K49)</f>
        <v>9.0744101633393826E-4</v>
      </c>
      <c r="AA49" s="20">
        <f>V49-L49</f>
        <v>-7.0500000000000007E-2</v>
      </c>
      <c r="AB49" s="21">
        <f>W49-M49</f>
        <v>-7.0500000000000007E-2</v>
      </c>
    </row>
    <row r="50" spans="1:28">
      <c r="A50" s="201">
        <v>42</v>
      </c>
      <c r="B50" s="200" t="s">
        <v>93</v>
      </c>
      <c r="C50" s="12" t="s">
        <v>39</v>
      </c>
      <c r="D50" s="13" t="s">
        <v>23</v>
      </c>
      <c r="E50" s="203">
        <v>747851687025.52002</v>
      </c>
      <c r="F50" s="24">
        <f t="shared" si="40"/>
        <v>0.11746818474186499</v>
      </c>
      <c r="G50" s="13" t="s">
        <v>23</v>
      </c>
      <c r="H50" s="231">
        <v>100</v>
      </c>
      <c r="I50" s="13" t="s">
        <v>23</v>
      </c>
      <c r="J50" s="231">
        <v>100</v>
      </c>
      <c r="K50" s="223">
        <v>44202</v>
      </c>
      <c r="L50" s="197">
        <v>0.1545</v>
      </c>
      <c r="M50" s="197">
        <v>0.1545</v>
      </c>
      <c r="N50" s="13" t="s">
        <v>23</v>
      </c>
      <c r="O50" s="55">
        <v>752492298182.66003</v>
      </c>
      <c r="P50" s="24">
        <f t="shared" si="39"/>
        <v>0.11819710489833377</v>
      </c>
      <c r="Q50" s="13" t="s">
        <v>23</v>
      </c>
      <c r="R50" s="41">
        <v>100</v>
      </c>
      <c r="S50" s="13" t="s">
        <v>23</v>
      </c>
      <c r="T50" s="41">
        <v>100</v>
      </c>
      <c r="U50" s="25">
        <v>44420</v>
      </c>
      <c r="V50" s="56">
        <v>0.15709999999999999</v>
      </c>
      <c r="W50" s="56">
        <v>0.15709999999999999</v>
      </c>
      <c r="X50" s="27">
        <f t="shared" si="23"/>
        <v>6.2052559854446866E-3</v>
      </c>
      <c r="Y50" s="27">
        <f t="shared" si="24"/>
        <v>0</v>
      </c>
      <c r="Z50" s="27">
        <f t="shared" si="25"/>
        <v>4.9319035337767525E-3</v>
      </c>
      <c r="AA50" s="20">
        <f t="shared" si="26"/>
        <v>2.5999999999999912E-3</v>
      </c>
      <c r="AB50" s="21">
        <f t="shared" si="27"/>
        <v>2.5999999999999912E-3</v>
      </c>
    </row>
    <row r="51" spans="1:28">
      <c r="A51" s="201">
        <v>43</v>
      </c>
      <c r="B51" s="200" t="s">
        <v>94</v>
      </c>
      <c r="C51" s="12" t="s">
        <v>95</v>
      </c>
      <c r="D51" s="13" t="s">
        <v>23</v>
      </c>
      <c r="E51" s="212">
        <v>10979042847.73</v>
      </c>
      <c r="F51" s="24">
        <f t="shared" si="40"/>
        <v>1.7245240679412805E-3</v>
      </c>
      <c r="G51" s="13" t="s">
        <v>23</v>
      </c>
      <c r="H51" s="231">
        <v>1</v>
      </c>
      <c r="I51" s="13" t="s">
        <v>23</v>
      </c>
      <c r="J51" s="231">
        <v>1</v>
      </c>
      <c r="K51" s="227">
        <v>2734</v>
      </c>
      <c r="L51" s="224">
        <v>0.1789</v>
      </c>
      <c r="M51" s="224">
        <v>0.1789</v>
      </c>
      <c r="N51" s="13" t="s">
        <v>23</v>
      </c>
      <c r="O51" s="60">
        <v>11737765337.530001</v>
      </c>
      <c r="P51" s="24">
        <f t="shared" si="39"/>
        <v>1.8436997750311715E-3</v>
      </c>
      <c r="Q51" s="13" t="s">
        <v>23</v>
      </c>
      <c r="R51" s="41">
        <v>1</v>
      </c>
      <c r="S51" s="13" t="s">
        <v>23</v>
      </c>
      <c r="T51" s="41">
        <v>1</v>
      </c>
      <c r="U51" s="61">
        <v>2782</v>
      </c>
      <c r="V51" s="62">
        <v>0.17960000000000001</v>
      </c>
      <c r="W51" s="62">
        <v>0.17960000000000001</v>
      </c>
      <c r="X51" s="27">
        <f t="shared" si="23"/>
        <v>6.910643307643824E-2</v>
      </c>
      <c r="Y51" s="27">
        <f t="shared" si="24"/>
        <v>0</v>
      </c>
      <c r="Z51" s="27">
        <f t="shared" si="25"/>
        <v>1.755669348939283E-2</v>
      </c>
      <c r="AA51" s="20">
        <f t="shared" si="26"/>
        <v>7.0000000000000617E-4</v>
      </c>
      <c r="AB51" s="21">
        <f t="shared" si="27"/>
        <v>7.0000000000000617E-4</v>
      </c>
    </row>
    <row r="52" spans="1:28">
      <c r="A52" s="201">
        <v>44</v>
      </c>
      <c r="B52" s="200" t="s">
        <v>96</v>
      </c>
      <c r="C52" s="12" t="s">
        <v>97</v>
      </c>
      <c r="D52" s="13" t="s">
        <v>23</v>
      </c>
      <c r="E52" s="203">
        <v>6248329917.0900002</v>
      </c>
      <c r="F52" s="24">
        <f t="shared" si="40"/>
        <v>9.8145124997732805E-4</v>
      </c>
      <c r="G52" s="13" t="s">
        <v>23</v>
      </c>
      <c r="H52" s="231">
        <v>1</v>
      </c>
      <c r="I52" s="13" t="s">
        <v>23</v>
      </c>
      <c r="J52" s="231">
        <v>1</v>
      </c>
      <c r="K52" s="227">
        <v>1041</v>
      </c>
      <c r="L52" s="224">
        <v>0.15</v>
      </c>
      <c r="M52" s="224">
        <v>0.15</v>
      </c>
      <c r="N52" s="13" t="s">
        <v>23</v>
      </c>
      <c r="O52" s="54">
        <v>7549846728.4300003</v>
      </c>
      <c r="P52" s="24">
        <f t="shared" si="39"/>
        <v>1.185885925851654E-3</v>
      </c>
      <c r="Q52" s="13" t="s">
        <v>23</v>
      </c>
      <c r="R52" s="41">
        <v>1</v>
      </c>
      <c r="S52" s="13" t="s">
        <v>23</v>
      </c>
      <c r="T52" s="41">
        <v>1</v>
      </c>
      <c r="U52" s="61">
        <v>1067</v>
      </c>
      <c r="V52" s="62">
        <v>0.15</v>
      </c>
      <c r="W52" s="62">
        <v>0.15</v>
      </c>
      <c r="X52" s="27">
        <f t="shared" si="23"/>
        <v>0.20829834989669502</v>
      </c>
      <c r="Y52" s="27">
        <f t="shared" si="24"/>
        <v>0</v>
      </c>
      <c r="Z52" s="27">
        <f t="shared" si="25"/>
        <v>2.4975984630163303E-2</v>
      </c>
      <c r="AA52" s="20">
        <f t="shared" si="26"/>
        <v>0</v>
      </c>
      <c r="AB52" s="21">
        <f t="shared" si="27"/>
        <v>0</v>
      </c>
    </row>
    <row r="53" spans="1:28">
      <c r="A53" s="201">
        <v>45</v>
      </c>
      <c r="B53" s="200" t="s">
        <v>98</v>
      </c>
      <c r="C53" s="12" t="s">
        <v>99</v>
      </c>
      <c r="D53" s="13" t="s">
        <v>23</v>
      </c>
      <c r="E53" s="203">
        <v>63710000</v>
      </c>
      <c r="F53" s="24">
        <f t="shared" si="40"/>
        <v>1.0007195517162528E-5</v>
      </c>
      <c r="G53" s="13" t="s">
        <v>23</v>
      </c>
      <c r="H53" s="231">
        <v>1</v>
      </c>
      <c r="I53" s="13" t="s">
        <v>23</v>
      </c>
      <c r="J53" s="231">
        <v>1</v>
      </c>
      <c r="K53" s="227">
        <v>32</v>
      </c>
      <c r="L53" s="224">
        <v>0.105</v>
      </c>
      <c r="M53" s="224">
        <v>0.105</v>
      </c>
      <c r="N53" s="13" t="s">
        <v>23</v>
      </c>
      <c r="O53" s="54">
        <v>64312619</v>
      </c>
      <c r="P53" s="24">
        <f t="shared" si="39"/>
        <v>1.0101851397799115E-5</v>
      </c>
      <c r="Q53" s="13" t="s">
        <v>23</v>
      </c>
      <c r="R53" s="41">
        <v>1</v>
      </c>
      <c r="S53" s="13" t="s">
        <v>23</v>
      </c>
      <c r="T53" s="41">
        <v>1</v>
      </c>
      <c r="U53" s="61">
        <v>31</v>
      </c>
      <c r="V53" s="62">
        <v>0.105</v>
      </c>
      <c r="W53" s="62">
        <v>0.105</v>
      </c>
      <c r="X53" s="27">
        <f t="shared" si="23"/>
        <v>9.4587819808507299E-3</v>
      </c>
      <c r="Y53" s="27">
        <f t="shared" si="24"/>
        <v>0</v>
      </c>
      <c r="Z53" s="27">
        <f t="shared" si="25"/>
        <v>-3.125E-2</v>
      </c>
      <c r="AA53" s="20">
        <f t="shared" si="26"/>
        <v>0</v>
      </c>
      <c r="AB53" s="21">
        <f t="shared" si="27"/>
        <v>0</v>
      </c>
    </row>
    <row r="54" spans="1:28">
      <c r="A54" s="201">
        <v>46</v>
      </c>
      <c r="B54" s="207" t="s">
        <v>100</v>
      </c>
      <c r="C54" s="12" t="s">
        <v>101</v>
      </c>
      <c r="D54" s="13" t="s">
        <v>23</v>
      </c>
      <c r="E54" s="203">
        <v>2219542495.4000001</v>
      </c>
      <c r="F54" s="24">
        <f t="shared" si="40"/>
        <v>3.4863280034717648E-4</v>
      </c>
      <c r="G54" s="13" t="s">
        <v>23</v>
      </c>
      <c r="H54" s="231">
        <v>10</v>
      </c>
      <c r="I54" s="13" t="s">
        <v>23</v>
      </c>
      <c r="J54" s="231">
        <v>10</v>
      </c>
      <c r="K54" s="223">
        <v>592</v>
      </c>
      <c r="L54" s="197">
        <v>0.1638</v>
      </c>
      <c r="M54" s="197">
        <v>0.1638</v>
      </c>
      <c r="N54" s="13" t="s">
        <v>23</v>
      </c>
      <c r="O54" s="54">
        <v>2276126862.27</v>
      </c>
      <c r="P54" s="24">
        <f t="shared" si="39"/>
        <v>3.5752074293833868E-4</v>
      </c>
      <c r="Q54" s="13" t="s">
        <v>23</v>
      </c>
      <c r="R54" s="41">
        <v>10</v>
      </c>
      <c r="S54" s="13" t="s">
        <v>23</v>
      </c>
      <c r="T54" s="41">
        <v>10</v>
      </c>
      <c r="U54" s="25">
        <v>596</v>
      </c>
      <c r="V54" s="26">
        <v>0.1633</v>
      </c>
      <c r="W54" s="26">
        <v>0.1633</v>
      </c>
      <c r="X54" s="27">
        <f t="shared" si="23"/>
        <v>2.5493707368645088E-2</v>
      </c>
      <c r="Y54" s="27">
        <f t="shared" si="24"/>
        <v>0</v>
      </c>
      <c r="Z54" s="27">
        <f t="shared" si="25"/>
        <v>6.7567567567567571E-3</v>
      </c>
      <c r="AA54" s="20">
        <f t="shared" si="26"/>
        <v>-5.0000000000000044E-4</v>
      </c>
      <c r="AB54" s="21">
        <f t="shared" si="27"/>
        <v>-5.0000000000000044E-4</v>
      </c>
    </row>
    <row r="55" spans="1:28">
      <c r="A55" s="201">
        <v>47</v>
      </c>
      <c r="B55" s="200" t="s">
        <v>102</v>
      </c>
      <c r="C55" s="12" t="s">
        <v>103</v>
      </c>
      <c r="D55" s="13" t="s">
        <v>23</v>
      </c>
      <c r="E55" s="203">
        <v>15357759168.309999</v>
      </c>
      <c r="F55" s="24">
        <f t="shared" si="40"/>
        <v>2.4123073097280421E-3</v>
      </c>
      <c r="G55" s="13" t="s">
        <v>23</v>
      </c>
      <c r="H55" s="231">
        <v>100</v>
      </c>
      <c r="I55" s="13" t="s">
        <v>23</v>
      </c>
      <c r="J55" s="231">
        <v>100</v>
      </c>
      <c r="K55" s="223">
        <v>1143</v>
      </c>
      <c r="L55" s="197">
        <v>0.1908</v>
      </c>
      <c r="M55" s="197">
        <v>0.1908</v>
      </c>
      <c r="N55" s="13" t="s">
        <v>23</v>
      </c>
      <c r="O55" s="54">
        <v>15265460163.93</v>
      </c>
      <c r="P55" s="24">
        <f t="shared" si="39"/>
        <v>2.3978095200110415E-3</v>
      </c>
      <c r="Q55" s="13" t="s">
        <v>23</v>
      </c>
      <c r="R55" s="41">
        <v>100</v>
      </c>
      <c r="S55" s="13" t="s">
        <v>23</v>
      </c>
      <c r="T55" s="41">
        <v>100</v>
      </c>
      <c r="U55" s="25">
        <v>1144</v>
      </c>
      <c r="V55" s="26">
        <v>0.1946</v>
      </c>
      <c r="W55" s="26">
        <v>0.1946</v>
      </c>
      <c r="X55" s="27">
        <f t="shared" si="23"/>
        <v>-6.0099265373592869E-3</v>
      </c>
      <c r="Y55" s="27">
        <f t="shared" si="24"/>
        <v>0</v>
      </c>
      <c r="Z55" s="27">
        <f t="shared" si="25"/>
        <v>8.7489063867016625E-4</v>
      </c>
      <c r="AA55" s="20">
        <f t="shared" si="26"/>
        <v>3.7999999999999978E-3</v>
      </c>
      <c r="AB55" s="21">
        <f t="shared" si="27"/>
        <v>3.7999999999999978E-3</v>
      </c>
    </row>
    <row r="56" spans="1:28">
      <c r="A56" s="201">
        <v>48</v>
      </c>
      <c r="B56" s="200" t="s">
        <v>104</v>
      </c>
      <c r="C56" s="37" t="s">
        <v>105</v>
      </c>
      <c r="D56" s="13" t="s">
        <v>23</v>
      </c>
      <c r="E56" s="213">
        <v>226183843.52000001</v>
      </c>
      <c r="F56" s="24">
        <v>0</v>
      </c>
      <c r="G56" s="13" t="s">
        <v>23</v>
      </c>
      <c r="H56" s="211">
        <v>1</v>
      </c>
      <c r="I56" s="13" t="s">
        <v>23</v>
      </c>
      <c r="J56" s="211">
        <v>1</v>
      </c>
      <c r="K56" s="223">
        <v>166</v>
      </c>
      <c r="L56" s="197">
        <v>0.1646</v>
      </c>
      <c r="M56" s="197">
        <v>0.1646</v>
      </c>
      <c r="N56" s="13" t="s">
        <v>23</v>
      </c>
      <c r="O56" s="63">
        <v>232347056.78</v>
      </c>
      <c r="P56" s="64">
        <f>(O56/$O$207)</f>
        <v>1.4888653855493305E-3</v>
      </c>
      <c r="Q56" s="13" t="s">
        <v>23</v>
      </c>
      <c r="R56" s="23">
        <v>1</v>
      </c>
      <c r="S56" s="13" t="s">
        <v>23</v>
      </c>
      <c r="T56" s="23">
        <v>1</v>
      </c>
      <c r="U56" s="25">
        <v>167</v>
      </c>
      <c r="V56" s="26">
        <v>0.14910000000000001</v>
      </c>
      <c r="W56" s="56">
        <v>0.14910000000000001</v>
      </c>
      <c r="X56" s="20">
        <f t="shared" si="23"/>
        <v>2.7248689225917309E-2</v>
      </c>
      <c r="Y56" s="20">
        <f t="shared" si="24"/>
        <v>0</v>
      </c>
      <c r="Z56" s="20">
        <f t="shared" si="25"/>
        <v>6.024096385542169E-3</v>
      </c>
      <c r="AA56" s="20">
        <f t="shared" si="26"/>
        <v>-1.5499999999999986E-2</v>
      </c>
      <c r="AB56" s="21">
        <f t="shared" si="27"/>
        <v>-1.5499999999999986E-2</v>
      </c>
    </row>
    <row r="57" spans="1:28">
      <c r="A57" s="201">
        <v>49</v>
      </c>
      <c r="B57" s="200" t="s">
        <v>106</v>
      </c>
      <c r="C57" s="12" t="s">
        <v>45</v>
      </c>
      <c r="D57" s="13" t="s">
        <v>23</v>
      </c>
      <c r="E57" s="203">
        <v>6109077646.3400002</v>
      </c>
      <c r="F57" s="24">
        <f t="shared" ref="F57:F78" si="41">(E57/$O$79)</f>
        <v>9.5957831480853026E-4</v>
      </c>
      <c r="G57" s="13" t="s">
        <v>23</v>
      </c>
      <c r="H57" s="231">
        <v>100</v>
      </c>
      <c r="I57" s="13" t="s">
        <v>23</v>
      </c>
      <c r="J57" s="231">
        <v>100</v>
      </c>
      <c r="K57" s="223">
        <v>24345</v>
      </c>
      <c r="L57" s="197">
        <v>0.15490000000000001</v>
      </c>
      <c r="M57" s="197">
        <v>0.15490000000000001</v>
      </c>
      <c r="N57" s="13" t="s">
        <v>23</v>
      </c>
      <c r="O57" s="54">
        <v>6257364693.5</v>
      </c>
      <c r="P57" s="24">
        <f t="shared" ref="P57:P71" si="42">(O57/$O$79)</f>
        <v>9.8287038000383423E-4</v>
      </c>
      <c r="Q57" s="13" t="s">
        <v>23</v>
      </c>
      <c r="R57" s="41">
        <v>100</v>
      </c>
      <c r="S57" s="13" t="s">
        <v>23</v>
      </c>
      <c r="T57" s="41">
        <v>100</v>
      </c>
      <c r="U57" s="25">
        <v>26060</v>
      </c>
      <c r="V57" s="26">
        <v>0.16123061999999999</v>
      </c>
      <c r="W57" s="26">
        <v>0.16123061999999999</v>
      </c>
      <c r="X57" s="27">
        <f t="shared" ref="X57" si="43">((O57-E57)/E57)</f>
        <v>2.4273230059342898E-2</v>
      </c>
      <c r="Y57" s="27">
        <f t="shared" ref="Y57" si="44">((T57-J57)/J57)</f>
        <v>0</v>
      </c>
      <c r="Z57" s="27">
        <f t="shared" ref="Z57" si="45">((U57-K57)/K57)</f>
        <v>7.0445676730334778E-2</v>
      </c>
      <c r="AA57" s="20">
        <f t="shared" ref="AA57" si="46">V57-L57</f>
        <v>6.3306199999999813E-3</v>
      </c>
      <c r="AB57" s="21">
        <f t="shared" ref="AB57" si="47">W57-M57</f>
        <v>6.3306199999999813E-3</v>
      </c>
    </row>
    <row r="58" spans="1:28">
      <c r="A58" s="201">
        <v>50</v>
      </c>
      <c r="B58" s="200" t="s">
        <v>107</v>
      </c>
      <c r="C58" s="12" t="s">
        <v>45</v>
      </c>
      <c r="D58" s="13" t="s">
        <v>23</v>
      </c>
      <c r="E58" s="203">
        <v>586806506169.02612</v>
      </c>
      <c r="F58" s="24">
        <f t="shared" si="41"/>
        <v>9.2172146256105536E-2</v>
      </c>
      <c r="G58" s="13" t="s">
        <v>23</v>
      </c>
      <c r="H58" s="231">
        <v>100</v>
      </c>
      <c r="I58" s="13" t="s">
        <v>23</v>
      </c>
      <c r="J58" s="231">
        <v>100</v>
      </c>
      <c r="K58" s="223">
        <v>61073</v>
      </c>
      <c r="L58" s="197">
        <v>0.16950000000000001</v>
      </c>
      <c r="M58" s="197">
        <v>0.16950000000000001</v>
      </c>
      <c r="N58" s="13" t="s">
        <v>23</v>
      </c>
      <c r="O58" s="54">
        <v>594565709220.49658</v>
      </c>
      <c r="P58" s="24">
        <f t="shared" si="42"/>
        <v>9.3390916653114317E-2</v>
      </c>
      <c r="Q58" s="13" t="s">
        <v>23</v>
      </c>
      <c r="R58" s="41">
        <v>100</v>
      </c>
      <c r="S58" s="13" t="s">
        <v>23</v>
      </c>
      <c r="T58" s="41">
        <v>100</v>
      </c>
      <c r="U58" s="25">
        <v>62451</v>
      </c>
      <c r="V58" s="26">
        <v>0.1746383</v>
      </c>
      <c r="W58" s="26">
        <v>0.1746383</v>
      </c>
      <c r="X58" s="27">
        <f t="shared" si="23"/>
        <v>1.3222762477748444E-2</v>
      </c>
      <c r="Y58" s="27">
        <f t="shared" si="24"/>
        <v>0</v>
      </c>
      <c r="Z58" s="27">
        <f t="shared" si="25"/>
        <v>2.2563162117465983E-2</v>
      </c>
      <c r="AA58" s="20">
        <f t="shared" si="26"/>
        <v>5.1382999999999845E-3</v>
      </c>
      <c r="AB58" s="21">
        <f t="shared" si="27"/>
        <v>5.1382999999999845E-3</v>
      </c>
    </row>
    <row r="59" spans="1:28">
      <c r="A59" s="201">
        <v>51</v>
      </c>
      <c r="B59" s="200" t="s">
        <v>108</v>
      </c>
      <c r="C59" s="12" t="s">
        <v>109</v>
      </c>
      <c r="D59" s="13" t="s">
        <v>23</v>
      </c>
      <c r="E59" s="203">
        <v>6990239447.9239998</v>
      </c>
      <c r="F59" s="24">
        <f t="shared" si="41"/>
        <v>1.0979860754537392E-3</v>
      </c>
      <c r="G59" s="13" t="s">
        <v>23</v>
      </c>
      <c r="H59" s="231">
        <v>100</v>
      </c>
      <c r="I59" s="13" t="s">
        <v>23</v>
      </c>
      <c r="J59" s="231">
        <v>100</v>
      </c>
      <c r="K59" s="223">
        <v>1210</v>
      </c>
      <c r="L59" s="197">
        <v>0.1666</v>
      </c>
      <c r="M59" s="197">
        <v>0.1666</v>
      </c>
      <c r="N59" s="13" t="s">
        <v>23</v>
      </c>
      <c r="O59" s="54">
        <v>6990239447.9239998</v>
      </c>
      <c r="P59" s="24">
        <f t="shared" si="42"/>
        <v>1.0979860754537392E-3</v>
      </c>
      <c r="Q59" s="13" t="s">
        <v>23</v>
      </c>
      <c r="R59" s="41">
        <v>100</v>
      </c>
      <c r="S59" s="13" t="s">
        <v>23</v>
      </c>
      <c r="T59" s="41">
        <v>100</v>
      </c>
      <c r="U59" s="25">
        <v>1210</v>
      </c>
      <c r="V59" s="26">
        <v>0.1666</v>
      </c>
      <c r="W59" s="26">
        <v>0.1666</v>
      </c>
      <c r="X59" s="27">
        <f t="shared" si="23"/>
        <v>0</v>
      </c>
      <c r="Y59" s="27">
        <f t="shared" si="24"/>
        <v>0</v>
      </c>
      <c r="Z59" s="27">
        <f t="shared" si="25"/>
        <v>0</v>
      </c>
      <c r="AA59" s="20">
        <f t="shared" si="26"/>
        <v>0</v>
      </c>
      <c r="AB59" s="21">
        <f t="shared" si="27"/>
        <v>0</v>
      </c>
    </row>
    <row r="60" spans="1:28">
      <c r="A60" s="201">
        <v>52</v>
      </c>
      <c r="B60" s="207" t="s">
        <v>110</v>
      </c>
      <c r="C60" s="12" t="s">
        <v>49</v>
      </c>
      <c r="D60" s="13" t="s">
        <v>23</v>
      </c>
      <c r="E60" s="212">
        <v>129797001900.60001</v>
      </c>
      <c r="F60" s="24">
        <f t="shared" si="41"/>
        <v>2.03877566404147E-2</v>
      </c>
      <c r="G60" s="13" t="s">
        <v>23</v>
      </c>
      <c r="H60" s="231">
        <v>10</v>
      </c>
      <c r="I60" s="13" t="s">
        <v>23</v>
      </c>
      <c r="J60" s="231">
        <v>10</v>
      </c>
      <c r="K60" s="223">
        <v>12374</v>
      </c>
      <c r="L60" s="197">
        <v>0.1734</v>
      </c>
      <c r="M60" s="197">
        <v>0.1734</v>
      </c>
      <c r="N60" s="13" t="s">
        <v>23</v>
      </c>
      <c r="O60" s="60">
        <v>133560780483.25</v>
      </c>
      <c r="P60" s="24">
        <f t="shared" si="42"/>
        <v>2.0978949046000752E-2</v>
      </c>
      <c r="Q60" s="13" t="s">
        <v>23</v>
      </c>
      <c r="R60" s="41">
        <v>10</v>
      </c>
      <c r="S60" s="13" t="s">
        <v>23</v>
      </c>
      <c r="T60" s="41">
        <v>10</v>
      </c>
      <c r="U60" s="25">
        <v>12682</v>
      </c>
      <c r="V60" s="26">
        <v>0.17849999999999999</v>
      </c>
      <c r="W60" s="26">
        <v>0.17849999999999999</v>
      </c>
      <c r="X60" s="27">
        <f t="shared" si="23"/>
        <v>2.8997423110992484E-2</v>
      </c>
      <c r="Y60" s="27">
        <f t="shared" si="24"/>
        <v>0</v>
      </c>
      <c r="Z60" s="27">
        <f t="shared" si="25"/>
        <v>2.489090027476968E-2</v>
      </c>
      <c r="AA60" s="20">
        <f t="shared" si="26"/>
        <v>5.0999999999999934E-3</v>
      </c>
      <c r="AB60" s="21">
        <f t="shared" si="27"/>
        <v>5.0999999999999934E-3</v>
      </c>
    </row>
    <row r="61" spans="1:28">
      <c r="A61" s="201">
        <v>53</v>
      </c>
      <c r="B61" s="200" t="s">
        <v>111</v>
      </c>
      <c r="C61" s="12" t="s">
        <v>112</v>
      </c>
      <c r="D61" s="13" t="s">
        <v>23</v>
      </c>
      <c r="E61" s="212">
        <v>713676832.42999995</v>
      </c>
      <c r="F61" s="24">
        <f t="shared" si="41"/>
        <v>1.1210019774283862E-4</v>
      </c>
      <c r="G61" s="13" t="s">
        <v>23</v>
      </c>
      <c r="H61" s="231">
        <v>1</v>
      </c>
      <c r="I61" s="13" t="s">
        <v>23</v>
      </c>
      <c r="J61" s="231">
        <v>1</v>
      </c>
      <c r="K61" s="223">
        <v>382</v>
      </c>
      <c r="L61" s="197">
        <v>0.1908</v>
      </c>
      <c r="M61" s="197">
        <v>0.1908</v>
      </c>
      <c r="N61" s="13" t="s">
        <v>23</v>
      </c>
      <c r="O61" s="60">
        <v>826067209.86000001</v>
      </c>
      <c r="P61" s="24">
        <f t="shared" si="42"/>
        <v>1.2975382325201618E-4</v>
      </c>
      <c r="Q61" s="13" t="s">
        <v>23</v>
      </c>
      <c r="R61" s="41">
        <v>1</v>
      </c>
      <c r="S61" s="13" t="s">
        <v>23</v>
      </c>
      <c r="T61" s="41">
        <v>1</v>
      </c>
      <c r="U61" s="25">
        <v>384</v>
      </c>
      <c r="V61" s="26">
        <v>0.19059999999999999</v>
      </c>
      <c r="W61" s="26">
        <v>0.19059999999999999</v>
      </c>
      <c r="X61" s="27">
        <f t="shared" ref="X61" si="48">((O61-E61)/E61)</f>
        <v>0.15748077045925926</v>
      </c>
      <c r="Y61" s="27">
        <f t="shared" ref="Y61" si="49">((T61-J61)/J61)</f>
        <v>0</v>
      </c>
      <c r="Z61" s="27">
        <f t="shared" ref="Z61" si="50">((U61-K61)/K61)</f>
        <v>5.235602094240838E-3</v>
      </c>
      <c r="AA61" s="20">
        <f t="shared" ref="AA61" si="51">V61-L61</f>
        <v>-2.0000000000000573E-4</v>
      </c>
      <c r="AB61" s="21">
        <f t="shared" ref="AB61" si="52">W61-M61</f>
        <v>-2.0000000000000573E-4</v>
      </c>
    </row>
    <row r="62" spans="1:28">
      <c r="A62" s="201">
        <v>54</v>
      </c>
      <c r="B62" s="200" t="s">
        <v>113</v>
      </c>
      <c r="C62" s="12" t="s">
        <v>114</v>
      </c>
      <c r="D62" s="13" t="s">
        <v>23</v>
      </c>
      <c r="E62" s="203">
        <v>49081784312.730003</v>
      </c>
      <c r="F62" s="24">
        <f t="shared" si="41"/>
        <v>7.709480645874899E-3</v>
      </c>
      <c r="G62" s="13" t="s">
        <v>23</v>
      </c>
      <c r="H62" s="231">
        <v>100</v>
      </c>
      <c r="I62" s="13" t="s">
        <v>23</v>
      </c>
      <c r="J62" s="231">
        <v>100</v>
      </c>
      <c r="K62" s="223">
        <v>7143</v>
      </c>
      <c r="L62" s="197">
        <v>0.17369999999999999</v>
      </c>
      <c r="M62" s="197">
        <v>0.17369999999999999</v>
      </c>
      <c r="N62" s="13" t="s">
        <v>23</v>
      </c>
      <c r="O62" s="55">
        <v>49533955713</v>
      </c>
      <c r="P62" s="24">
        <f t="shared" si="42"/>
        <v>7.7805050943095403E-3</v>
      </c>
      <c r="Q62" s="13" t="s">
        <v>23</v>
      </c>
      <c r="R62" s="41">
        <v>100</v>
      </c>
      <c r="S62" s="13" t="s">
        <v>23</v>
      </c>
      <c r="T62" s="41">
        <v>100</v>
      </c>
      <c r="U62" s="25">
        <v>7218</v>
      </c>
      <c r="V62" s="56">
        <v>0.17280000000000001</v>
      </c>
      <c r="W62" s="26">
        <v>0.17280000000000001</v>
      </c>
      <c r="X62" s="27">
        <f t="shared" si="23"/>
        <v>9.2126112895353739E-3</v>
      </c>
      <c r="Y62" s="27">
        <f t="shared" si="24"/>
        <v>0</v>
      </c>
      <c r="Z62" s="27">
        <f t="shared" si="25"/>
        <v>1.0499790004199917E-2</v>
      </c>
      <c r="AA62" s="20">
        <f t="shared" si="26"/>
        <v>-8.9999999999998415E-4</v>
      </c>
      <c r="AB62" s="21">
        <f t="shared" si="27"/>
        <v>-8.9999999999998415E-4</v>
      </c>
    </row>
    <row r="63" spans="1:28">
      <c r="A63" s="201">
        <v>55</v>
      </c>
      <c r="B63" s="200" t="s">
        <v>115</v>
      </c>
      <c r="C63" s="12" t="s">
        <v>116</v>
      </c>
      <c r="D63" s="13" t="s">
        <v>23</v>
      </c>
      <c r="E63" s="203">
        <v>217429819.24000001</v>
      </c>
      <c r="F63" s="24">
        <f t="shared" si="41"/>
        <v>3.4152608890221115E-5</v>
      </c>
      <c r="G63" s="13" t="s">
        <v>23</v>
      </c>
      <c r="H63" s="231">
        <v>1.01</v>
      </c>
      <c r="I63" s="13" t="s">
        <v>23</v>
      </c>
      <c r="J63" s="231">
        <v>1.01</v>
      </c>
      <c r="K63" s="223">
        <v>145</v>
      </c>
      <c r="L63" s="197">
        <v>0.1449</v>
      </c>
      <c r="M63" s="197">
        <v>0.1449</v>
      </c>
      <c r="N63" s="13" t="s">
        <v>23</v>
      </c>
      <c r="O63" s="195">
        <v>217547999.61000001</v>
      </c>
      <c r="P63" s="24">
        <f t="shared" si="42"/>
        <v>3.4171171974020841E-5</v>
      </c>
      <c r="Q63" s="13" t="s">
        <v>23</v>
      </c>
      <c r="R63" s="41">
        <v>1.01</v>
      </c>
      <c r="S63" s="13" t="s">
        <v>23</v>
      </c>
      <c r="T63" s="41">
        <v>1.01</v>
      </c>
      <c r="U63" s="25">
        <v>150</v>
      </c>
      <c r="V63" s="56">
        <v>0.14749999999999999</v>
      </c>
      <c r="W63" s="26">
        <v>0.14749999999999999</v>
      </c>
      <c r="X63" s="27">
        <f t="shared" si="23"/>
        <v>5.4353340499978405E-4</v>
      </c>
      <c r="Y63" s="27">
        <f t="shared" si="24"/>
        <v>0</v>
      </c>
      <c r="Z63" s="27">
        <f t="shared" si="25"/>
        <v>3.4482758620689655E-2</v>
      </c>
      <c r="AA63" s="20">
        <f t="shared" si="26"/>
        <v>2.5999999999999912E-3</v>
      </c>
      <c r="AB63" s="21">
        <f t="shared" si="27"/>
        <v>2.5999999999999912E-3</v>
      </c>
    </row>
    <row r="64" spans="1:28">
      <c r="A64" s="201">
        <v>56</v>
      </c>
      <c r="B64" s="207" t="s">
        <v>117</v>
      </c>
      <c r="C64" s="12" t="s">
        <v>51</v>
      </c>
      <c r="D64" s="13" t="s">
        <v>23</v>
      </c>
      <c r="E64" s="212">
        <v>3188476994.5300002</v>
      </c>
      <c r="F64" s="24">
        <f t="shared" si="41"/>
        <v>5.0082738480986455E-4</v>
      </c>
      <c r="G64" s="13" t="s">
        <v>23</v>
      </c>
      <c r="H64" s="231">
        <v>10</v>
      </c>
      <c r="I64" s="13" t="s">
        <v>23</v>
      </c>
      <c r="J64" s="231">
        <v>10</v>
      </c>
      <c r="K64" s="223">
        <v>1060</v>
      </c>
      <c r="L64" s="197">
        <v>0.17380000000000001</v>
      </c>
      <c r="M64" s="197">
        <v>0.17380000000000001</v>
      </c>
      <c r="N64" s="13" t="s">
        <v>23</v>
      </c>
      <c r="O64" s="60">
        <v>3199496383.8200002</v>
      </c>
      <c r="P64" s="24">
        <f t="shared" si="42"/>
        <v>5.0255824626183054E-4</v>
      </c>
      <c r="Q64" s="13" t="s">
        <v>23</v>
      </c>
      <c r="R64" s="41">
        <v>10</v>
      </c>
      <c r="S64" s="13" t="s">
        <v>23</v>
      </c>
      <c r="T64" s="41">
        <v>10</v>
      </c>
      <c r="U64" s="25">
        <v>1072</v>
      </c>
      <c r="V64" s="26">
        <v>0.152</v>
      </c>
      <c r="W64" s="26">
        <v>0.152</v>
      </c>
      <c r="X64" s="27">
        <f t="shared" si="23"/>
        <v>3.4560040134849028E-3</v>
      </c>
      <c r="Y64" s="27">
        <f t="shared" si="24"/>
        <v>0</v>
      </c>
      <c r="Z64" s="27">
        <f t="shared" si="25"/>
        <v>1.1320754716981131E-2</v>
      </c>
      <c r="AA64" s="20">
        <f t="shared" si="26"/>
        <v>-2.1800000000000014E-2</v>
      </c>
      <c r="AB64" s="21">
        <f t="shared" si="27"/>
        <v>-2.1800000000000014E-2</v>
      </c>
    </row>
    <row r="65" spans="1:28" ht="15.6" customHeight="1">
      <c r="A65" s="201">
        <v>57</v>
      </c>
      <c r="B65" s="200" t="s">
        <v>118</v>
      </c>
      <c r="C65" s="12" t="s">
        <v>119</v>
      </c>
      <c r="D65" s="13" t="s">
        <v>23</v>
      </c>
      <c r="E65" s="212">
        <v>2158827125</v>
      </c>
      <c r="F65" s="24">
        <f t="shared" si="41"/>
        <v>3.3909598379577572E-4</v>
      </c>
      <c r="G65" s="13" t="s">
        <v>23</v>
      </c>
      <c r="H65" s="231">
        <v>1</v>
      </c>
      <c r="I65" s="13" t="s">
        <v>23</v>
      </c>
      <c r="J65" s="231">
        <v>1</v>
      </c>
      <c r="K65" s="223">
        <v>314</v>
      </c>
      <c r="L65" s="197">
        <v>0.18410000000000001</v>
      </c>
      <c r="M65" s="197">
        <v>0.18410000000000001</v>
      </c>
      <c r="N65" s="13" t="s">
        <v>23</v>
      </c>
      <c r="O65" s="60">
        <v>2223262671</v>
      </c>
      <c r="P65" s="24">
        <f t="shared" si="42"/>
        <v>3.4921714385035299E-4</v>
      </c>
      <c r="Q65" s="13" t="s">
        <v>23</v>
      </c>
      <c r="R65" s="41">
        <v>1</v>
      </c>
      <c r="S65" s="13" t="s">
        <v>23</v>
      </c>
      <c r="T65" s="41">
        <v>1</v>
      </c>
      <c r="U65" s="25">
        <v>317</v>
      </c>
      <c r="V65" s="26">
        <v>0.18429999999999999</v>
      </c>
      <c r="W65" s="26">
        <v>0.18429999999999999</v>
      </c>
      <c r="X65" s="27">
        <f t="shared" si="23"/>
        <v>2.9847478407980445E-2</v>
      </c>
      <c r="Y65" s="27">
        <f t="shared" si="24"/>
        <v>0</v>
      </c>
      <c r="Z65" s="27">
        <f t="shared" si="25"/>
        <v>9.5541401273885346E-3</v>
      </c>
      <c r="AA65" s="20">
        <f t="shared" si="26"/>
        <v>1.9999999999997797E-4</v>
      </c>
      <c r="AB65" s="21">
        <f t="shared" si="27"/>
        <v>1.9999999999997797E-4</v>
      </c>
    </row>
    <row r="66" spans="1:28">
      <c r="A66" s="201">
        <v>58</v>
      </c>
      <c r="B66" s="200" t="s">
        <v>120</v>
      </c>
      <c r="C66" s="12" t="s">
        <v>121</v>
      </c>
      <c r="D66" s="13" t="s">
        <v>23</v>
      </c>
      <c r="E66" s="212">
        <v>2466361019.1900001</v>
      </c>
      <c r="F66" s="24">
        <f t="shared" si="41"/>
        <v>3.8740161567952559E-4</v>
      </c>
      <c r="G66" s="13" t="s">
        <v>23</v>
      </c>
      <c r="H66" s="231">
        <v>1</v>
      </c>
      <c r="I66" s="13" t="s">
        <v>23</v>
      </c>
      <c r="J66" s="231">
        <v>1</v>
      </c>
      <c r="K66" s="223">
        <v>3801</v>
      </c>
      <c r="L66" s="197">
        <v>0.1701</v>
      </c>
      <c r="M66" s="197">
        <v>0.1701</v>
      </c>
      <c r="N66" s="13" t="s">
        <v>23</v>
      </c>
      <c r="O66" s="60">
        <v>2546057405.0100174</v>
      </c>
      <c r="P66" s="24">
        <f t="shared" si="42"/>
        <v>3.9991985951741811E-4</v>
      </c>
      <c r="Q66" s="13" t="s">
        <v>23</v>
      </c>
      <c r="R66" s="41">
        <v>1</v>
      </c>
      <c r="S66" s="13" t="s">
        <v>23</v>
      </c>
      <c r="T66" s="41">
        <v>1</v>
      </c>
      <c r="U66" s="25">
        <v>3868</v>
      </c>
      <c r="V66" s="26">
        <v>0.1694</v>
      </c>
      <c r="W66" s="26">
        <v>0.1694</v>
      </c>
      <c r="X66" s="27">
        <f t="shared" si="23"/>
        <v>3.2313349586668032E-2</v>
      </c>
      <c r="Y66" s="27">
        <f t="shared" si="24"/>
        <v>0</v>
      </c>
      <c r="Z66" s="27">
        <f t="shared" si="25"/>
        <v>1.762694027887398E-2</v>
      </c>
      <c r="AA66" s="20">
        <f t="shared" si="26"/>
        <v>-7.0000000000000617E-4</v>
      </c>
      <c r="AB66" s="21">
        <f t="shared" si="27"/>
        <v>-7.0000000000000617E-4</v>
      </c>
    </row>
    <row r="67" spans="1:28">
      <c r="A67" s="201">
        <v>59</v>
      </c>
      <c r="B67" s="207" t="s">
        <v>122</v>
      </c>
      <c r="C67" s="12" t="s">
        <v>123</v>
      </c>
      <c r="D67" s="13" t="s">
        <v>23</v>
      </c>
      <c r="E67" s="212">
        <v>328249645</v>
      </c>
      <c r="F67" s="24">
        <f t="shared" si="41"/>
        <v>5.1559541295780746E-5</v>
      </c>
      <c r="G67" s="13" t="s">
        <v>23</v>
      </c>
      <c r="H67" s="231">
        <v>1</v>
      </c>
      <c r="I67" s="13" t="s">
        <v>23</v>
      </c>
      <c r="J67" s="231">
        <v>1</v>
      </c>
      <c r="K67" s="223">
        <v>55</v>
      </c>
      <c r="L67" s="197">
        <v>0.16789999999999999</v>
      </c>
      <c r="M67" s="197">
        <v>0.16789999999999999</v>
      </c>
      <c r="N67" s="13" t="s">
        <v>23</v>
      </c>
      <c r="O67" s="60">
        <v>299891172.56999999</v>
      </c>
      <c r="P67" s="24">
        <f t="shared" si="42"/>
        <v>4.7105157711177495E-5</v>
      </c>
      <c r="Q67" s="13" t="s">
        <v>23</v>
      </c>
      <c r="R67" s="41">
        <v>1</v>
      </c>
      <c r="S67" s="13" t="s">
        <v>23</v>
      </c>
      <c r="T67" s="41">
        <v>1</v>
      </c>
      <c r="U67" s="25">
        <v>54</v>
      </c>
      <c r="V67" s="56">
        <v>0.17530000000000001</v>
      </c>
      <c r="W67" s="26">
        <v>0.17530000000000001</v>
      </c>
      <c r="X67" s="27">
        <f t="shared" si="23"/>
        <v>-8.6393002588015008E-2</v>
      </c>
      <c r="Y67" s="27">
        <f t="shared" si="24"/>
        <v>0</v>
      </c>
      <c r="Z67" s="27">
        <f t="shared" si="25"/>
        <v>-1.8181818181818181E-2</v>
      </c>
      <c r="AA67" s="20">
        <f t="shared" si="26"/>
        <v>7.4000000000000177E-3</v>
      </c>
      <c r="AB67" s="21">
        <f t="shared" si="27"/>
        <v>7.4000000000000177E-3</v>
      </c>
    </row>
    <row r="68" spans="1:28">
      <c r="A68" s="201">
        <v>60</v>
      </c>
      <c r="B68" s="200" t="s">
        <v>124</v>
      </c>
      <c r="C68" s="12" t="s">
        <v>125</v>
      </c>
      <c r="D68" s="13" t="s">
        <v>23</v>
      </c>
      <c r="E68" s="212">
        <v>25284596016.370899</v>
      </c>
      <c r="F68" s="24">
        <f t="shared" si="41"/>
        <v>3.9715569911833682E-3</v>
      </c>
      <c r="G68" s="13" t="s">
        <v>23</v>
      </c>
      <c r="H68" s="231">
        <v>100</v>
      </c>
      <c r="I68" s="13" t="s">
        <v>23</v>
      </c>
      <c r="J68" s="231">
        <v>100</v>
      </c>
      <c r="K68" s="223">
        <v>168</v>
      </c>
      <c r="L68" s="197">
        <v>0.16089999999999999</v>
      </c>
      <c r="M68" s="197">
        <v>0.16089999999999999</v>
      </c>
      <c r="N68" s="13" t="s">
        <v>23</v>
      </c>
      <c r="O68" s="60">
        <v>27261164975.914402</v>
      </c>
      <c r="P68" s="24">
        <f t="shared" si="42"/>
        <v>4.2820249244953498E-3</v>
      </c>
      <c r="Q68" s="13" t="s">
        <v>23</v>
      </c>
      <c r="R68" s="41">
        <v>100</v>
      </c>
      <c r="S68" s="13" t="s">
        <v>23</v>
      </c>
      <c r="T68" s="41">
        <v>100</v>
      </c>
      <c r="U68" s="25">
        <v>169</v>
      </c>
      <c r="V68" s="26">
        <v>0.1633</v>
      </c>
      <c r="W68" s="26">
        <v>0.1633</v>
      </c>
      <c r="X68" s="27">
        <f t="shared" si="23"/>
        <v>7.817285110126905E-2</v>
      </c>
      <c r="Y68" s="27">
        <f t="shared" si="24"/>
        <v>0</v>
      </c>
      <c r="Z68" s="27">
        <f t="shared" si="25"/>
        <v>5.9523809523809521E-3</v>
      </c>
      <c r="AA68" s="20">
        <f t="shared" si="26"/>
        <v>2.4000000000000132E-3</v>
      </c>
      <c r="AB68" s="21">
        <f t="shared" si="27"/>
        <v>2.4000000000000132E-3</v>
      </c>
    </row>
    <row r="69" spans="1:28">
      <c r="A69" s="201">
        <v>61</v>
      </c>
      <c r="B69" s="200" t="s">
        <v>126</v>
      </c>
      <c r="C69" s="12" t="s">
        <v>86</v>
      </c>
      <c r="D69" s="13" t="s">
        <v>23</v>
      </c>
      <c r="E69" s="212">
        <v>503350238.64999998</v>
      </c>
      <c r="F69" s="24">
        <f t="shared" si="41"/>
        <v>7.9063322112399442E-5</v>
      </c>
      <c r="G69" s="13" t="s">
        <v>23</v>
      </c>
      <c r="H69" s="231">
        <v>1000</v>
      </c>
      <c r="I69" s="13" t="s">
        <v>23</v>
      </c>
      <c r="J69" s="231">
        <v>1000</v>
      </c>
      <c r="K69" s="223">
        <v>64</v>
      </c>
      <c r="L69" s="197">
        <v>0.20019999999999999</v>
      </c>
      <c r="M69" s="197">
        <v>0.20019999999999999</v>
      </c>
      <c r="N69" s="13" t="s">
        <v>23</v>
      </c>
      <c r="O69" s="60">
        <v>507018500</v>
      </c>
      <c r="P69" s="24">
        <f t="shared" si="42"/>
        <v>7.9639511227726724E-5</v>
      </c>
      <c r="Q69" s="13" t="s">
        <v>23</v>
      </c>
      <c r="R69" s="41">
        <v>1000</v>
      </c>
      <c r="S69" s="13" t="s">
        <v>23</v>
      </c>
      <c r="T69" s="41">
        <v>1000</v>
      </c>
      <c r="U69" s="25">
        <v>66</v>
      </c>
      <c r="V69" s="56">
        <v>0.2021</v>
      </c>
      <c r="W69" s="56">
        <v>0.2021</v>
      </c>
      <c r="X69" s="27">
        <f t="shared" si="23"/>
        <v>7.2876916872800295E-3</v>
      </c>
      <c r="Y69" s="27">
        <f t="shared" si="24"/>
        <v>0</v>
      </c>
      <c r="Z69" s="27">
        <f t="shared" si="25"/>
        <v>3.125E-2</v>
      </c>
      <c r="AA69" s="20">
        <f t="shared" si="26"/>
        <v>1.9000000000000128E-3</v>
      </c>
      <c r="AB69" s="21">
        <f t="shared" si="27"/>
        <v>1.9000000000000128E-3</v>
      </c>
    </row>
    <row r="70" spans="1:28">
      <c r="A70" s="201">
        <v>62</v>
      </c>
      <c r="B70" s="207" t="s">
        <v>127</v>
      </c>
      <c r="C70" s="12" t="s">
        <v>41</v>
      </c>
      <c r="D70" s="13" t="s">
        <v>23</v>
      </c>
      <c r="E70" s="198">
        <v>3024577156.7399998</v>
      </c>
      <c r="F70" s="24">
        <f t="shared" si="41"/>
        <v>4.7508295344907727E-4</v>
      </c>
      <c r="G70" s="13" t="s">
        <v>23</v>
      </c>
      <c r="H70" s="211">
        <v>1</v>
      </c>
      <c r="I70" s="13" t="s">
        <v>23</v>
      </c>
      <c r="J70" s="211">
        <v>1</v>
      </c>
      <c r="K70" s="223">
        <v>580</v>
      </c>
      <c r="L70" s="197">
        <v>0.16627847000000001</v>
      </c>
      <c r="M70" s="197">
        <v>0.1636</v>
      </c>
      <c r="N70" s="13" t="s">
        <v>23</v>
      </c>
      <c r="O70" s="81">
        <v>3112751247.5</v>
      </c>
      <c r="P70" s="24">
        <f t="shared" si="42"/>
        <v>4.8893282577341186E-4</v>
      </c>
      <c r="Q70" s="13" t="s">
        <v>23</v>
      </c>
      <c r="R70" s="23">
        <v>1</v>
      </c>
      <c r="S70" s="13" t="s">
        <v>23</v>
      </c>
      <c r="T70" s="23">
        <v>1</v>
      </c>
      <c r="U70" s="25">
        <v>3112</v>
      </c>
      <c r="V70" s="56">
        <v>0.16768</v>
      </c>
      <c r="W70" s="26">
        <v>0.16768</v>
      </c>
      <c r="X70" s="27">
        <f t="shared" si="23"/>
        <v>2.9152534781105566E-2</v>
      </c>
      <c r="Y70" s="27">
        <f t="shared" si="24"/>
        <v>0</v>
      </c>
      <c r="Z70" s="27">
        <f t="shared" si="25"/>
        <v>4.36551724137931</v>
      </c>
      <c r="AA70" s="20">
        <f t="shared" si="26"/>
        <v>1.4015299999999842E-3</v>
      </c>
      <c r="AB70" s="21">
        <f t="shared" si="27"/>
        <v>4.0800000000000003E-3</v>
      </c>
    </row>
    <row r="71" spans="1:28">
      <c r="A71" s="201">
        <v>63</v>
      </c>
      <c r="B71" s="200" t="s">
        <v>128</v>
      </c>
      <c r="C71" s="12" t="s">
        <v>55</v>
      </c>
      <c r="D71" s="13" t="s">
        <v>23</v>
      </c>
      <c r="E71" s="203">
        <v>3000717483969.98</v>
      </c>
      <c r="F71" s="24">
        <f t="shared" si="41"/>
        <v>0.47133521509740395</v>
      </c>
      <c r="G71" s="13" t="s">
        <v>23</v>
      </c>
      <c r="H71" s="231">
        <v>100</v>
      </c>
      <c r="I71" s="13" t="s">
        <v>23</v>
      </c>
      <c r="J71" s="231">
        <v>100</v>
      </c>
      <c r="K71" s="223">
        <v>362532</v>
      </c>
      <c r="L71" s="197">
        <v>0.15359999999999999</v>
      </c>
      <c r="M71" s="197">
        <v>0.15359999999999999</v>
      </c>
      <c r="N71" s="13" t="s">
        <v>23</v>
      </c>
      <c r="O71" s="55">
        <v>3020083534000.54</v>
      </c>
      <c r="P71" s="24">
        <f t="shared" si="42"/>
        <v>0.47437712137665317</v>
      </c>
      <c r="Q71" s="13" t="s">
        <v>23</v>
      </c>
      <c r="R71" s="41">
        <v>100</v>
      </c>
      <c r="S71" s="13" t="s">
        <v>23</v>
      </c>
      <c r="T71" s="41">
        <v>100</v>
      </c>
      <c r="U71" s="25">
        <v>365002</v>
      </c>
      <c r="V71" s="56">
        <v>0.15359999999999999</v>
      </c>
      <c r="W71" s="26">
        <v>0.15359999999999999</v>
      </c>
      <c r="X71" s="27">
        <f t="shared" si="23"/>
        <v>6.4538065092814324E-3</v>
      </c>
      <c r="Y71" s="27">
        <f t="shared" si="24"/>
        <v>0</v>
      </c>
      <c r="Z71" s="27">
        <f t="shared" si="25"/>
        <v>6.8131916630807766E-3</v>
      </c>
      <c r="AA71" s="20">
        <f t="shared" si="26"/>
        <v>0</v>
      </c>
      <c r="AB71" s="21">
        <f t="shared" si="27"/>
        <v>0</v>
      </c>
    </row>
    <row r="72" spans="1:28">
      <c r="A72" s="201">
        <v>64</v>
      </c>
      <c r="B72" s="207" t="s">
        <v>129</v>
      </c>
      <c r="C72" s="37" t="s">
        <v>130</v>
      </c>
      <c r="D72" s="13" t="s">
        <v>23</v>
      </c>
      <c r="E72" s="203">
        <v>18985463955.470001</v>
      </c>
      <c r="F72" s="24">
        <f t="shared" si="41"/>
        <v>2.9821260365159342E-3</v>
      </c>
      <c r="G72" s="13" t="s">
        <v>23</v>
      </c>
      <c r="H72" s="231">
        <v>100</v>
      </c>
      <c r="I72" s="13" t="s">
        <v>23</v>
      </c>
      <c r="J72" s="231">
        <v>100</v>
      </c>
      <c r="K72" s="223">
        <v>2037</v>
      </c>
      <c r="L72" s="197">
        <v>0.18898300000000001</v>
      </c>
      <c r="M72" s="197">
        <v>0.18898300000000001</v>
      </c>
      <c r="N72" s="13" t="s">
        <v>23</v>
      </c>
      <c r="O72" s="54">
        <v>19138928663.299999</v>
      </c>
      <c r="P72" s="24">
        <f t="shared" ref="P72:P78" si="53">(O72/$O$79)</f>
        <v>3.0062313784754227E-3</v>
      </c>
      <c r="Q72" s="13" t="s">
        <v>23</v>
      </c>
      <c r="R72" s="41">
        <v>100</v>
      </c>
      <c r="S72" s="13" t="s">
        <v>23</v>
      </c>
      <c r="T72" s="41">
        <v>100</v>
      </c>
      <c r="U72" s="25">
        <v>2063</v>
      </c>
      <c r="V72" s="26">
        <v>0.18697800000000001</v>
      </c>
      <c r="W72" s="26">
        <v>0.18697800000000001</v>
      </c>
      <c r="X72" s="27">
        <f t="shared" si="23"/>
        <v>8.0832740348061125E-3</v>
      </c>
      <c r="Y72" s="27">
        <f t="shared" si="24"/>
        <v>0</v>
      </c>
      <c r="Z72" s="27">
        <f t="shared" si="25"/>
        <v>1.2763868433971527E-2</v>
      </c>
      <c r="AA72" s="20">
        <f t="shared" si="26"/>
        <v>-2.0050000000000068E-3</v>
      </c>
      <c r="AB72" s="21">
        <f t="shared" si="27"/>
        <v>-2.0050000000000068E-3</v>
      </c>
    </row>
    <row r="73" spans="1:28">
      <c r="A73" s="201">
        <v>65</v>
      </c>
      <c r="B73" s="266" t="s">
        <v>131</v>
      </c>
      <c r="C73" s="12" t="s">
        <v>132</v>
      </c>
      <c r="D73" s="13" t="s">
        <v>23</v>
      </c>
      <c r="E73" s="203">
        <v>19341087346.52</v>
      </c>
      <c r="F73" s="24">
        <f t="shared" si="41"/>
        <v>3.0379852863152389E-3</v>
      </c>
      <c r="G73" s="13" t="s">
        <v>23</v>
      </c>
      <c r="H73" s="231">
        <v>1</v>
      </c>
      <c r="I73" s="13" t="s">
        <v>23</v>
      </c>
      <c r="J73" s="231">
        <v>1</v>
      </c>
      <c r="K73" s="223">
        <v>1068</v>
      </c>
      <c r="L73" s="197">
        <v>0.18786700000000001</v>
      </c>
      <c r="M73" s="197">
        <v>0.18786700000000001</v>
      </c>
      <c r="N73" s="13" t="s">
        <v>23</v>
      </c>
      <c r="O73" s="55">
        <v>19773361463.049999</v>
      </c>
      <c r="P73" s="24">
        <f t="shared" si="53"/>
        <v>3.105884385375424E-3</v>
      </c>
      <c r="Q73" s="13" t="s">
        <v>23</v>
      </c>
      <c r="R73" s="41">
        <v>1</v>
      </c>
      <c r="S73" s="13" t="s">
        <v>23</v>
      </c>
      <c r="T73" s="41">
        <v>1</v>
      </c>
      <c r="U73" s="25">
        <v>1074</v>
      </c>
      <c r="V73" s="26">
        <v>0.18898300000000001</v>
      </c>
      <c r="W73" s="26">
        <v>0.18898300000000001</v>
      </c>
      <c r="X73" s="27">
        <f t="shared" si="23"/>
        <v>2.2350042103903581E-2</v>
      </c>
      <c r="Y73" s="27">
        <f t="shared" si="24"/>
        <v>0</v>
      </c>
      <c r="Z73" s="27">
        <f t="shared" si="25"/>
        <v>5.6179775280898875E-3</v>
      </c>
      <c r="AA73" s="20">
        <f t="shared" si="26"/>
        <v>1.1160000000000059E-3</v>
      </c>
      <c r="AB73" s="21">
        <f t="shared" si="27"/>
        <v>1.1160000000000059E-3</v>
      </c>
    </row>
    <row r="74" spans="1:28">
      <c r="A74" s="201">
        <v>66</v>
      </c>
      <c r="B74" s="200" t="s">
        <v>133</v>
      </c>
      <c r="C74" s="12" t="s">
        <v>58</v>
      </c>
      <c r="D74" s="13" t="s">
        <v>23</v>
      </c>
      <c r="E74" s="203">
        <v>259522734442.70999</v>
      </c>
      <c r="F74" s="24">
        <f t="shared" si="41"/>
        <v>4.0764318705334306E-2</v>
      </c>
      <c r="G74" s="13" t="s">
        <v>23</v>
      </c>
      <c r="H74" s="231">
        <v>1</v>
      </c>
      <c r="I74" s="13" t="s">
        <v>23</v>
      </c>
      <c r="J74" s="231">
        <v>1</v>
      </c>
      <c r="K74" s="223">
        <v>100000</v>
      </c>
      <c r="L74" s="197">
        <v>0.158</v>
      </c>
      <c r="M74" s="197">
        <v>0.158</v>
      </c>
      <c r="N74" s="13" t="s">
        <v>23</v>
      </c>
      <c r="O74" s="55">
        <v>262244714927.67001</v>
      </c>
      <c r="P74" s="24">
        <f t="shared" si="53"/>
        <v>4.1191871537023146E-2</v>
      </c>
      <c r="Q74" s="13" t="s">
        <v>23</v>
      </c>
      <c r="R74" s="41">
        <v>1</v>
      </c>
      <c r="S74" s="13" t="s">
        <v>23</v>
      </c>
      <c r="T74" s="41">
        <v>1</v>
      </c>
      <c r="U74" s="25">
        <v>100000</v>
      </c>
      <c r="V74" s="56">
        <v>0.15570000000000001</v>
      </c>
      <c r="W74" s="56">
        <v>0.15570000000000001</v>
      </c>
      <c r="X74" s="27">
        <f t="shared" si="23"/>
        <v>1.0488408619788579E-2</v>
      </c>
      <c r="Y74" s="27">
        <f t="shared" si="24"/>
        <v>0</v>
      </c>
      <c r="Z74" s="27">
        <f t="shared" si="25"/>
        <v>0</v>
      </c>
      <c r="AA74" s="20">
        <f t="shared" si="26"/>
        <v>-2.2999999999999965E-3</v>
      </c>
      <c r="AB74" s="21">
        <f t="shared" si="27"/>
        <v>-2.2999999999999965E-3</v>
      </c>
    </row>
    <row r="75" spans="1:28">
      <c r="A75" s="201">
        <v>67</v>
      </c>
      <c r="B75" s="207" t="s">
        <v>134</v>
      </c>
      <c r="C75" s="12" t="s">
        <v>135</v>
      </c>
      <c r="D75" s="13" t="s">
        <v>23</v>
      </c>
      <c r="E75" s="212">
        <v>3705198236.3899999</v>
      </c>
      <c r="F75" s="24">
        <f t="shared" si="41"/>
        <v>5.8199094618428056E-4</v>
      </c>
      <c r="G75" s="13" t="s">
        <v>23</v>
      </c>
      <c r="H75" s="231">
        <v>1</v>
      </c>
      <c r="I75" s="13" t="s">
        <v>23</v>
      </c>
      <c r="J75" s="231">
        <v>1</v>
      </c>
      <c r="K75" s="223">
        <v>173</v>
      </c>
      <c r="L75" s="197">
        <v>0.15670000000000001</v>
      </c>
      <c r="M75" s="197">
        <v>0.15670000000000001</v>
      </c>
      <c r="N75" s="13" t="s">
        <v>23</v>
      </c>
      <c r="O75" s="60">
        <v>3700212210.8699999</v>
      </c>
      <c r="P75" s="24">
        <f t="shared" si="53"/>
        <v>5.8120777035266537E-4</v>
      </c>
      <c r="Q75" s="13" t="s">
        <v>23</v>
      </c>
      <c r="R75" s="41">
        <v>1</v>
      </c>
      <c r="S75" s="13" t="s">
        <v>23</v>
      </c>
      <c r="T75" s="41">
        <v>1</v>
      </c>
      <c r="U75" s="25">
        <v>173</v>
      </c>
      <c r="V75" s="56">
        <v>0.15909999999999999</v>
      </c>
      <c r="W75" s="26">
        <v>0.15909999999999999</v>
      </c>
      <c r="X75" s="27">
        <f t="shared" si="23"/>
        <v>-1.3456838748951527E-3</v>
      </c>
      <c r="Y75" s="27">
        <f t="shared" si="24"/>
        <v>0</v>
      </c>
      <c r="Z75" s="27">
        <f t="shared" si="25"/>
        <v>0</v>
      </c>
      <c r="AA75" s="20">
        <f t="shared" si="26"/>
        <v>2.3999999999999855E-3</v>
      </c>
      <c r="AB75" s="21">
        <f t="shared" si="27"/>
        <v>2.3999999999999855E-3</v>
      </c>
    </row>
    <row r="76" spans="1:28">
      <c r="A76" s="201">
        <v>68</v>
      </c>
      <c r="B76" s="200" t="s">
        <v>136</v>
      </c>
      <c r="C76" s="12" t="s">
        <v>137</v>
      </c>
      <c r="D76" s="13" t="s">
        <v>23</v>
      </c>
      <c r="E76" s="203">
        <v>12593381527.110001</v>
      </c>
      <c r="F76" s="24">
        <f t="shared" si="41"/>
        <v>1.9780949798149836E-3</v>
      </c>
      <c r="G76" s="13" t="s">
        <v>23</v>
      </c>
      <c r="H76" s="231">
        <v>1</v>
      </c>
      <c r="I76" s="13" t="s">
        <v>23</v>
      </c>
      <c r="J76" s="231">
        <v>1</v>
      </c>
      <c r="K76" s="223">
        <v>753</v>
      </c>
      <c r="L76" s="197">
        <v>0.16309999999999999</v>
      </c>
      <c r="M76" s="197">
        <v>0.16309999999999999</v>
      </c>
      <c r="N76" s="13" t="s">
        <v>23</v>
      </c>
      <c r="O76" s="55">
        <v>12780435253.6</v>
      </c>
      <c r="P76" s="24">
        <f>(O76/$O$79)</f>
        <v>2.007476289078824E-3</v>
      </c>
      <c r="Q76" s="13" t="s">
        <v>23</v>
      </c>
      <c r="R76" s="41">
        <v>1</v>
      </c>
      <c r="S76" s="13" t="s">
        <v>23</v>
      </c>
      <c r="T76" s="41">
        <v>1</v>
      </c>
      <c r="U76" s="25">
        <v>750</v>
      </c>
      <c r="V76" s="56">
        <v>0.16639999999999999</v>
      </c>
      <c r="W76" s="26">
        <v>0.16639999999999999</v>
      </c>
      <c r="X76" s="27">
        <f t="shared" si="23"/>
        <v>1.4853335943751551E-2</v>
      </c>
      <c r="Y76" s="27">
        <f t="shared" si="24"/>
        <v>0</v>
      </c>
      <c r="Z76" s="27">
        <f t="shared" si="25"/>
        <v>-3.9840637450199202E-3</v>
      </c>
      <c r="AA76" s="20">
        <f t="shared" si="26"/>
        <v>3.2999999999999974E-3</v>
      </c>
      <c r="AB76" s="21">
        <f t="shared" si="27"/>
        <v>3.2999999999999974E-3</v>
      </c>
    </row>
    <row r="77" spans="1:28">
      <c r="A77" s="201">
        <v>69</v>
      </c>
      <c r="B77" s="200" t="s">
        <v>138</v>
      </c>
      <c r="C77" s="12" t="s">
        <v>60</v>
      </c>
      <c r="D77" s="13" t="s">
        <v>23</v>
      </c>
      <c r="E77" s="203">
        <v>25006948892.580002</v>
      </c>
      <c r="F77" s="24">
        <f t="shared" si="41"/>
        <v>3.9279457990227442E-3</v>
      </c>
      <c r="G77" s="13" t="s">
        <v>23</v>
      </c>
      <c r="H77" s="231">
        <v>1</v>
      </c>
      <c r="I77" s="13" t="s">
        <v>23</v>
      </c>
      <c r="J77" s="231">
        <v>1</v>
      </c>
      <c r="K77" s="223">
        <v>9682</v>
      </c>
      <c r="L77" s="197">
        <v>0.16805500000000001</v>
      </c>
      <c r="M77" s="197">
        <v>0.16805500000000001</v>
      </c>
      <c r="N77" s="13" t="s">
        <v>23</v>
      </c>
      <c r="O77" s="54">
        <v>25647909382.060001</v>
      </c>
      <c r="P77" s="24">
        <f t="shared" si="53"/>
        <v>4.028624137384109E-3</v>
      </c>
      <c r="Q77" s="13" t="s">
        <v>23</v>
      </c>
      <c r="R77" s="41">
        <v>1</v>
      </c>
      <c r="S77" s="13" t="s">
        <v>23</v>
      </c>
      <c r="T77" s="41">
        <v>1</v>
      </c>
      <c r="U77" s="25">
        <v>9885</v>
      </c>
      <c r="V77" s="26">
        <v>0.21354200000000001</v>
      </c>
      <c r="W77" s="56">
        <v>0.21354200000000001</v>
      </c>
      <c r="X77" s="27">
        <f t="shared" si="23"/>
        <v>2.5631295214514703E-2</v>
      </c>
      <c r="Y77" s="27">
        <f t="shared" si="24"/>
        <v>0</v>
      </c>
      <c r="Z77" s="27">
        <f t="shared" si="25"/>
        <v>2.0966742408593267E-2</v>
      </c>
      <c r="AA77" s="20">
        <f t="shared" si="26"/>
        <v>4.5487E-2</v>
      </c>
      <c r="AB77" s="21">
        <f t="shared" si="27"/>
        <v>4.5487E-2</v>
      </c>
    </row>
    <row r="78" spans="1:28">
      <c r="A78" s="201">
        <v>70</v>
      </c>
      <c r="B78" s="207" t="s">
        <v>139</v>
      </c>
      <c r="C78" s="12" t="s">
        <v>140</v>
      </c>
      <c r="D78" s="13" t="s">
        <v>23</v>
      </c>
      <c r="E78" s="203">
        <v>166922654987.07999</v>
      </c>
      <c r="F78" s="24">
        <f t="shared" si="41"/>
        <v>2.6219237870029419E-2</v>
      </c>
      <c r="G78" s="13" t="s">
        <v>23</v>
      </c>
      <c r="H78" s="231">
        <v>1</v>
      </c>
      <c r="I78" s="13" t="s">
        <v>23</v>
      </c>
      <c r="J78" s="231">
        <v>1</v>
      </c>
      <c r="K78" s="223">
        <v>9277</v>
      </c>
      <c r="L78" s="197">
        <v>0.1598</v>
      </c>
      <c r="M78" s="197">
        <v>0.1598</v>
      </c>
      <c r="N78" s="13" t="s">
        <v>23</v>
      </c>
      <c r="O78" s="55">
        <v>167250188979.5</v>
      </c>
      <c r="P78" s="24">
        <f t="shared" si="53"/>
        <v>2.6270685000788545E-2</v>
      </c>
      <c r="Q78" s="13" t="s">
        <v>23</v>
      </c>
      <c r="R78" s="41">
        <v>1</v>
      </c>
      <c r="S78" s="13" t="s">
        <v>23</v>
      </c>
      <c r="T78" s="41">
        <v>1</v>
      </c>
      <c r="U78" s="25">
        <v>9326</v>
      </c>
      <c r="V78" s="56">
        <v>0.16209999999999999</v>
      </c>
      <c r="W78" s="26">
        <v>0.16209999999999999</v>
      </c>
      <c r="X78" s="27">
        <f t="shared" si="23"/>
        <v>1.9621901679275646E-3</v>
      </c>
      <c r="Y78" s="27">
        <f t="shared" si="24"/>
        <v>0</v>
      </c>
      <c r="Z78" s="27">
        <f t="shared" si="25"/>
        <v>5.2818799180769649E-3</v>
      </c>
      <c r="AA78" s="20">
        <f t="shared" si="26"/>
        <v>2.2999999999999965E-3</v>
      </c>
      <c r="AB78" s="21">
        <f t="shared" si="27"/>
        <v>2.2999999999999965E-3</v>
      </c>
    </row>
    <row r="79" spans="1:28">
      <c r="B79" s="44"/>
      <c r="C79" s="45" t="s">
        <v>63</v>
      </c>
      <c r="D79" s="46" t="s">
        <v>23</v>
      </c>
      <c r="E79" s="65">
        <f>SUM(E31:E78)</f>
        <v>6317695873571.1484</v>
      </c>
      <c r="F79" s="48">
        <f>(E79/$E$243)</f>
        <v>0.66919372948848777</v>
      </c>
      <c r="G79" s="13" t="s">
        <v>23</v>
      </c>
      <c r="H79" s="49"/>
      <c r="I79" s="13"/>
      <c r="J79" s="59"/>
      <c r="K79" s="51">
        <f>SUM(K31:K78)</f>
        <v>855343</v>
      </c>
      <c r="L79" s="66"/>
      <c r="M79" s="66"/>
      <c r="N79" s="13"/>
      <c r="O79" s="65">
        <f>SUM(O31:O78)</f>
        <v>6366419032258.9531</v>
      </c>
      <c r="P79" s="48">
        <f>(O79/$O$243)</f>
        <v>0.67292092579333129</v>
      </c>
      <c r="Q79" s="13"/>
      <c r="R79" s="49"/>
      <c r="S79" s="49"/>
      <c r="T79" s="59"/>
      <c r="U79" s="51">
        <f>SUM(U31:U78)</f>
        <v>865519</v>
      </c>
      <c r="V79" s="66"/>
      <c r="W79" s="66"/>
      <c r="X79" s="27">
        <f t="shared" si="23"/>
        <v>7.7121722322260784E-3</v>
      </c>
      <c r="Y79" s="27" t="e">
        <f t="shared" si="24"/>
        <v>#DIV/0!</v>
      </c>
      <c r="Z79" s="27">
        <f t="shared" si="25"/>
        <v>1.189698167869498E-2</v>
      </c>
      <c r="AA79" s="20">
        <f t="shared" si="26"/>
        <v>0</v>
      </c>
      <c r="AB79" s="21">
        <f t="shared" si="27"/>
        <v>0</v>
      </c>
    </row>
    <row r="80" spans="1:28" ht="3" customHeight="1">
      <c r="B80" s="259"/>
      <c r="C80" s="259"/>
      <c r="D80" s="259"/>
      <c r="E80" s="259"/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</row>
    <row r="81" spans="1:28" ht="15" customHeight="1">
      <c r="A81" s="11"/>
      <c r="B81" s="258"/>
      <c r="C81" s="258"/>
      <c r="D81" s="258"/>
      <c r="E81" s="258"/>
      <c r="F81" s="258"/>
      <c r="G81" s="258"/>
      <c r="H81" s="258"/>
      <c r="I81" s="258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</row>
    <row r="82" spans="1:28" ht="17.399999999999999" customHeight="1">
      <c r="A82" s="201">
        <v>71</v>
      </c>
      <c r="B82" s="200" t="s">
        <v>141</v>
      </c>
      <c r="C82" s="12" t="s">
        <v>25</v>
      </c>
      <c r="D82" s="13" t="s">
        <v>23</v>
      </c>
      <c r="E82" s="198">
        <v>1129769134.74</v>
      </c>
      <c r="F82" s="24">
        <f>(E82/$E$120)</f>
        <v>4.8357008073625692E-3</v>
      </c>
      <c r="G82" s="13" t="s">
        <v>23</v>
      </c>
      <c r="H82" s="228">
        <v>1.8131999999999999</v>
      </c>
      <c r="I82" s="13" t="s">
        <v>23</v>
      </c>
      <c r="J82" s="228">
        <v>1.8131999999999999</v>
      </c>
      <c r="K82" s="223">
        <v>581</v>
      </c>
      <c r="L82" s="197">
        <v>0</v>
      </c>
      <c r="M82" s="197">
        <v>8.6199999999999999E-2</v>
      </c>
      <c r="N82" s="13" t="s">
        <v>23</v>
      </c>
      <c r="O82" s="81">
        <v>1131137060.8099999</v>
      </c>
      <c r="P82" s="24">
        <f t="shared" ref="P82:P119" si="54">(O82/$O$120)</f>
        <v>4.858657581814382E-3</v>
      </c>
      <c r="Q82" s="13" t="s">
        <v>23</v>
      </c>
      <c r="R82" s="67">
        <v>1.8160000000000001</v>
      </c>
      <c r="S82" s="13" t="s">
        <v>23</v>
      </c>
      <c r="T82" s="67">
        <v>1.8160000000000001</v>
      </c>
      <c r="U82" s="25">
        <v>581</v>
      </c>
      <c r="V82" s="26">
        <v>3.86E-4</v>
      </c>
      <c r="W82" s="56">
        <v>8.7900000000000006E-2</v>
      </c>
      <c r="X82" s="27">
        <f>((O82-E82)/E82)</f>
        <v>1.2108014176849871E-3</v>
      </c>
      <c r="Y82" s="27">
        <f>((T82-J82)/J82)</f>
        <v>1.5442311934701831E-3</v>
      </c>
      <c r="Z82" s="27">
        <f>((U82-K82)/K82)</f>
        <v>0</v>
      </c>
      <c r="AA82" s="20">
        <f>V82-L82</f>
        <v>3.86E-4</v>
      </c>
      <c r="AB82" s="21">
        <f>W82-M82</f>
        <v>1.7000000000000071E-3</v>
      </c>
    </row>
    <row r="83" spans="1:28" ht="15" customHeight="1">
      <c r="A83" s="201">
        <v>72</v>
      </c>
      <c r="B83" s="200" t="s">
        <v>142</v>
      </c>
      <c r="C83" s="12" t="s">
        <v>27</v>
      </c>
      <c r="D83" s="13" t="s">
        <v>23</v>
      </c>
      <c r="E83" s="198">
        <v>1267303648.03</v>
      </c>
      <c r="F83" s="24">
        <f>(E83/$E$120)</f>
        <v>5.4243836953135911E-3</v>
      </c>
      <c r="G83" s="13" t="s">
        <v>23</v>
      </c>
      <c r="H83" s="228">
        <v>1.4234</v>
      </c>
      <c r="I83" s="13" t="s">
        <v>23</v>
      </c>
      <c r="J83" s="228">
        <v>1.4234</v>
      </c>
      <c r="K83" s="223">
        <v>1629</v>
      </c>
      <c r="L83" s="197">
        <v>-8.3400000000000002E-2</v>
      </c>
      <c r="M83" s="197">
        <v>0.69169999999999998</v>
      </c>
      <c r="N83" s="13" t="s">
        <v>23</v>
      </c>
      <c r="O83" s="81">
        <v>1271093819.8399999</v>
      </c>
      <c r="P83" s="24">
        <f t="shared" si="54"/>
        <v>5.4598243121311597E-3</v>
      </c>
      <c r="Q83" s="13" t="s">
        <v>23</v>
      </c>
      <c r="R83" s="67">
        <v>1.4261999999999999</v>
      </c>
      <c r="S83" s="13" t="s">
        <v>23</v>
      </c>
      <c r="T83" s="67">
        <v>1.4261999999999999</v>
      </c>
      <c r="U83" s="25">
        <v>1642</v>
      </c>
      <c r="V83" s="56">
        <v>0.1179</v>
      </c>
      <c r="W83" s="56">
        <v>0.1026</v>
      </c>
      <c r="X83" s="27">
        <f t="shared" ref="X83:X120" si="55">((O83-E83)/E83)</f>
        <v>2.9907369207779798E-3</v>
      </c>
      <c r="Y83" s="27">
        <f t="shared" ref="Y83:Y120" si="56">((T83-J83)/J83)</f>
        <v>1.9671209779400828E-3</v>
      </c>
      <c r="Z83" s="27">
        <f t="shared" ref="Z83:Z120" si="57">((U83-K83)/K83)</f>
        <v>7.9803560466543896E-3</v>
      </c>
      <c r="AA83" s="20">
        <f t="shared" ref="AA83:AA120" si="58">V83-L83</f>
        <v>0.20130000000000001</v>
      </c>
      <c r="AB83" s="21">
        <f t="shared" ref="AB83:AB120" si="59">W83-M83</f>
        <v>-0.58909999999999996</v>
      </c>
    </row>
    <row r="84" spans="1:28" ht="15.6" customHeight="1">
      <c r="A84" s="201">
        <v>73</v>
      </c>
      <c r="B84" s="200" t="s">
        <v>143</v>
      </c>
      <c r="C84" s="12" t="s">
        <v>27</v>
      </c>
      <c r="D84" s="13" t="s">
        <v>23</v>
      </c>
      <c r="E84" s="198">
        <v>725266528.90999997</v>
      </c>
      <c r="F84" s="24">
        <f>(E84/$E$120)</f>
        <v>3.1043262128153818E-3</v>
      </c>
      <c r="G84" s="13" t="s">
        <v>23</v>
      </c>
      <c r="H84" s="228">
        <v>1.2766999999999999</v>
      </c>
      <c r="I84" s="13" t="s">
        <v>23</v>
      </c>
      <c r="J84" s="228">
        <v>1.2766999999999999</v>
      </c>
      <c r="K84" s="223">
        <v>946</v>
      </c>
      <c r="L84" s="197">
        <v>0.16389999999999999</v>
      </c>
      <c r="M84" s="197">
        <v>0.13339999999999999</v>
      </c>
      <c r="N84" s="13" t="s">
        <v>23</v>
      </c>
      <c r="O84" s="81">
        <v>740943468.13999999</v>
      </c>
      <c r="P84" s="24">
        <f t="shared" si="54"/>
        <v>3.1826298721008431E-3</v>
      </c>
      <c r="Q84" s="13" t="s">
        <v>23</v>
      </c>
      <c r="R84" s="67">
        <v>1.2791999999999999</v>
      </c>
      <c r="S84" s="13" t="s">
        <v>23</v>
      </c>
      <c r="T84" s="67">
        <v>1.2791999999999999</v>
      </c>
      <c r="U84" s="25">
        <v>960</v>
      </c>
      <c r="V84" s="56">
        <v>0.13270000000000001</v>
      </c>
      <c r="W84" s="56">
        <v>0.1021</v>
      </c>
      <c r="X84" s="27">
        <f t="shared" si="55"/>
        <v>2.1615418063702492E-2</v>
      </c>
      <c r="Y84" s="27">
        <f t="shared" si="56"/>
        <v>1.9581734158376648E-3</v>
      </c>
      <c r="Z84" s="27">
        <f t="shared" si="57"/>
        <v>1.4799154334038054E-2</v>
      </c>
      <c r="AA84" s="20">
        <f t="shared" si="58"/>
        <v>-3.1199999999999978E-2</v>
      </c>
      <c r="AB84" s="21">
        <f t="shared" si="59"/>
        <v>-3.1299999999999994E-2</v>
      </c>
    </row>
    <row r="85" spans="1:28" ht="16.2" customHeight="1">
      <c r="A85" s="201">
        <v>74</v>
      </c>
      <c r="B85" s="200" t="s">
        <v>144</v>
      </c>
      <c r="C85" s="12" t="s">
        <v>74</v>
      </c>
      <c r="D85" s="13" t="s">
        <v>23</v>
      </c>
      <c r="E85" s="198">
        <v>346210041.38999999</v>
      </c>
      <c r="F85" s="24">
        <f>(E85/$E$120)</f>
        <v>1.4818675118540364E-3</v>
      </c>
      <c r="G85" s="13" t="s">
        <v>23</v>
      </c>
      <c r="H85" s="205">
        <v>1330</v>
      </c>
      <c r="I85" s="13" t="s">
        <v>23</v>
      </c>
      <c r="J85" s="205">
        <v>1330</v>
      </c>
      <c r="K85" s="223">
        <v>98</v>
      </c>
      <c r="L85" s="197">
        <v>5.7999999999999996E-3</v>
      </c>
      <c r="M85" s="197">
        <v>0.14069999999999999</v>
      </c>
      <c r="N85" s="13" t="s">
        <v>23</v>
      </c>
      <c r="O85" s="81">
        <v>354023312.88999999</v>
      </c>
      <c r="P85" s="24">
        <f t="shared" si="54"/>
        <v>1.5206628028616681E-3</v>
      </c>
      <c r="Q85" s="13" t="s">
        <v>23</v>
      </c>
      <c r="R85" s="205">
        <v>1355.62</v>
      </c>
      <c r="S85" s="13" t="s">
        <v>23</v>
      </c>
      <c r="T85" s="205">
        <v>1355.62</v>
      </c>
      <c r="U85" s="25">
        <v>98</v>
      </c>
      <c r="V85" s="56">
        <v>2.1499999999999998E-2</v>
      </c>
      <c r="W85" s="56">
        <v>0.17560000000000001</v>
      </c>
      <c r="X85" s="27">
        <f t="shared" si="55"/>
        <v>2.2568009491089475E-2</v>
      </c>
      <c r="Y85" s="27">
        <f t="shared" si="56"/>
        <v>1.926315789473676E-2</v>
      </c>
      <c r="Z85" s="27">
        <f t="shared" si="57"/>
        <v>0</v>
      </c>
      <c r="AA85" s="20">
        <f t="shared" si="58"/>
        <v>1.5699999999999999E-2</v>
      </c>
      <c r="AB85" s="21">
        <f t="shared" si="59"/>
        <v>3.4900000000000014E-2</v>
      </c>
    </row>
    <row r="86" spans="1:28" ht="15" customHeight="1">
      <c r="A86" s="201">
        <v>75</v>
      </c>
      <c r="B86" s="207" t="s">
        <v>145</v>
      </c>
      <c r="C86" s="12" t="s">
        <v>31</v>
      </c>
      <c r="D86" s="13" t="s">
        <v>23</v>
      </c>
      <c r="E86" s="198">
        <v>1884982451.5799999</v>
      </c>
      <c r="F86" s="24">
        <f>(E86/$O$120)</f>
        <v>8.0967060467437048E-3</v>
      </c>
      <c r="G86" s="13" t="s">
        <v>23</v>
      </c>
      <c r="H86" s="205">
        <v>1.1127</v>
      </c>
      <c r="I86" s="13" t="s">
        <v>23</v>
      </c>
      <c r="J86" s="205">
        <v>1.1127</v>
      </c>
      <c r="K86" s="223">
        <v>1081</v>
      </c>
      <c r="L86" s="197">
        <v>0.18459999999999999</v>
      </c>
      <c r="M86" s="197">
        <v>9.9699999999999997E-2</v>
      </c>
      <c r="N86" s="13" t="s">
        <v>23</v>
      </c>
      <c r="O86" s="81">
        <v>1879624500.1600001</v>
      </c>
      <c r="P86" s="24">
        <f t="shared" si="54"/>
        <v>8.073691637445566E-3</v>
      </c>
      <c r="Q86" s="13" t="s">
        <v>23</v>
      </c>
      <c r="R86" s="35">
        <v>1.1095999999999999</v>
      </c>
      <c r="S86" s="13" t="s">
        <v>23</v>
      </c>
      <c r="T86" s="35">
        <v>1.1095999999999999</v>
      </c>
      <c r="U86" s="25">
        <v>1081</v>
      </c>
      <c r="V86" s="56">
        <v>-2.8E-3</v>
      </c>
      <c r="W86" s="56">
        <v>9.7000000000000003E-2</v>
      </c>
      <c r="X86" s="27">
        <f t="shared" si="55"/>
        <v>-2.8424410081424266E-3</v>
      </c>
      <c r="Y86" s="27">
        <f t="shared" si="56"/>
        <v>-2.7860159971242046E-3</v>
      </c>
      <c r="Z86" s="27">
        <f t="shared" si="57"/>
        <v>0</v>
      </c>
      <c r="AA86" s="20">
        <f t="shared" si="58"/>
        <v>-0.18739999999999998</v>
      </c>
      <c r="AB86" s="21">
        <f t="shared" si="59"/>
        <v>-2.6999999999999941E-3</v>
      </c>
    </row>
    <row r="87" spans="1:28" ht="15.6" customHeight="1">
      <c r="A87" s="201">
        <v>76</v>
      </c>
      <c r="B87" s="200" t="s">
        <v>146</v>
      </c>
      <c r="C87" s="12" t="s">
        <v>147</v>
      </c>
      <c r="D87" s="13" t="s">
        <v>23</v>
      </c>
      <c r="E87" s="198">
        <v>519088968.95971632</v>
      </c>
      <c r="F87" s="24">
        <f t="shared" ref="F87:F105" si="60">(E87/$E$120)</f>
        <v>2.2218335313870831E-3</v>
      </c>
      <c r="G87" s="13" t="s">
        <v>23</v>
      </c>
      <c r="H87" s="205">
        <v>2.9607999999999999</v>
      </c>
      <c r="I87" s="13" t="s">
        <v>23</v>
      </c>
      <c r="J87" s="205">
        <v>2.9607999999999999</v>
      </c>
      <c r="K87" s="223">
        <v>1385</v>
      </c>
      <c r="L87" s="197">
        <v>0.15540000000000001</v>
      </c>
      <c r="M87" s="197">
        <v>0.1343</v>
      </c>
      <c r="N87" s="13" t="s">
        <v>23</v>
      </c>
      <c r="O87" s="36">
        <v>520307043.85294092</v>
      </c>
      <c r="P87" s="24">
        <f t="shared" si="54"/>
        <v>2.2349137439429661E-3</v>
      </c>
      <c r="Q87" s="13" t="s">
        <v>23</v>
      </c>
      <c r="R87" s="35">
        <v>2.9687000000000001</v>
      </c>
      <c r="S87" s="13" t="s">
        <v>23</v>
      </c>
      <c r="T87" s="35">
        <v>2.9687000000000001</v>
      </c>
      <c r="U87" s="25">
        <v>1384</v>
      </c>
      <c r="V87" s="197">
        <v>0.1391</v>
      </c>
      <c r="W87" s="26">
        <v>0.1348</v>
      </c>
      <c r="X87" s="27">
        <f t="shared" si="55"/>
        <v>2.3465628554305211E-3</v>
      </c>
      <c r="Y87" s="27">
        <f t="shared" si="56"/>
        <v>2.6681977843826805E-3</v>
      </c>
      <c r="Z87" s="27">
        <f t="shared" si="57"/>
        <v>-7.2202166064981946E-4</v>
      </c>
      <c r="AA87" s="20">
        <f t="shared" si="58"/>
        <v>-1.6300000000000009E-2</v>
      </c>
      <c r="AB87" s="21">
        <f t="shared" si="59"/>
        <v>5.0000000000000044E-4</v>
      </c>
    </row>
    <row r="88" spans="1:28" ht="15" customHeight="1">
      <c r="A88" s="201">
        <v>77</v>
      </c>
      <c r="B88" s="209" t="s">
        <v>148</v>
      </c>
      <c r="C88" s="12" t="s">
        <v>149</v>
      </c>
      <c r="D88" s="13" t="s">
        <v>23</v>
      </c>
      <c r="E88" s="198">
        <v>5674370221.9099998</v>
      </c>
      <c r="F88" s="24">
        <f t="shared" si="60"/>
        <v>2.4287755630427205E-2</v>
      </c>
      <c r="G88" s="13" t="s">
        <v>23</v>
      </c>
      <c r="H88" s="205">
        <v>1254.02968809</v>
      </c>
      <c r="I88" s="13" t="s">
        <v>23</v>
      </c>
      <c r="J88" s="205">
        <v>1254.02968809</v>
      </c>
      <c r="K88" s="223">
        <v>455</v>
      </c>
      <c r="L88" s="197">
        <v>2.0600000000000002E-3</v>
      </c>
      <c r="M88" s="197">
        <v>0.12066</v>
      </c>
      <c r="N88" s="13" t="s">
        <v>23</v>
      </c>
      <c r="O88" s="36">
        <v>5766642441.1199999</v>
      </c>
      <c r="P88" s="24">
        <f t="shared" si="54"/>
        <v>2.4769890395153947E-2</v>
      </c>
      <c r="Q88" s="13" t="s">
        <v>23</v>
      </c>
      <c r="R88" s="35">
        <v>1258.17717313</v>
      </c>
      <c r="S88" s="13" t="s">
        <v>23</v>
      </c>
      <c r="T88" s="35">
        <v>1258.17717313</v>
      </c>
      <c r="U88" s="25">
        <v>470</v>
      </c>
      <c r="V88" s="26">
        <v>2.4499999999999999E-3</v>
      </c>
      <c r="W88" s="26">
        <v>0.124365</v>
      </c>
      <c r="X88" s="27">
        <f t="shared" ref="X88" si="61">((O88-E88)/E88)</f>
        <v>1.626122646240398E-2</v>
      </c>
      <c r="Y88" s="27">
        <f t="shared" si="56"/>
        <v>3.3073260381235349E-3</v>
      </c>
      <c r="Z88" s="27">
        <f t="shared" ref="Z88" si="62">((U88-K88)/K88)</f>
        <v>3.2967032967032968E-2</v>
      </c>
      <c r="AA88" s="20">
        <f t="shared" si="58"/>
        <v>3.8999999999999972E-4</v>
      </c>
      <c r="AB88" s="21">
        <f t="shared" si="59"/>
        <v>3.705E-3</v>
      </c>
    </row>
    <row r="89" spans="1:28" ht="16.2" customHeight="1">
      <c r="A89" s="201">
        <v>78</v>
      </c>
      <c r="B89" s="200" t="s">
        <v>150</v>
      </c>
      <c r="C89" s="12" t="s">
        <v>79</v>
      </c>
      <c r="D89" s="13" t="s">
        <v>23</v>
      </c>
      <c r="E89" s="198">
        <v>204071569.25</v>
      </c>
      <c r="F89" s="24">
        <f t="shared" si="60"/>
        <v>8.734785026757487E-4</v>
      </c>
      <c r="G89" s="13" t="s">
        <v>23</v>
      </c>
      <c r="H89" s="205">
        <v>11.8917</v>
      </c>
      <c r="I89" s="13" t="s">
        <v>23</v>
      </c>
      <c r="J89" s="205">
        <v>11.917899999999999</v>
      </c>
      <c r="K89" s="223">
        <v>47</v>
      </c>
      <c r="L89" s="197">
        <v>6.6699999999999995E-4</v>
      </c>
      <c r="M89" s="197">
        <v>0.128355</v>
      </c>
      <c r="N89" s="13" t="s">
        <v>23</v>
      </c>
      <c r="O89" s="81">
        <v>204477761.06</v>
      </c>
      <c r="P89" s="24">
        <f t="shared" si="54"/>
        <v>8.783086139668774E-4</v>
      </c>
      <c r="Q89" s="13" t="s">
        <v>23</v>
      </c>
      <c r="R89" s="35">
        <v>11.9154</v>
      </c>
      <c r="S89" s="13" t="s">
        <v>23</v>
      </c>
      <c r="T89" s="35">
        <v>11.941599999999999</v>
      </c>
      <c r="U89" s="25">
        <v>47</v>
      </c>
      <c r="V89" s="26">
        <v>1.165E-3</v>
      </c>
      <c r="W89" s="26">
        <v>0.12731500000000001</v>
      </c>
      <c r="X89" s="27">
        <f t="shared" si="55"/>
        <v>1.9904380188422665E-3</v>
      </c>
      <c r="Y89" s="27">
        <f t="shared" si="56"/>
        <v>1.9886053751080168E-3</v>
      </c>
      <c r="Z89" s="27">
        <f t="shared" si="57"/>
        <v>0</v>
      </c>
      <c r="AA89" s="20">
        <f t="shared" si="58"/>
        <v>4.9800000000000007E-4</v>
      </c>
      <c r="AB89" s="21">
        <f t="shared" si="59"/>
        <v>-1.0399999999999854E-3</v>
      </c>
    </row>
    <row r="90" spans="1:28" ht="16.2" customHeight="1">
      <c r="A90" s="201">
        <v>79</v>
      </c>
      <c r="B90" s="200" t="s">
        <v>151</v>
      </c>
      <c r="C90" s="12" t="s">
        <v>81</v>
      </c>
      <c r="D90" s="13" t="s">
        <v>23</v>
      </c>
      <c r="E90" s="198">
        <v>2194138855.8379002</v>
      </c>
      <c r="F90" s="24">
        <f t="shared" si="60"/>
        <v>9.3914754000450733E-3</v>
      </c>
      <c r="G90" s="13" t="s">
        <v>23</v>
      </c>
      <c r="H90" s="198">
        <v>5027.4976241339</v>
      </c>
      <c r="I90" s="13" t="s">
        <v>23</v>
      </c>
      <c r="J90" s="198">
        <v>5027.4976241339</v>
      </c>
      <c r="K90" s="223">
        <v>1212</v>
      </c>
      <c r="L90" s="197">
        <v>0.13910777917240483</v>
      </c>
      <c r="M90" s="197">
        <v>9.64E-2</v>
      </c>
      <c r="N90" s="13" t="s">
        <v>23</v>
      </c>
      <c r="O90" s="36">
        <v>2197972990.5566902</v>
      </c>
      <c r="P90" s="24">
        <f t="shared" si="54"/>
        <v>9.4411177081795816E-3</v>
      </c>
      <c r="Q90" s="13" t="s">
        <v>23</v>
      </c>
      <c r="R90" s="36">
        <v>5038.4429994802003</v>
      </c>
      <c r="S90" s="13" t="s">
        <v>23</v>
      </c>
      <c r="T90" s="36">
        <v>5038.4429994802003</v>
      </c>
      <c r="U90" s="25">
        <v>1215</v>
      </c>
      <c r="V90" s="26">
        <v>0.1135203207888954</v>
      </c>
      <c r="W90" s="26">
        <v>9.711403568459441E-2</v>
      </c>
      <c r="X90" s="27">
        <f t="shared" si="55"/>
        <v>1.7474439726495208E-3</v>
      </c>
      <c r="Y90" s="27">
        <f t="shared" si="56"/>
        <v>2.177102042526761E-3</v>
      </c>
      <c r="Z90" s="27">
        <f t="shared" si="57"/>
        <v>2.4752475247524753E-3</v>
      </c>
      <c r="AA90" s="20">
        <f t="shared" si="58"/>
        <v>-2.5587458383509426E-2</v>
      </c>
      <c r="AB90" s="21">
        <f t="shared" si="59"/>
        <v>7.1403568459441069E-4</v>
      </c>
    </row>
    <row r="91" spans="1:28" ht="15.6" customHeight="1">
      <c r="A91" s="201">
        <v>80</v>
      </c>
      <c r="B91" s="207" t="s">
        <v>152</v>
      </c>
      <c r="C91" s="12" t="s">
        <v>83</v>
      </c>
      <c r="D91" s="13" t="s">
        <v>23</v>
      </c>
      <c r="E91" s="198">
        <v>375613913.17000002</v>
      </c>
      <c r="F91" s="24">
        <f t="shared" si="60"/>
        <v>1.6077236023896077E-3</v>
      </c>
      <c r="G91" s="13" t="s">
        <v>23</v>
      </c>
      <c r="H91" s="228">
        <v>115.65</v>
      </c>
      <c r="I91" s="13" t="s">
        <v>23</v>
      </c>
      <c r="J91" s="228">
        <v>115.65</v>
      </c>
      <c r="K91" s="223">
        <v>101</v>
      </c>
      <c r="L91" s="197">
        <v>2.3E-3</v>
      </c>
      <c r="M91" s="197">
        <v>0.12570000000000001</v>
      </c>
      <c r="N91" s="13" t="s">
        <v>23</v>
      </c>
      <c r="O91" s="81">
        <v>372179335.49000001</v>
      </c>
      <c r="P91" s="24">
        <f t="shared" si="54"/>
        <v>1.5986497240911026E-3</v>
      </c>
      <c r="Q91" s="13" t="s">
        <v>23</v>
      </c>
      <c r="R91" s="67">
        <v>114.87</v>
      </c>
      <c r="S91" s="13" t="s">
        <v>23</v>
      </c>
      <c r="T91" s="67">
        <v>114.87</v>
      </c>
      <c r="U91" s="25">
        <v>101</v>
      </c>
      <c r="V91" s="56">
        <v>2.3E-3</v>
      </c>
      <c r="W91" s="56">
        <v>0.12570000000000001</v>
      </c>
      <c r="X91" s="27">
        <f t="shared" si="55"/>
        <v>-9.1439043112482975E-3</v>
      </c>
      <c r="Y91" s="27">
        <f t="shared" si="56"/>
        <v>-6.7444876783398283E-3</v>
      </c>
      <c r="Z91" s="27">
        <f t="shared" si="57"/>
        <v>0</v>
      </c>
      <c r="AA91" s="20">
        <f t="shared" si="58"/>
        <v>0</v>
      </c>
      <c r="AB91" s="21">
        <f t="shared" si="59"/>
        <v>0</v>
      </c>
    </row>
    <row r="92" spans="1:28" ht="13.5" customHeight="1">
      <c r="A92" s="201">
        <v>81</v>
      </c>
      <c r="B92" s="200" t="s">
        <v>153</v>
      </c>
      <c r="C92" s="12" t="s">
        <v>33</v>
      </c>
      <c r="D92" s="13" t="s">
        <v>23</v>
      </c>
      <c r="E92" s="198">
        <v>1092391960.1099999</v>
      </c>
      <c r="F92" s="24">
        <f t="shared" si="60"/>
        <v>4.6757169416528554E-3</v>
      </c>
      <c r="G92" s="13" t="s">
        <v>23</v>
      </c>
      <c r="H92" s="228">
        <v>1.5784</v>
      </c>
      <c r="I92" s="13" t="s">
        <v>23</v>
      </c>
      <c r="J92" s="228">
        <v>1.5784</v>
      </c>
      <c r="K92" s="223">
        <v>3225</v>
      </c>
      <c r="L92" s="197">
        <v>1.0434671275846519E-2</v>
      </c>
      <c r="M92" s="197">
        <v>7.6933377971208472E-2</v>
      </c>
      <c r="N92" s="13" t="s">
        <v>23</v>
      </c>
      <c r="O92" s="36">
        <v>1086862611.54</v>
      </c>
      <c r="P92" s="24">
        <f t="shared" si="54"/>
        <v>4.6684822298793125E-3</v>
      </c>
      <c r="Q92" s="13" t="s">
        <v>23</v>
      </c>
      <c r="R92" s="67">
        <v>1.5789</v>
      </c>
      <c r="S92" s="13" t="s">
        <v>23</v>
      </c>
      <c r="T92" s="67">
        <v>1.5789</v>
      </c>
      <c r="U92" s="25">
        <v>3250</v>
      </c>
      <c r="V92" s="26">
        <v>3.1677648251382529E-4</v>
      </c>
      <c r="W92" s="26">
        <v>7.7268162035487142E-2</v>
      </c>
      <c r="X92" s="27">
        <f t="shared" si="55"/>
        <v>-5.0616891847530144E-3</v>
      </c>
      <c r="Y92" s="27">
        <f t="shared" si="56"/>
        <v>3.1677648251390329E-4</v>
      </c>
      <c r="Z92" s="27">
        <f t="shared" si="57"/>
        <v>7.7519379844961239E-3</v>
      </c>
      <c r="AA92" s="20">
        <f t="shared" si="58"/>
        <v>-1.0117894793332693E-2</v>
      </c>
      <c r="AB92" s="21">
        <f t="shared" si="59"/>
        <v>3.3478406427867036E-4</v>
      </c>
    </row>
    <row r="93" spans="1:28" ht="15" customHeight="1">
      <c r="A93" s="201">
        <v>82</v>
      </c>
      <c r="B93" s="200" t="s">
        <v>154</v>
      </c>
      <c r="C93" s="12" t="s">
        <v>33</v>
      </c>
      <c r="D93" s="13" t="s">
        <v>23</v>
      </c>
      <c r="E93" s="198">
        <v>216408997.86000001</v>
      </c>
      <c r="F93" s="24">
        <f t="shared" si="60"/>
        <v>9.2628585212054036E-4</v>
      </c>
      <c r="G93" s="13" t="s">
        <v>23</v>
      </c>
      <c r="H93" s="228">
        <v>1.0660000000000001</v>
      </c>
      <c r="I93" s="13" t="s">
        <v>23</v>
      </c>
      <c r="J93" s="228">
        <v>1.0660000000000001</v>
      </c>
      <c r="K93" s="223">
        <v>309</v>
      </c>
      <c r="L93" s="197">
        <v>9.8522167487684609E-3</v>
      </c>
      <c r="M93" s="197">
        <v>8.9399615267793803E-2</v>
      </c>
      <c r="N93" s="13" t="s">
        <v>23</v>
      </c>
      <c r="O93" s="36">
        <v>219335781.63999999</v>
      </c>
      <c r="P93" s="24">
        <f t="shared" si="54"/>
        <v>9.4212938055910299E-4</v>
      </c>
      <c r="Q93" s="13" t="s">
        <v>23</v>
      </c>
      <c r="R93" s="67">
        <v>1.0669</v>
      </c>
      <c r="S93" s="13" t="s">
        <v>23</v>
      </c>
      <c r="T93" s="67">
        <v>1.0669</v>
      </c>
      <c r="U93" s="25">
        <v>324</v>
      </c>
      <c r="V93" s="26">
        <v>8.4427767354577909E-4</v>
      </c>
      <c r="W93" s="26">
        <v>9.0310823124430506E-2</v>
      </c>
      <c r="X93" s="27">
        <f t="shared" ref="X93" si="63">((O93-E93)/E93)</f>
        <v>1.3524316497659564E-2</v>
      </c>
      <c r="Y93" s="27">
        <f t="shared" ref="Y93" si="64">((T93-J93)/J93)</f>
        <v>8.442776735458732E-4</v>
      </c>
      <c r="Z93" s="27">
        <f t="shared" ref="Z93" si="65">((U93-K93)/K93)</f>
        <v>4.8543689320388349E-2</v>
      </c>
      <c r="AA93" s="20">
        <f t="shared" ref="AA93" si="66">V93-L93</f>
        <v>-9.0079390752226818E-3</v>
      </c>
      <c r="AB93" s="21">
        <f t="shared" ref="AB93" si="67">W93-M93</f>
        <v>9.1120785663670323E-4</v>
      </c>
    </row>
    <row r="94" spans="1:28" ht="15.6" customHeight="1">
      <c r="A94" s="201">
        <v>83</v>
      </c>
      <c r="B94" s="200" t="s">
        <v>155</v>
      </c>
      <c r="C94" s="12" t="s">
        <v>35</v>
      </c>
      <c r="D94" s="13" t="s">
        <v>23</v>
      </c>
      <c r="E94" s="198">
        <v>341221707.31</v>
      </c>
      <c r="F94" s="24">
        <f t="shared" si="60"/>
        <v>1.4605161663478578E-3</v>
      </c>
      <c r="G94" s="13" t="s">
        <v>23</v>
      </c>
      <c r="H94" s="228">
        <v>156.21369999999999</v>
      </c>
      <c r="I94" s="13" t="s">
        <v>23</v>
      </c>
      <c r="J94" s="228">
        <v>156.21369999999999</v>
      </c>
      <c r="K94" s="223">
        <v>553</v>
      </c>
      <c r="L94" s="197">
        <v>4.0899999999999999E-3</v>
      </c>
      <c r="M94" s="197">
        <v>0.13669999999999999</v>
      </c>
      <c r="N94" s="13" t="s">
        <v>23</v>
      </c>
      <c r="O94" s="81">
        <v>360081746.56999999</v>
      </c>
      <c r="P94" s="24">
        <f t="shared" si="54"/>
        <v>1.5466860459796797E-3</v>
      </c>
      <c r="Q94" s="13" t="s">
        <v>23</v>
      </c>
      <c r="R94" s="67">
        <v>162.6764</v>
      </c>
      <c r="S94" s="13" t="s">
        <v>23</v>
      </c>
      <c r="T94" s="67">
        <v>162.6764</v>
      </c>
      <c r="U94" s="25">
        <v>574</v>
      </c>
      <c r="V94" s="26">
        <v>6.3899999999999998E-3</v>
      </c>
      <c r="W94" s="26">
        <v>0.16289999999999999</v>
      </c>
      <c r="X94" s="27">
        <f t="shared" si="55"/>
        <v>5.5272096868285228E-2</v>
      </c>
      <c r="Y94" s="27">
        <f t="shared" si="56"/>
        <v>4.1370891285463521E-2</v>
      </c>
      <c r="Z94" s="27">
        <f t="shared" si="57"/>
        <v>3.7974683544303799E-2</v>
      </c>
      <c r="AA94" s="20">
        <f t="shared" si="58"/>
        <v>2.3E-3</v>
      </c>
      <c r="AB94" s="21">
        <f t="shared" si="59"/>
        <v>2.6200000000000001E-2</v>
      </c>
    </row>
    <row r="95" spans="1:28" ht="15" customHeight="1">
      <c r="A95" s="201">
        <v>84</v>
      </c>
      <c r="B95" s="200" t="s">
        <v>156</v>
      </c>
      <c r="C95" s="12" t="s">
        <v>86</v>
      </c>
      <c r="D95" s="13" t="s">
        <v>23</v>
      </c>
      <c r="E95" s="198">
        <v>3432503415.1700001</v>
      </c>
      <c r="F95" s="24">
        <f t="shared" si="60"/>
        <v>1.4691992395271324E-2</v>
      </c>
      <c r="G95" s="13" t="s">
        <v>23</v>
      </c>
      <c r="H95" s="205">
        <v>1419.6671759999999</v>
      </c>
      <c r="I95" s="13" t="s">
        <v>23</v>
      </c>
      <c r="J95" s="205">
        <v>1419.6671759999999</v>
      </c>
      <c r="K95" s="223">
        <v>327</v>
      </c>
      <c r="L95" s="197">
        <v>0.16900000000000001</v>
      </c>
      <c r="M95" s="197">
        <v>0.17</v>
      </c>
      <c r="N95" s="13" t="s">
        <v>23</v>
      </c>
      <c r="O95" s="36">
        <v>3459695265.0700002</v>
      </c>
      <c r="P95" s="24">
        <f t="shared" si="54"/>
        <v>1.4860687721046394E-2</v>
      </c>
      <c r="Q95" s="13" t="s">
        <v>23</v>
      </c>
      <c r="R95" s="35">
        <v>1428.8802700000001</v>
      </c>
      <c r="S95" s="13" t="s">
        <v>23</v>
      </c>
      <c r="T95" s="35">
        <v>1428.8802700000001</v>
      </c>
      <c r="U95" s="25">
        <v>328</v>
      </c>
      <c r="V95" s="26">
        <v>3.2000000000000002E-3</v>
      </c>
      <c r="W95" s="26">
        <v>0.170018</v>
      </c>
      <c r="X95" s="27">
        <f t="shared" si="55"/>
        <v>7.921871185859658E-3</v>
      </c>
      <c r="Y95" s="27">
        <f t="shared" si="56"/>
        <v>6.4896154223686746E-3</v>
      </c>
      <c r="Z95" s="27">
        <f t="shared" si="57"/>
        <v>3.0581039755351682E-3</v>
      </c>
      <c r="AA95" s="20">
        <f t="shared" si="58"/>
        <v>-0.1658</v>
      </c>
      <c r="AB95" s="21">
        <f t="shared" si="59"/>
        <v>1.7999999999990246E-5</v>
      </c>
    </row>
    <row r="96" spans="1:28" ht="14.4" customHeight="1">
      <c r="A96" s="201">
        <v>85</v>
      </c>
      <c r="B96" s="207" t="s">
        <v>157</v>
      </c>
      <c r="C96" s="12" t="s">
        <v>88</v>
      </c>
      <c r="D96" s="13" t="s">
        <v>23</v>
      </c>
      <c r="E96" s="198">
        <v>151288648.52000001</v>
      </c>
      <c r="F96" s="24">
        <f t="shared" si="60"/>
        <v>6.4755410401729559E-4</v>
      </c>
      <c r="G96" s="13" t="s">
        <v>23</v>
      </c>
      <c r="H96" s="205">
        <v>1029.3900000000001</v>
      </c>
      <c r="I96" s="13" t="s">
        <v>23</v>
      </c>
      <c r="J96" s="205">
        <v>1051.1099999999999</v>
      </c>
      <c r="K96" s="223">
        <v>70</v>
      </c>
      <c r="L96" s="197">
        <v>3.8999999999999998E-3</v>
      </c>
      <c r="M96" s="197">
        <v>6.2E-2</v>
      </c>
      <c r="N96" s="13" t="s">
        <v>23</v>
      </c>
      <c r="O96" s="81">
        <v>151394091.41</v>
      </c>
      <c r="P96" s="24">
        <f t="shared" si="54"/>
        <v>6.5029435915074489E-4</v>
      </c>
      <c r="Q96" s="13" t="s">
        <v>23</v>
      </c>
      <c r="R96" s="35">
        <v>1030.1099999999999</v>
      </c>
      <c r="S96" s="13" t="s">
        <v>23</v>
      </c>
      <c r="T96" s="35">
        <v>1049.43</v>
      </c>
      <c r="U96" s="25">
        <v>70</v>
      </c>
      <c r="V96" s="56">
        <v>-5.0000000000000001E-4</v>
      </c>
      <c r="W96" s="56">
        <v>6.1499999999999999E-2</v>
      </c>
      <c r="X96" s="27">
        <f t="shared" si="55"/>
        <v>6.9696498072719835E-4</v>
      </c>
      <c r="Y96" s="27">
        <f t="shared" si="56"/>
        <v>-1.5983103576217869E-3</v>
      </c>
      <c r="Z96" s="27">
        <f t="shared" si="57"/>
        <v>0</v>
      </c>
      <c r="AA96" s="20">
        <f t="shared" si="58"/>
        <v>-4.3999999999999994E-3</v>
      </c>
      <c r="AB96" s="21">
        <f t="shared" si="59"/>
        <v>-5.0000000000000044E-4</v>
      </c>
    </row>
    <row r="97" spans="1:28" ht="15" customHeight="1">
      <c r="A97" s="201">
        <v>86</v>
      </c>
      <c r="B97" s="207" t="s">
        <v>158</v>
      </c>
      <c r="C97" s="12" t="s">
        <v>91</v>
      </c>
      <c r="D97" s="13" t="s">
        <v>23</v>
      </c>
      <c r="E97" s="198">
        <v>799078546.16999996</v>
      </c>
      <c r="F97" s="24">
        <f t="shared" si="60"/>
        <v>3.4202605222965702E-3</v>
      </c>
      <c r="G97" s="13" t="s">
        <v>23</v>
      </c>
      <c r="H97" s="214">
        <v>1.22</v>
      </c>
      <c r="I97" s="13" t="s">
        <v>23</v>
      </c>
      <c r="J97" s="214">
        <v>1.22</v>
      </c>
      <c r="K97" s="223">
        <v>77</v>
      </c>
      <c r="L97" s="197">
        <v>1.8E-3</v>
      </c>
      <c r="M97" s="197">
        <v>0.13700000000000001</v>
      </c>
      <c r="N97" s="13" t="s">
        <v>23</v>
      </c>
      <c r="O97" s="36">
        <v>802788879.09000003</v>
      </c>
      <c r="P97" s="24">
        <f t="shared" si="54"/>
        <v>3.4482790893561495E-3</v>
      </c>
      <c r="Q97" s="13" t="s">
        <v>23</v>
      </c>
      <c r="R97" s="68">
        <v>1.22</v>
      </c>
      <c r="S97" s="13" t="s">
        <v>23</v>
      </c>
      <c r="T97" s="68">
        <v>1.22</v>
      </c>
      <c r="U97" s="25">
        <v>78</v>
      </c>
      <c r="V97" s="26">
        <v>1.8E-3</v>
      </c>
      <c r="W97" s="26">
        <v>0.13669999999999999</v>
      </c>
      <c r="X97" s="27">
        <f t="shared" si="55"/>
        <v>4.6432643421398046E-3</v>
      </c>
      <c r="Y97" s="27">
        <f t="shared" si="56"/>
        <v>0</v>
      </c>
      <c r="Z97" s="27">
        <f t="shared" si="57"/>
        <v>1.2987012987012988E-2</v>
      </c>
      <c r="AA97" s="20">
        <f t="shared" si="58"/>
        <v>0</v>
      </c>
      <c r="AB97" s="21">
        <f t="shared" si="59"/>
        <v>-3.0000000000002247E-4</v>
      </c>
    </row>
    <row r="98" spans="1:28" ht="15" customHeight="1">
      <c r="A98" s="201">
        <v>87</v>
      </c>
      <c r="B98" s="200" t="s">
        <v>159</v>
      </c>
      <c r="C98" s="12" t="s">
        <v>37</v>
      </c>
      <c r="D98" s="13" t="s">
        <v>23</v>
      </c>
      <c r="E98" s="198">
        <v>1082298713.45</v>
      </c>
      <c r="F98" s="24">
        <f t="shared" si="60"/>
        <v>4.6325152648484143E-3</v>
      </c>
      <c r="G98" s="13" t="s">
        <v>23</v>
      </c>
      <c r="H98" s="228">
        <v>3.96</v>
      </c>
      <c r="I98" s="13" t="s">
        <v>23</v>
      </c>
      <c r="J98" s="228">
        <v>3.98</v>
      </c>
      <c r="K98" s="227">
        <v>836</v>
      </c>
      <c r="L98" s="224">
        <v>1.0800000000000001E-2</v>
      </c>
      <c r="M98" s="224">
        <v>0.15970000000000001</v>
      </c>
      <c r="N98" s="13" t="s">
        <v>23</v>
      </c>
      <c r="O98" s="81">
        <v>1087942225.6800001</v>
      </c>
      <c r="P98" s="24">
        <f t="shared" si="54"/>
        <v>4.6731195772074866E-3</v>
      </c>
      <c r="Q98" s="13" t="s">
        <v>23</v>
      </c>
      <c r="R98" s="67">
        <v>3.97</v>
      </c>
      <c r="S98" s="13" t="s">
        <v>23</v>
      </c>
      <c r="T98" s="67">
        <v>3.99</v>
      </c>
      <c r="U98" s="61">
        <v>839</v>
      </c>
      <c r="V98" s="62">
        <v>1.29E-2</v>
      </c>
      <c r="W98" s="62">
        <v>0.15840000000000001</v>
      </c>
      <c r="X98" s="27">
        <f>((O98-E98)/E98)</f>
        <v>5.2143758094384332E-3</v>
      </c>
      <c r="Y98" s="27">
        <f>((T98-J98)/J98)</f>
        <v>2.5125628140704099E-3</v>
      </c>
      <c r="Z98" s="27">
        <f>((U98-K98)/K98)</f>
        <v>3.5885167464114833E-3</v>
      </c>
      <c r="AA98" s="20">
        <f>V98-L98</f>
        <v>2.0999999999999994E-3</v>
      </c>
      <c r="AB98" s="21">
        <f>W98-M98</f>
        <v>-1.2999999999999956E-3</v>
      </c>
    </row>
    <row r="99" spans="1:28" ht="14.4" customHeight="1">
      <c r="A99" s="201">
        <v>88</v>
      </c>
      <c r="B99" s="200" t="s">
        <v>160</v>
      </c>
      <c r="C99" s="12" t="s">
        <v>39</v>
      </c>
      <c r="D99" s="13" t="s">
        <v>23</v>
      </c>
      <c r="E99" s="214">
        <v>11768901419.09</v>
      </c>
      <c r="F99" s="24">
        <f t="shared" si="60"/>
        <v>5.0373907680847742E-2</v>
      </c>
      <c r="G99" s="13" t="s">
        <v>23</v>
      </c>
      <c r="H99" s="214">
        <v>1766.14</v>
      </c>
      <c r="I99" s="13" t="s">
        <v>23</v>
      </c>
      <c r="J99" s="214">
        <v>1766.14</v>
      </c>
      <c r="K99" s="223">
        <v>2304</v>
      </c>
      <c r="L99" s="197">
        <v>2.3999999999999998E-3</v>
      </c>
      <c r="M99" s="197">
        <v>5.9900000000000002E-2</v>
      </c>
      <c r="N99" s="13" t="s">
        <v>23</v>
      </c>
      <c r="O99" s="68">
        <v>11779962204.139999</v>
      </c>
      <c r="P99" s="24">
        <f t="shared" si="54"/>
        <v>5.0599352332816497E-2</v>
      </c>
      <c r="Q99" s="13" t="s">
        <v>23</v>
      </c>
      <c r="R99" s="68">
        <v>1770.45</v>
      </c>
      <c r="S99" s="13" t="s">
        <v>23</v>
      </c>
      <c r="T99" s="68">
        <v>1770.45</v>
      </c>
      <c r="U99" s="25">
        <v>2307</v>
      </c>
      <c r="V99" s="56">
        <v>2.3999999999999998E-3</v>
      </c>
      <c r="W99" s="56">
        <v>6.25E-2</v>
      </c>
      <c r="X99" s="27">
        <f t="shared" si="55"/>
        <v>9.3983156593170647E-4</v>
      </c>
      <c r="Y99" s="27">
        <f t="shared" si="56"/>
        <v>2.440350142117808E-3</v>
      </c>
      <c r="Z99" s="27">
        <f t="shared" si="57"/>
        <v>1.3020833333333333E-3</v>
      </c>
      <c r="AA99" s="20">
        <f t="shared" si="58"/>
        <v>0</v>
      </c>
      <c r="AB99" s="21">
        <f t="shared" si="59"/>
        <v>2.5999999999999981E-3</v>
      </c>
    </row>
    <row r="100" spans="1:28" ht="13.95" customHeight="1">
      <c r="A100" s="201">
        <v>89</v>
      </c>
      <c r="B100" s="207" t="s">
        <v>161</v>
      </c>
      <c r="C100" s="12" t="s">
        <v>101</v>
      </c>
      <c r="D100" s="13" t="s">
        <v>23</v>
      </c>
      <c r="E100" s="198">
        <v>24346905.309999999</v>
      </c>
      <c r="F100" s="24">
        <f t="shared" si="60"/>
        <v>1.0421098084914655E-4</v>
      </c>
      <c r="G100" s="13" t="s">
        <v>23</v>
      </c>
      <c r="H100" s="228">
        <v>0.74370000000000003</v>
      </c>
      <c r="I100" s="13" t="s">
        <v>23</v>
      </c>
      <c r="J100" s="228">
        <v>0.74370000000000003</v>
      </c>
      <c r="K100" s="223">
        <v>744</v>
      </c>
      <c r="L100" s="197">
        <v>1.8E-3</v>
      </c>
      <c r="M100" s="197">
        <v>1.9599999999999999E-2</v>
      </c>
      <c r="N100" s="13" t="s">
        <v>23</v>
      </c>
      <c r="O100" s="36">
        <v>24396786.469999999</v>
      </c>
      <c r="P100" s="24">
        <f t="shared" si="54"/>
        <v>1.0479334084367232E-4</v>
      </c>
      <c r="Q100" s="13" t="s">
        <v>23</v>
      </c>
      <c r="R100" s="67">
        <v>0.74519999999999997</v>
      </c>
      <c r="S100" s="13" t="s">
        <v>23</v>
      </c>
      <c r="T100" s="67">
        <v>0.74519999999999997</v>
      </c>
      <c r="U100" s="25">
        <v>744</v>
      </c>
      <c r="V100" s="26">
        <v>2.0169423154497053E-3</v>
      </c>
      <c r="W100" s="26">
        <v>2.1661639703866087E-2</v>
      </c>
      <c r="X100" s="27">
        <f t="shared" si="55"/>
        <v>2.0487679795391685E-3</v>
      </c>
      <c r="Y100" s="27">
        <f t="shared" si="56"/>
        <v>2.0169423154497053E-3</v>
      </c>
      <c r="Z100" s="27">
        <f t="shared" si="57"/>
        <v>0</v>
      </c>
      <c r="AA100" s="20">
        <f t="shared" si="58"/>
        <v>2.1694231544970534E-4</v>
      </c>
      <c r="AB100" s="21">
        <f t="shared" si="59"/>
        <v>2.0616397038660875E-3</v>
      </c>
    </row>
    <row r="101" spans="1:28" ht="15.6" customHeight="1">
      <c r="A101" s="201">
        <v>90</v>
      </c>
      <c r="B101" s="200" t="s">
        <v>162</v>
      </c>
      <c r="C101" s="12" t="s">
        <v>45</v>
      </c>
      <c r="D101" s="13" t="s">
        <v>23</v>
      </c>
      <c r="E101" s="198">
        <v>14847656531.680887</v>
      </c>
      <c r="F101" s="24">
        <f t="shared" si="60"/>
        <v>6.355176687865069E-2</v>
      </c>
      <c r="G101" s="13" t="s">
        <v>23</v>
      </c>
      <c r="H101" s="228">
        <v>1</v>
      </c>
      <c r="I101" s="13" t="s">
        <v>23</v>
      </c>
      <c r="J101" s="228">
        <v>1</v>
      </c>
      <c r="K101" s="223">
        <v>7442</v>
      </c>
      <c r="L101" s="197">
        <v>0.06</v>
      </c>
      <c r="M101" s="197">
        <v>0.06</v>
      </c>
      <c r="N101" s="13" t="s">
        <v>23</v>
      </c>
      <c r="O101" s="36">
        <v>13437382472.620001</v>
      </c>
      <c r="P101" s="24">
        <f t="shared" si="54"/>
        <v>5.7718593521799026E-2</v>
      </c>
      <c r="Q101" s="13" t="s">
        <v>23</v>
      </c>
      <c r="R101" s="67">
        <v>1</v>
      </c>
      <c r="S101" s="13" t="s">
        <v>23</v>
      </c>
      <c r="T101" s="67">
        <v>1</v>
      </c>
      <c r="U101" s="25">
        <v>7507</v>
      </c>
      <c r="V101" s="26">
        <v>0.06</v>
      </c>
      <c r="W101" s="26">
        <v>0.06</v>
      </c>
      <c r="X101" s="27">
        <f t="shared" si="55"/>
        <v>-9.4982939297642191E-2</v>
      </c>
      <c r="Y101" s="27">
        <f t="shared" si="56"/>
        <v>0</v>
      </c>
      <c r="Z101" s="27">
        <f t="shared" si="57"/>
        <v>8.7342112335393705E-3</v>
      </c>
      <c r="AA101" s="20">
        <f t="shared" si="58"/>
        <v>0</v>
      </c>
      <c r="AB101" s="21">
        <f t="shared" si="59"/>
        <v>0</v>
      </c>
    </row>
    <row r="102" spans="1:28" ht="14.4" customHeight="1">
      <c r="A102" s="201">
        <v>91</v>
      </c>
      <c r="B102" s="207" t="s">
        <v>163</v>
      </c>
      <c r="C102" s="12" t="s">
        <v>164</v>
      </c>
      <c r="D102" s="13" t="s">
        <v>23</v>
      </c>
      <c r="E102" s="198">
        <v>2069771498.52</v>
      </c>
      <c r="F102" s="24">
        <f t="shared" si="60"/>
        <v>8.859151306830999E-3</v>
      </c>
      <c r="G102" s="13" t="s">
        <v>23</v>
      </c>
      <c r="H102" s="198">
        <v>290.12</v>
      </c>
      <c r="I102" s="13" t="s">
        <v>23</v>
      </c>
      <c r="J102" s="198">
        <v>290.12</v>
      </c>
      <c r="K102" s="223">
        <v>562</v>
      </c>
      <c r="L102" s="197">
        <v>3.0000000000000001E-3</v>
      </c>
      <c r="M102" s="197">
        <v>0.1532</v>
      </c>
      <c r="N102" s="13" t="s">
        <v>23</v>
      </c>
      <c r="O102" s="81">
        <v>2092833028.51</v>
      </c>
      <c r="P102" s="24">
        <f t="shared" si="54"/>
        <v>8.989502168870827E-3</v>
      </c>
      <c r="Q102" s="13" t="s">
        <v>23</v>
      </c>
      <c r="R102" s="81">
        <v>290.95999999999998</v>
      </c>
      <c r="S102" s="13" t="s">
        <v>23</v>
      </c>
      <c r="T102" s="81">
        <v>290.95999999999998</v>
      </c>
      <c r="U102" s="25">
        <v>562</v>
      </c>
      <c r="V102" s="197">
        <v>3.0000000000000001E-3</v>
      </c>
      <c r="W102" s="197">
        <v>0.1532</v>
      </c>
      <c r="X102" s="27">
        <f t="shared" si="55"/>
        <v>1.1142065685265386E-2</v>
      </c>
      <c r="Y102" s="27">
        <f t="shared" si="56"/>
        <v>2.8953536467667689E-3</v>
      </c>
      <c r="Z102" s="27">
        <f t="shared" si="57"/>
        <v>0</v>
      </c>
      <c r="AA102" s="20">
        <f t="shared" si="58"/>
        <v>0</v>
      </c>
      <c r="AB102" s="21">
        <f t="shared" si="59"/>
        <v>0</v>
      </c>
    </row>
    <row r="103" spans="1:28" ht="13.95" customHeight="1">
      <c r="A103" s="201">
        <v>92</v>
      </c>
      <c r="B103" s="207" t="s">
        <v>165</v>
      </c>
      <c r="C103" s="12" t="s">
        <v>49</v>
      </c>
      <c r="D103" s="13" t="s">
        <v>23</v>
      </c>
      <c r="E103" s="198">
        <v>758265748.21000004</v>
      </c>
      <c r="F103" s="24">
        <f t="shared" si="60"/>
        <v>3.2455713101582724E-3</v>
      </c>
      <c r="G103" s="13" t="s">
        <v>23</v>
      </c>
      <c r="H103" s="228">
        <v>117.57</v>
      </c>
      <c r="I103" s="13" t="s">
        <v>23</v>
      </c>
      <c r="J103" s="228">
        <v>117.57</v>
      </c>
      <c r="K103" s="227">
        <v>209</v>
      </c>
      <c r="L103" s="224">
        <v>0.14940000000000001</v>
      </c>
      <c r="M103" s="224">
        <v>0.17080000000000001</v>
      </c>
      <c r="N103" s="13" t="s">
        <v>23</v>
      </c>
      <c r="O103" s="36">
        <v>733395864.00999999</v>
      </c>
      <c r="P103" s="24">
        <f t="shared" si="54"/>
        <v>3.1502100838176287E-3</v>
      </c>
      <c r="Q103" s="13" t="s">
        <v>23</v>
      </c>
      <c r="R103" s="67">
        <v>110.58</v>
      </c>
      <c r="S103" s="13" t="s">
        <v>23</v>
      </c>
      <c r="T103" s="67">
        <v>110.58</v>
      </c>
      <c r="U103" s="61">
        <v>206</v>
      </c>
      <c r="V103" s="62">
        <v>0.1489</v>
      </c>
      <c r="W103" s="62">
        <v>0.17080000000000001</v>
      </c>
      <c r="X103" s="27">
        <f t="shared" si="55"/>
        <v>-3.2798374789721328E-2</v>
      </c>
      <c r="Y103" s="27">
        <f t="shared" si="56"/>
        <v>-5.9453942332227568E-2</v>
      </c>
      <c r="Z103" s="27">
        <f t="shared" si="57"/>
        <v>-1.4354066985645933E-2</v>
      </c>
      <c r="AA103" s="20">
        <f t="shared" si="58"/>
        <v>-5.0000000000000044E-4</v>
      </c>
      <c r="AB103" s="21">
        <f t="shared" si="59"/>
        <v>0</v>
      </c>
    </row>
    <row r="104" spans="1:28" ht="15.6" customHeight="1">
      <c r="A104" s="201">
        <v>93</v>
      </c>
      <c r="B104" s="193" t="s">
        <v>166</v>
      </c>
      <c r="C104" s="69" t="s">
        <v>53</v>
      </c>
      <c r="D104" s="13" t="s">
        <v>23</v>
      </c>
      <c r="E104" s="198">
        <v>1444548161.04</v>
      </c>
      <c r="F104" s="24">
        <f t="shared" si="60"/>
        <v>6.1830355369221794E-3</v>
      </c>
      <c r="G104" s="13" t="s">
        <v>23</v>
      </c>
      <c r="H104" s="228">
        <v>110.3</v>
      </c>
      <c r="I104" s="13" t="s">
        <v>23</v>
      </c>
      <c r="J104" s="228">
        <v>111.8</v>
      </c>
      <c r="K104" s="223">
        <v>4449</v>
      </c>
      <c r="L104" s="197">
        <v>1.12E-2</v>
      </c>
      <c r="M104" s="197">
        <v>6.5799999999999997E-2</v>
      </c>
      <c r="N104" s="13" t="s">
        <v>23</v>
      </c>
      <c r="O104" s="36">
        <v>1472671122.5</v>
      </c>
      <c r="P104" s="24">
        <f t="shared" si="54"/>
        <v>6.3256743702924259E-3</v>
      </c>
      <c r="Q104" s="13" t="s">
        <v>23</v>
      </c>
      <c r="R104" s="67">
        <v>111.1866</v>
      </c>
      <c r="S104" s="13" t="s">
        <v>23</v>
      </c>
      <c r="T104" s="67">
        <v>111.655</v>
      </c>
      <c r="U104" s="25">
        <v>4448</v>
      </c>
      <c r="V104" s="26">
        <v>-1.6999999999999999E-3</v>
      </c>
      <c r="W104" s="26">
        <v>6.4000000000000001E-2</v>
      </c>
      <c r="X104" s="27">
        <f t="shared" si="55"/>
        <v>1.9468344648165249E-2</v>
      </c>
      <c r="Y104" s="27">
        <f t="shared" si="56"/>
        <v>-1.2969588550983545E-3</v>
      </c>
      <c r="Z104" s="27">
        <f t="shared" si="57"/>
        <v>-2.2476961114857271E-4</v>
      </c>
      <c r="AA104" s="20">
        <f t="shared" si="58"/>
        <v>-1.29E-2</v>
      </c>
      <c r="AB104" s="21">
        <f t="shared" si="59"/>
        <v>-1.799999999999996E-3</v>
      </c>
    </row>
    <row r="105" spans="1:28" ht="13.2" customHeight="1">
      <c r="A105" s="201">
        <v>94</v>
      </c>
      <c r="B105" s="200" t="s">
        <v>167</v>
      </c>
      <c r="C105" s="12" t="s">
        <v>22</v>
      </c>
      <c r="D105" s="13" t="s">
        <v>23</v>
      </c>
      <c r="E105" s="40">
        <v>1815361614.45</v>
      </c>
      <c r="F105" s="15">
        <f t="shared" si="60"/>
        <v>7.7702119439394465E-3</v>
      </c>
      <c r="G105" s="13" t="s">
        <v>23</v>
      </c>
      <c r="H105" s="70">
        <v>417.62389999999999</v>
      </c>
      <c r="I105" s="13" t="s">
        <v>23</v>
      </c>
      <c r="J105" s="70">
        <v>417.62389999999999</v>
      </c>
      <c r="K105" s="18">
        <v>97</v>
      </c>
      <c r="L105" s="19">
        <v>2.8999999999999998E-3</v>
      </c>
      <c r="M105" s="19">
        <v>8.5500000000000007E-2</v>
      </c>
      <c r="N105" s="13" t="s">
        <v>23</v>
      </c>
      <c r="O105" s="40">
        <v>1820983172.6700001</v>
      </c>
      <c r="P105" s="15">
        <f t="shared" si="54"/>
        <v>7.8218051594152894E-3</v>
      </c>
      <c r="Q105" s="13" t="s">
        <v>23</v>
      </c>
      <c r="R105" s="70">
        <v>418.5342</v>
      </c>
      <c r="S105" s="13" t="s">
        <v>23</v>
      </c>
      <c r="T105" s="70">
        <v>418.5342</v>
      </c>
      <c r="U105" s="16">
        <v>97</v>
      </c>
      <c r="V105" s="19">
        <v>2.2000000000000001E-3</v>
      </c>
      <c r="W105" s="19">
        <v>8.7800000000000003E-2</v>
      </c>
      <c r="X105" s="20">
        <f t="shared" si="55"/>
        <v>3.0966602880953785E-3</v>
      </c>
      <c r="Y105" s="20">
        <f t="shared" si="56"/>
        <v>2.1797124158842601E-3</v>
      </c>
      <c r="Z105" s="20">
        <f t="shared" si="57"/>
        <v>0</v>
      </c>
      <c r="AA105" s="20">
        <f t="shared" si="58"/>
        <v>-6.9999999999999967E-4</v>
      </c>
      <c r="AB105" s="21">
        <f t="shared" si="59"/>
        <v>2.2999999999999965E-3</v>
      </c>
    </row>
    <row r="106" spans="1:28" ht="14.4" customHeight="1">
      <c r="A106" s="201">
        <v>95</v>
      </c>
      <c r="B106" s="200" t="s">
        <v>168</v>
      </c>
      <c r="C106" s="12" t="s">
        <v>114</v>
      </c>
      <c r="D106" s="13" t="s">
        <v>23</v>
      </c>
      <c r="E106" s="203">
        <v>4059752869.7600002</v>
      </c>
      <c r="F106" s="24">
        <f>(E106/$O$79)</f>
        <v>6.3768232175561118E-4</v>
      </c>
      <c r="G106" s="13" t="s">
        <v>23</v>
      </c>
      <c r="H106" s="228">
        <v>106.4</v>
      </c>
      <c r="I106" s="71" t="s">
        <v>23</v>
      </c>
      <c r="J106" s="228">
        <v>106.4</v>
      </c>
      <c r="K106" s="223">
        <v>511</v>
      </c>
      <c r="L106" s="197">
        <v>3.3543534453085617E-3</v>
      </c>
      <c r="M106" s="197">
        <v>0.12230158186051779</v>
      </c>
      <c r="N106" s="13" t="s">
        <v>23</v>
      </c>
      <c r="O106" s="55">
        <v>4069802204</v>
      </c>
      <c r="P106" s="24">
        <f t="shared" si="54"/>
        <v>1.7481325667810414E-2</v>
      </c>
      <c r="Q106" s="13" t="s">
        <v>23</v>
      </c>
      <c r="R106" s="67">
        <v>106.68</v>
      </c>
      <c r="S106" s="71" t="s">
        <v>23</v>
      </c>
      <c r="T106" s="67">
        <v>106.68</v>
      </c>
      <c r="U106" s="25">
        <v>512</v>
      </c>
      <c r="V106" s="56">
        <v>2.5999999999999999E-3</v>
      </c>
      <c r="W106" s="56">
        <v>0.123</v>
      </c>
      <c r="X106" s="27">
        <f t="shared" si="55"/>
        <v>2.475356151566402E-3</v>
      </c>
      <c r="Y106" s="27">
        <f t="shared" si="56"/>
        <v>2.6315789473684314E-3</v>
      </c>
      <c r="Z106" s="27">
        <f t="shared" si="57"/>
        <v>1.9569471624266144E-3</v>
      </c>
      <c r="AA106" s="20">
        <f t="shared" si="58"/>
        <v>-7.5435344530856187E-4</v>
      </c>
      <c r="AB106" s="21">
        <f t="shared" si="59"/>
        <v>6.9841813948220977E-4</v>
      </c>
    </row>
    <row r="107" spans="1:28" ht="14.4" customHeight="1">
      <c r="A107" s="201">
        <v>96</v>
      </c>
      <c r="B107" s="207" t="s">
        <v>169</v>
      </c>
      <c r="C107" s="12" t="s">
        <v>51</v>
      </c>
      <c r="D107" s="13" t="s">
        <v>23</v>
      </c>
      <c r="E107" s="198">
        <v>62118559.789999999</v>
      </c>
      <c r="F107" s="24">
        <f t="shared" ref="F107:F119" si="68">(E107/$E$120)</f>
        <v>2.6588332119538091E-4</v>
      </c>
      <c r="G107" s="13" t="s">
        <v>23</v>
      </c>
      <c r="H107" s="198">
        <v>12.03</v>
      </c>
      <c r="I107" s="13" t="s">
        <v>23</v>
      </c>
      <c r="J107" s="198">
        <v>13.1</v>
      </c>
      <c r="K107" s="223">
        <v>53</v>
      </c>
      <c r="L107" s="197">
        <v>2.0000000000000001E-4</v>
      </c>
      <c r="M107" s="197">
        <v>6.6E-3</v>
      </c>
      <c r="N107" s="13" t="s">
        <v>23</v>
      </c>
      <c r="O107" s="36">
        <v>62111322.32</v>
      </c>
      <c r="P107" s="24">
        <f t="shared" si="54"/>
        <v>2.6679140624256785E-4</v>
      </c>
      <c r="Q107" s="13" t="s">
        <v>23</v>
      </c>
      <c r="R107" s="36">
        <v>12.93</v>
      </c>
      <c r="S107" s="13" t="s">
        <v>23</v>
      </c>
      <c r="T107" s="36">
        <v>13.1</v>
      </c>
      <c r="U107" s="25">
        <v>53</v>
      </c>
      <c r="V107" s="26">
        <v>0</v>
      </c>
      <c r="W107" s="26">
        <v>0.65649999999999997</v>
      </c>
      <c r="X107" s="27">
        <f t="shared" si="55"/>
        <v>-1.1651058917763116E-4</v>
      </c>
      <c r="Y107" s="27">
        <f t="shared" si="56"/>
        <v>0</v>
      </c>
      <c r="Z107" s="27">
        <f t="shared" si="57"/>
        <v>0</v>
      </c>
      <c r="AA107" s="20">
        <f t="shared" si="58"/>
        <v>-2.0000000000000001E-4</v>
      </c>
      <c r="AB107" s="21">
        <f t="shared" si="59"/>
        <v>0.64989999999999992</v>
      </c>
    </row>
    <row r="108" spans="1:28" ht="13.95" customHeight="1">
      <c r="A108" s="201">
        <v>97</v>
      </c>
      <c r="B108" s="207" t="s">
        <v>170</v>
      </c>
      <c r="C108" s="12" t="s">
        <v>123</v>
      </c>
      <c r="D108" s="13" t="s">
        <v>23</v>
      </c>
      <c r="E108" s="198">
        <v>1205663362.05</v>
      </c>
      <c r="F108" s="24">
        <f t="shared" si="68"/>
        <v>5.1605475083317765E-3</v>
      </c>
      <c r="G108" s="13" t="s">
        <v>23</v>
      </c>
      <c r="H108" s="198">
        <v>171.98</v>
      </c>
      <c r="I108" s="13" t="s">
        <v>23</v>
      </c>
      <c r="J108" s="198">
        <v>171.98</v>
      </c>
      <c r="K108" s="223">
        <v>190</v>
      </c>
      <c r="L108" s="197">
        <v>0.2893</v>
      </c>
      <c r="M108" s="197">
        <v>0.1787</v>
      </c>
      <c r="N108" s="13" t="s">
        <v>23</v>
      </c>
      <c r="O108" s="81">
        <v>1208366244.0799999</v>
      </c>
      <c r="P108" s="24">
        <f t="shared" si="54"/>
        <v>5.1903858664162656E-3</v>
      </c>
      <c r="Q108" s="13" t="s">
        <v>23</v>
      </c>
      <c r="R108" s="81">
        <v>172.28</v>
      </c>
      <c r="S108" s="13" t="s">
        <v>23</v>
      </c>
      <c r="T108" s="81">
        <v>172.28</v>
      </c>
      <c r="U108" s="25">
        <v>191</v>
      </c>
      <c r="V108" s="56">
        <v>6.25E-2</v>
      </c>
      <c r="W108" s="26">
        <v>6.25E-2</v>
      </c>
      <c r="X108" s="27">
        <f t="shared" si="55"/>
        <v>2.2418214860607834E-3</v>
      </c>
      <c r="Y108" s="27">
        <f t="shared" si="56"/>
        <v>1.7443888824282556E-3</v>
      </c>
      <c r="Z108" s="27">
        <f t="shared" si="57"/>
        <v>5.263157894736842E-3</v>
      </c>
      <c r="AA108" s="20">
        <f t="shared" si="58"/>
        <v>-0.2268</v>
      </c>
      <c r="AB108" s="21">
        <f t="shared" si="59"/>
        <v>-0.1162</v>
      </c>
    </row>
    <row r="109" spans="1:28" ht="14.4" customHeight="1">
      <c r="A109" s="201">
        <v>98</v>
      </c>
      <c r="B109" s="200" t="s">
        <v>171</v>
      </c>
      <c r="C109" s="12" t="s">
        <v>172</v>
      </c>
      <c r="D109" s="13" t="s">
        <v>23</v>
      </c>
      <c r="E109" s="198">
        <v>12807806182.897694</v>
      </c>
      <c r="F109" s="24">
        <f t="shared" si="68"/>
        <v>5.4820685744291518E-2</v>
      </c>
      <c r="G109" s="13" t="s">
        <v>23</v>
      </c>
      <c r="H109" s="198">
        <v>1.0900000000000001</v>
      </c>
      <c r="I109" s="13" t="s">
        <v>23</v>
      </c>
      <c r="J109" s="198">
        <v>1.0900000000000001</v>
      </c>
      <c r="K109" s="223">
        <v>5557</v>
      </c>
      <c r="L109" s="197">
        <v>0.16020000000000001</v>
      </c>
      <c r="M109" s="197">
        <v>0.16020000000000001</v>
      </c>
      <c r="N109" s="13" t="s">
        <v>23</v>
      </c>
      <c r="O109" s="36">
        <v>12765903967.209391</v>
      </c>
      <c r="P109" s="24">
        <f t="shared" si="54"/>
        <v>5.4834341697353982E-2</v>
      </c>
      <c r="Q109" s="13" t="s">
        <v>23</v>
      </c>
      <c r="R109" s="36">
        <v>1.0920975944649747</v>
      </c>
      <c r="S109" s="13" t="s">
        <v>23</v>
      </c>
      <c r="T109" s="81">
        <v>1.0920975944649747</v>
      </c>
      <c r="U109" s="25">
        <v>5574</v>
      </c>
      <c r="V109" s="56">
        <v>0.16039999999999999</v>
      </c>
      <c r="W109" s="26">
        <v>0.16039999999999999</v>
      </c>
      <c r="X109" s="27">
        <f t="shared" si="55"/>
        <v>-3.2716153797092249E-3</v>
      </c>
      <c r="Y109" s="27">
        <f t="shared" si="56"/>
        <v>1.9243985917198115E-3</v>
      </c>
      <c r="Z109" s="27">
        <f t="shared" si="57"/>
        <v>3.0592046068022316E-3</v>
      </c>
      <c r="AA109" s="20">
        <f t="shared" si="58"/>
        <v>1.9999999999997797E-4</v>
      </c>
      <c r="AB109" s="21">
        <f t="shared" si="59"/>
        <v>1.9999999999997797E-4</v>
      </c>
    </row>
    <row r="110" spans="1:28" ht="13.5" customHeight="1">
      <c r="A110" s="201">
        <v>99</v>
      </c>
      <c r="B110" s="200" t="s">
        <v>173</v>
      </c>
      <c r="C110" s="12" t="s">
        <v>55</v>
      </c>
      <c r="D110" s="13" t="s">
        <v>23</v>
      </c>
      <c r="E110" s="198">
        <v>14911813445.639999</v>
      </c>
      <c r="F110" s="24">
        <f t="shared" si="68"/>
        <v>6.3826374876948824E-2</v>
      </c>
      <c r="G110" s="13" t="s">
        <v>23</v>
      </c>
      <c r="H110" s="228">
        <v>259.32</v>
      </c>
      <c r="I110" s="13" t="s">
        <v>23</v>
      </c>
      <c r="J110" s="228">
        <v>259.32</v>
      </c>
      <c r="K110" s="223">
        <v>5915</v>
      </c>
      <c r="L110" s="197">
        <v>2.7000964320151601E-4</v>
      </c>
      <c r="M110" s="197">
        <v>3.0859435272328302E-4</v>
      </c>
      <c r="N110" s="13" t="s">
        <v>23</v>
      </c>
      <c r="O110" s="81">
        <v>14936073874.17</v>
      </c>
      <c r="P110" s="24">
        <f t="shared" si="54"/>
        <v>6.4156034741987319E-2</v>
      </c>
      <c r="Q110" s="13" t="s">
        <v>23</v>
      </c>
      <c r="R110" s="67">
        <v>259.88</v>
      </c>
      <c r="S110" s="13" t="s">
        <v>23</v>
      </c>
      <c r="T110" s="67">
        <v>259.88</v>
      </c>
      <c r="U110" s="25">
        <v>5917</v>
      </c>
      <c r="V110" s="56">
        <v>2.2000000000000001E-3</v>
      </c>
      <c r="W110" s="56">
        <v>2.5000000000000001E-3</v>
      </c>
      <c r="X110" s="27">
        <f t="shared" si="55"/>
        <v>1.6269267730876884E-3</v>
      </c>
      <c r="Y110" s="27">
        <f t="shared" si="56"/>
        <v>2.15949406139134E-3</v>
      </c>
      <c r="Z110" s="27">
        <f t="shared" si="57"/>
        <v>3.3812341504649198E-4</v>
      </c>
      <c r="AA110" s="20">
        <f t="shared" si="58"/>
        <v>1.9299903567984841E-3</v>
      </c>
      <c r="AB110" s="21">
        <f t="shared" si="59"/>
        <v>2.191405647276717E-3</v>
      </c>
    </row>
    <row r="111" spans="1:28" ht="13.5" customHeight="1">
      <c r="A111" s="201">
        <v>100</v>
      </c>
      <c r="B111" s="200" t="s">
        <v>174</v>
      </c>
      <c r="C111" s="12" t="s">
        <v>55</v>
      </c>
      <c r="D111" s="13" t="s">
        <v>23</v>
      </c>
      <c r="E111" s="198">
        <v>1333825628.75</v>
      </c>
      <c r="F111" s="24">
        <f t="shared" si="68"/>
        <v>5.7091147841559957E-3</v>
      </c>
      <c r="G111" s="13" t="s">
        <v>23</v>
      </c>
      <c r="H111" s="205">
        <v>11015.88</v>
      </c>
      <c r="I111" s="13" t="s">
        <v>23</v>
      </c>
      <c r="J111" s="205">
        <v>11066.96</v>
      </c>
      <c r="K111" s="223">
        <v>32</v>
      </c>
      <c r="L111" s="197">
        <v>2.78991715423021E-3</v>
      </c>
      <c r="M111" s="197">
        <v>0.174364029758727</v>
      </c>
      <c r="N111" s="13" t="s">
        <v>23</v>
      </c>
      <c r="O111" s="81">
        <v>1328695171.4400001</v>
      </c>
      <c r="P111" s="24">
        <f t="shared" si="54"/>
        <v>5.7072437039718685E-3</v>
      </c>
      <c r="Q111" s="13" t="s">
        <v>23</v>
      </c>
      <c r="R111" s="35">
        <v>10958.38</v>
      </c>
      <c r="S111" s="13" t="s">
        <v>23</v>
      </c>
      <c r="T111" s="35">
        <v>11006.97</v>
      </c>
      <c r="U111" s="25">
        <v>33</v>
      </c>
      <c r="V111" s="56">
        <v>-5.1999999999999998E-3</v>
      </c>
      <c r="W111" s="56">
        <v>0.16830000000000001</v>
      </c>
      <c r="X111" s="27">
        <f t="shared" si="55"/>
        <v>-3.8464228002636079E-3</v>
      </c>
      <c r="Y111" s="27">
        <f t="shared" si="56"/>
        <v>-5.4206394529301436E-3</v>
      </c>
      <c r="Z111" s="27">
        <f t="shared" si="57"/>
        <v>3.125E-2</v>
      </c>
      <c r="AA111" s="20">
        <f t="shared" si="58"/>
        <v>-7.9899171542302094E-3</v>
      </c>
      <c r="AB111" s="21">
        <f t="shared" si="59"/>
        <v>-6.0640297587269965E-3</v>
      </c>
    </row>
    <row r="112" spans="1:28" ht="15" customHeight="1">
      <c r="A112" s="201">
        <v>101</v>
      </c>
      <c r="B112" s="200" t="s">
        <v>175</v>
      </c>
      <c r="C112" s="12" t="s">
        <v>55</v>
      </c>
      <c r="D112" s="13" t="s">
        <v>23</v>
      </c>
      <c r="E112" s="198">
        <v>6062191760.0600004</v>
      </c>
      <c r="F112" s="24">
        <f t="shared" si="68"/>
        <v>2.5947730989531119E-2</v>
      </c>
      <c r="G112" s="13" t="s">
        <v>23</v>
      </c>
      <c r="H112" s="228">
        <v>178.52</v>
      </c>
      <c r="I112" s="13" t="s">
        <v>23</v>
      </c>
      <c r="J112" s="228">
        <v>178.52</v>
      </c>
      <c r="K112" s="223">
        <v>7130</v>
      </c>
      <c r="L112" s="197">
        <v>5.5198828433030197E-3</v>
      </c>
      <c r="M112" s="197">
        <v>0.1764</v>
      </c>
      <c r="N112" s="13" t="s">
        <v>23</v>
      </c>
      <c r="O112" s="81">
        <v>6110701274.4700003</v>
      </c>
      <c r="P112" s="24">
        <f t="shared" si="54"/>
        <v>2.6247752024096706E-2</v>
      </c>
      <c r="Q112" s="13" t="s">
        <v>23</v>
      </c>
      <c r="R112" s="67">
        <v>178.93</v>
      </c>
      <c r="S112" s="13" t="s">
        <v>23</v>
      </c>
      <c r="T112" s="67">
        <v>178.93</v>
      </c>
      <c r="U112" s="25">
        <v>7181</v>
      </c>
      <c r="V112" s="56">
        <v>2.3E-3</v>
      </c>
      <c r="W112" s="56">
        <v>0.17510000000000001</v>
      </c>
      <c r="X112" s="27">
        <f t="shared" si="55"/>
        <v>8.0019762373072355E-3</v>
      </c>
      <c r="Y112" s="27">
        <f t="shared" si="56"/>
        <v>2.2966614384942671E-3</v>
      </c>
      <c r="Z112" s="27">
        <f t="shared" si="57"/>
        <v>7.152875175315568E-3</v>
      </c>
      <c r="AA112" s="20">
        <f t="shared" si="58"/>
        <v>-3.2198828433030197E-3</v>
      </c>
      <c r="AB112" s="21">
        <f t="shared" si="59"/>
        <v>-1.2999999999999956E-3</v>
      </c>
    </row>
    <row r="113" spans="1:34" ht="15" customHeight="1">
      <c r="A113" s="201">
        <v>102</v>
      </c>
      <c r="B113" s="200" t="s">
        <v>176</v>
      </c>
      <c r="C113" s="12" t="s">
        <v>55</v>
      </c>
      <c r="D113" s="13" t="s">
        <v>23</v>
      </c>
      <c r="E113" s="198">
        <v>5792434012.4399996</v>
      </c>
      <c r="F113" s="24">
        <f t="shared" si="68"/>
        <v>2.4793098845806862E-2</v>
      </c>
      <c r="G113" s="13" t="s">
        <v>23</v>
      </c>
      <c r="H113" s="228">
        <v>397.78</v>
      </c>
      <c r="I113" s="13" t="s">
        <v>23</v>
      </c>
      <c r="J113" s="228">
        <v>397.78</v>
      </c>
      <c r="K113" s="223">
        <v>13913</v>
      </c>
      <c r="L113" s="197">
        <v>2.1666834626626699E-3</v>
      </c>
      <c r="M113" s="197">
        <v>3.2577940451158999E-2</v>
      </c>
      <c r="N113" s="13" t="s">
        <v>23</v>
      </c>
      <c r="O113" s="81">
        <v>5866719125.29</v>
      </c>
      <c r="P113" s="24">
        <f t="shared" si="54"/>
        <v>2.5199757258465121E-2</v>
      </c>
      <c r="Q113" s="13" t="s">
        <v>23</v>
      </c>
      <c r="R113" s="67">
        <v>398.81</v>
      </c>
      <c r="S113" s="13" t="s">
        <v>23</v>
      </c>
      <c r="T113" s="67">
        <v>398.81</v>
      </c>
      <c r="U113" s="25">
        <v>14045</v>
      </c>
      <c r="V113" s="56">
        <v>2.5999999999999999E-3</v>
      </c>
      <c r="W113" s="56">
        <v>3.5299999999999998E-2</v>
      </c>
      <c r="X113" s="27">
        <f t="shared" si="55"/>
        <v>1.2824507398869546E-2</v>
      </c>
      <c r="Y113" s="27">
        <f t="shared" si="56"/>
        <v>2.5893710091005823E-3</v>
      </c>
      <c r="Z113" s="27">
        <f t="shared" si="57"/>
        <v>9.4875296485301512E-3</v>
      </c>
      <c r="AA113" s="20">
        <f t="shared" si="58"/>
        <v>4.3331653733733001E-4</v>
      </c>
      <c r="AB113" s="21">
        <f t="shared" si="59"/>
        <v>2.7220595488409993E-3</v>
      </c>
    </row>
    <row r="114" spans="1:34" ht="15" customHeight="1">
      <c r="A114" s="201">
        <v>103</v>
      </c>
      <c r="B114" s="200" t="s">
        <v>177</v>
      </c>
      <c r="C114" s="12" t="s">
        <v>132</v>
      </c>
      <c r="D114" s="13" t="s">
        <v>23</v>
      </c>
      <c r="E114" s="198">
        <v>118215361.86</v>
      </c>
      <c r="F114" s="24">
        <f t="shared" si="68"/>
        <v>5.0599197943269902E-4</v>
      </c>
      <c r="G114" s="13" t="s">
        <v>23</v>
      </c>
      <c r="H114" s="228">
        <v>121.9486</v>
      </c>
      <c r="I114" s="13" t="s">
        <v>23</v>
      </c>
      <c r="J114" s="228">
        <v>121.9486</v>
      </c>
      <c r="K114" s="223">
        <v>18</v>
      </c>
      <c r="L114" s="197">
        <v>3.4890410958904102E-3</v>
      </c>
      <c r="M114" s="197">
        <v>0.12853000000000001</v>
      </c>
      <c r="N114" s="13" t="s">
        <v>23</v>
      </c>
      <c r="O114" s="36">
        <v>118531922.62</v>
      </c>
      <c r="P114" s="24">
        <f t="shared" si="54"/>
        <v>5.0913902875067689E-4</v>
      </c>
      <c r="Q114" s="13" t="s">
        <v>23</v>
      </c>
      <c r="R114" s="67">
        <v>122.2373</v>
      </c>
      <c r="S114" s="13" t="s">
        <v>23</v>
      </c>
      <c r="T114" s="67">
        <v>122.2373</v>
      </c>
      <c r="U114" s="25">
        <v>18</v>
      </c>
      <c r="V114" s="26">
        <v>2.23561643835621E-3</v>
      </c>
      <c r="W114" s="26">
        <v>0.128667</v>
      </c>
      <c r="X114" s="27">
        <f t="shared" ref="X114" si="69">((O114-E114)/E114)</f>
        <v>2.6778309943753477E-3</v>
      </c>
      <c r="Y114" s="27">
        <f t="shared" ref="Y114" si="70">((T114-J114)/J114)</f>
        <v>2.3673908515555384E-3</v>
      </c>
      <c r="Z114" s="27">
        <f t="shared" ref="Z114" si="71">((U114-K114)/K114)</f>
        <v>0</v>
      </c>
      <c r="AA114" s="20">
        <f>V114-L114</f>
        <v>-1.2534246575342002E-3</v>
      </c>
      <c r="AB114" s="21">
        <f>W114-M114</f>
        <v>1.3699999999999823E-4</v>
      </c>
    </row>
    <row r="115" spans="1:34" ht="13.95" customHeight="1">
      <c r="A115" s="201">
        <v>104</v>
      </c>
      <c r="B115" s="200" t="s">
        <v>178</v>
      </c>
      <c r="C115" s="12" t="s">
        <v>58</v>
      </c>
      <c r="D115" s="13" t="s">
        <v>23</v>
      </c>
      <c r="E115" s="198">
        <v>76195816061.339996</v>
      </c>
      <c r="F115" s="24">
        <f t="shared" si="68"/>
        <v>0.32613757794885007</v>
      </c>
      <c r="G115" s="13" t="s">
        <v>23</v>
      </c>
      <c r="H115" s="198">
        <v>1.89669</v>
      </c>
      <c r="I115" s="13" t="s">
        <v>23</v>
      </c>
      <c r="J115" s="198">
        <v>1.89669</v>
      </c>
      <c r="K115" s="223">
        <v>7270</v>
      </c>
      <c r="L115" s="197">
        <v>1.6000000000000001E-3</v>
      </c>
      <c r="M115" s="197">
        <v>0.1021</v>
      </c>
      <c r="N115" s="13" t="s">
        <v>23</v>
      </c>
      <c r="O115" s="81">
        <v>76324665296.449997</v>
      </c>
      <c r="P115" s="24">
        <f t="shared" si="54"/>
        <v>0.32784304092776251</v>
      </c>
      <c r="Q115" s="13" t="s">
        <v>23</v>
      </c>
      <c r="R115" s="81">
        <v>1.89971</v>
      </c>
      <c r="S115" s="13" t="s">
        <v>23</v>
      </c>
      <c r="T115" s="81">
        <v>1.89971</v>
      </c>
      <c r="U115" s="25">
        <v>7270</v>
      </c>
      <c r="V115" s="56">
        <v>1.6000000000000001E-3</v>
      </c>
      <c r="W115" s="56">
        <v>0.1021</v>
      </c>
      <c r="X115" s="27">
        <f t="shared" si="55"/>
        <v>1.6910276937814142E-3</v>
      </c>
      <c r="Y115" s="27">
        <f t="shared" si="56"/>
        <v>1.5922475470424911E-3</v>
      </c>
      <c r="Z115" s="27">
        <f t="shared" si="57"/>
        <v>0</v>
      </c>
      <c r="AA115" s="20">
        <f t="shared" si="58"/>
        <v>0</v>
      </c>
      <c r="AB115" s="21">
        <f t="shared" si="59"/>
        <v>0</v>
      </c>
    </row>
    <row r="116" spans="1:34" ht="12.6" customHeight="1">
      <c r="A116" s="201">
        <v>105</v>
      </c>
      <c r="B116" s="200" t="s">
        <v>179</v>
      </c>
      <c r="C116" s="12" t="s">
        <v>58</v>
      </c>
      <c r="D116" s="13" t="s">
        <v>23</v>
      </c>
      <c r="E116" s="198">
        <v>54131447532.169998</v>
      </c>
      <c r="F116" s="24">
        <f t="shared" si="68"/>
        <v>0.23169643822431038</v>
      </c>
      <c r="G116" s="13" t="s">
        <v>23</v>
      </c>
      <c r="H116" s="198">
        <v>128.96734000000001</v>
      </c>
      <c r="I116" s="13" t="s">
        <v>23</v>
      </c>
      <c r="J116" s="198">
        <v>128.96734000000001</v>
      </c>
      <c r="K116" s="223">
        <v>1936</v>
      </c>
      <c r="L116" s="197">
        <v>2.2000000000000001E-3</v>
      </c>
      <c r="M116" s="197">
        <v>0.1749</v>
      </c>
      <c r="N116" s="13" t="s">
        <v>23</v>
      </c>
      <c r="O116" s="81">
        <v>54298877878.260002</v>
      </c>
      <c r="P116" s="24">
        <f t="shared" si="54"/>
        <v>0.23323402956870817</v>
      </c>
      <c r="Q116" s="13" t="s">
        <v>23</v>
      </c>
      <c r="R116" s="81">
        <v>129.33615</v>
      </c>
      <c r="S116" s="13" t="s">
        <v>23</v>
      </c>
      <c r="T116" s="81">
        <v>129.33615</v>
      </c>
      <c r="U116" s="25">
        <v>1942</v>
      </c>
      <c r="V116" s="56">
        <v>2.8999999999999998E-3</v>
      </c>
      <c r="W116" s="56">
        <v>0.17519999999999999</v>
      </c>
      <c r="X116" s="27">
        <f t="shared" ref="X116:X118" si="72">((O116-E116)/E116)</f>
        <v>3.0930328620992651E-3</v>
      </c>
      <c r="Y116" s="27">
        <f t="shared" ref="Y116:Y118" si="73">((T116-J116)/J116)</f>
        <v>2.8597162661492151E-3</v>
      </c>
      <c r="Z116" s="27">
        <f t="shared" ref="Z116:Z118" si="74">((U116-K116)/K116)</f>
        <v>3.0991735537190084E-3</v>
      </c>
      <c r="AA116" s="20">
        <f t="shared" ref="AA116:AA118" si="75">V116-L116</f>
        <v>6.9999999999999967E-4</v>
      </c>
      <c r="AB116" s="21">
        <f t="shared" ref="AB116:AB118" si="76">W116-M116</f>
        <v>2.9999999999999472E-4</v>
      </c>
      <c r="AD116" s="10"/>
    </row>
    <row r="117" spans="1:34" ht="15" customHeight="1">
      <c r="A117" s="201">
        <v>106</v>
      </c>
      <c r="B117" s="200" t="s">
        <v>180</v>
      </c>
      <c r="C117" s="37" t="s">
        <v>181</v>
      </c>
      <c r="D117" s="13" t="s">
        <v>23</v>
      </c>
      <c r="E117" s="198">
        <v>121396884.27</v>
      </c>
      <c r="F117" s="24">
        <f t="shared" si="68"/>
        <v>5.1960970894362221E-4</v>
      </c>
      <c r="G117" s="13" t="s">
        <v>23</v>
      </c>
      <c r="H117" s="198">
        <v>121.65</v>
      </c>
      <c r="I117" s="13" t="s">
        <v>23</v>
      </c>
      <c r="J117" s="198">
        <v>121.65</v>
      </c>
      <c r="K117" s="229">
        <v>89</v>
      </c>
      <c r="L117" s="230">
        <v>-2.7853646220986203E-3</v>
      </c>
      <c r="M117" s="230">
        <v>0.10191352802540488</v>
      </c>
      <c r="N117" s="13" t="s">
        <v>23</v>
      </c>
      <c r="O117" s="36">
        <v>121720705.05</v>
      </c>
      <c r="P117" s="24">
        <f t="shared" si="54"/>
        <v>5.2283604431763327E-4</v>
      </c>
      <c r="Q117" s="13" t="s">
        <v>23</v>
      </c>
      <c r="R117" s="36">
        <v>121.94</v>
      </c>
      <c r="S117" s="13" t="s">
        <v>23</v>
      </c>
      <c r="T117" s="36">
        <v>121.94</v>
      </c>
      <c r="U117" s="72">
        <v>89</v>
      </c>
      <c r="V117" s="73">
        <v>3.7632045514033024E-3</v>
      </c>
      <c r="W117" s="73">
        <v>0.10458011256899691</v>
      </c>
      <c r="X117" s="27">
        <f t="shared" si="72"/>
        <v>2.6674554453950255E-3</v>
      </c>
      <c r="Y117" s="27">
        <f t="shared" si="73"/>
        <v>2.3838882038634776E-3</v>
      </c>
      <c r="Z117" s="27">
        <f t="shared" si="74"/>
        <v>0</v>
      </c>
      <c r="AA117" s="20">
        <f t="shared" si="75"/>
        <v>6.5485691735019226E-3</v>
      </c>
      <c r="AB117" s="21">
        <f t="shared" si="76"/>
        <v>2.6665845435920321E-3</v>
      </c>
      <c r="AD117" s="31"/>
    </row>
    <row r="118" spans="1:34" ht="15.6" customHeight="1">
      <c r="A118" s="201">
        <v>107</v>
      </c>
      <c r="B118" s="200" t="s">
        <v>182</v>
      </c>
      <c r="C118" s="12" t="s">
        <v>60</v>
      </c>
      <c r="D118" s="13" t="s">
        <v>23</v>
      </c>
      <c r="E118" s="198">
        <v>538085686.58000004</v>
      </c>
      <c r="F118" s="24">
        <f t="shared" si="68"/>
        <v>2.3031443407453027E-3</v>
      </c>
      <c r="G118" s="13" t="s">
        <v>23</v>
      </c>
      <c r="H118" s="198">
        <v>1.5</v>
      </c>
      <c r="I118" s="13" t="s">
        <v>23</v>
      </c>
      <c r="J118" s="198">
        <v>1.5</v>
      </c>
      <c r="K118" s="223">
        <v>969</v>
      </c>
      <c r="L118" s="197">
        <v>1.2106E-2</v>
      </c>
      <c r="M118" s="197">
        <v>9.0081999999999995E-2</v>
      </c>
      <c r="N118" s="13" t="s">
        <v>23</v>
      </c>
      <c r="O118" s="36">
        <v>526735596.60000002</v>
      </c>
      <c r="P118" s="24">
        <f t="shared" si="54"/>
        <v>2.2625267871600506E-3</v>
      </c>
      <c r="Q118" s="13" t="s">
        <v>23</v>
      </c>
      <c r="R118" s="36">
        <v>1.4741</v>
      </c>
      <c r="S118" s="13" t="s">
        <v>23</v>
      </c>
      <c r="T118" s="81">
        <v>1.4741</v>
      </c>
      <c r="U118" s="25">
        <v>977</v>
      </c>
      <c r="V118" s="26">
        <v>-1.46E-2</v>
      </c>
      <c r="W118" s="26">
        <v>7.4985999999999997E-2</v>
      </c>
      <c r="X118" s="27">
        <f t="shared" si="72"/>
        <v>-2.1093461995132519E-2</v>
      </c>
      <c r="Y118" s="27">
        <f t="shared" si="73"/>
        <v>-1.7266666666666691E-2</v>
      </c>
      <c r="Z118" s="27">
        <f t="shared" si="74"/>
        <v>8.2559339525283791E-3</v>
      </c>
      <c r="AA118" s="20">
        <f t="shared" si="75"/>
        <v>-2.6706000000000001E-2</v>
      </c>
      <c r="AB118" s="21">
        <f t="shared" si="76"/>
        <v>-1.5095999999999998E-2</v>
      </c>
    </row>
    <row r="119" spans="1:34" ht="16.95" customHeight="1">
      <c r="A119" s="201">
        <v>108</v>
      </c>
      <c r="B119" s="200" t="s">
        <v>183</v>
      </c>
      <c r="C119" s="12" t="s">
        <v>140</v>
      </c>
      <c r="D119" s="13" t="s">
        <v>23</v>
      </c>
      <c r="E119" s="198">
        <v>2125474069.04</v>
      </c>
      <c r="F119" s="24">
        <f t="shared" si="68"/>
        <v>9.0975725532192915E-3</v>
      </c>
      <c r="G119" s="13" t="s">
        <v>23</v>
      </c>
      <c r="H119" s="228">
        <v>32.620600000000003</v>
      </c>
      <c r="I119" s="13" t="s">
        <v>23</v>
      </c>
      <c r="J119" s="228">
        <v>32.620600000000003</v>
      </c>
      <c r="K119" s="223">
        <v>1364</v>
      </c>
      <c r="L119" s="197">
        <v>0.15310000000000001</v>
      </c>
      <c r="M119" s="197">
        <v>0.15310000000000001</v>
      </c>
      <c r="N119" s="13" t="s">
        <v>23</v>
      </c>
      <c r="O119" s="81">
        <v>2101525479.6800001</v>
      </c>
      <c r="P119" s="24">
        <f t="shared" si="54"/>
        <v>9.0268395042344372E-3</v>
      </c>
      <c r="Q119" s="13" t="s">
        <v>23</v>
      </c>
      <c r="R119" s="67">
        <v>32.7042</v>
      </c>
      <c r="S119" s="13" t="s">
        <v>23</v>
      </c>
      <c r="T119" s="67">
        <v>32.7042</v>
      </c>
      <c r="U119" s="25">
        <v>1564</v>
      </c>
      <c r="V119" s="56">
        <v>0.15290000000000001</v>
      </c>
      <c r="W119" s="56">
        <v>0.15290000000000001</v>
      </c>
      <c r="X119" s="27">
        <f t="shared" si="55"/>
        <v>-1.1267410743249674E-2</v>
      </c>
      <c r="Y119" s="27">
        <f t="shared" si="56"/>
        <v>2.5627977413044825E-3</v>
      </c>
      <c r="Z119" s="27">
        <f t="shared" si="57"/>
        <v>0.1466275659824047</v>
      </c>
      <c r="AA119" s="20">
        <f t="shared" si="58"/>
        <v>-2.0000000000000573E-4</v>
      </c>
      <c r="AB119" s="21">
        <f t="shared" si="59"/>
        <v>-2.0000000000000573E-4</v>
      </c>
    </row>
    <row r="120" spans="1:34">
      <c r="B120" s="44"/>
      <c r="C120" s="45" t="s">
        <v>63</v>
      </c>
      <c r="D120" s="46" t="s">
        <v>23</v>
      </c>
      <c r="E120" s="65">
        <f>SUM(E82:E119)</f>
        <v>233630900617.31619</v>
      </c>
      <c r="F120" s="48">
        <f>(E120/$E$243)</f>
        <v>2.4747049689728209E-2</v>
      </c>
      <c r="G120" s="13" t="s">
        <v>23</v>
      </c>
      <c r="H120" s="49"/>
      <c r="I120" s="13" t="s">
        <v>23</v>
      </c>
      <c r="J120" s="59"/>
      <c r="K120" s="51">
        <f>SUM(K82:K119)</f>
        <v>73686</v>
      </c>
      <c r="L120" s="62"/>
      <c r="M120" s="62"/>
      <c r="N120" s="13" t="s">
        <v>23</v>
      </c>
      <c r="O120" s="65">
        <f>SUM(O82:O119)</f>
        <v>232808557047.479</v>
      </c>
      <c r="P120" s="48">
        <f>(O120/$O$243)</f>
        <v>2.4607514671463892E-2</v>
      </c>
      <c r="Q120" s="53"/>
      <c r="R120" s="49"/>
      <c r="S120" s="49"/>
      <c r="T120" s="59"/>
      <c r="U120" s="51">
        <f>SUM(U82:U119)</f>
        <v>74279</v>
      </c>
      <c r="V120" s="62"/>
      <c r="W120" s="62"/>
      <c r="X120" s="27">
        <f t="shared" si="55"/>
        <v>-3.5198407730498578E-3</v>
      </c>
      <c r="Y120" s="27" t="e">
        <f t="shared" si="56"/>
        <v>#DIV/0!</v>
      </c>
      <c r="Z120" s="27">
        <f t="shared" si="57"/>
        <v>8.0476616996444372E-3</v>
      </c>
      <c r="AA120" s="20">
        <f t="shared" si="58"/>
        <v>0</v>
      </c>
      <c r="AB120" s="21">
        <f t="shared" si="59"/>
        <v>0</v>
      </c>
    </row>
    <row r="121" spans="1:34" ht="3.75" customHeight="1">
      <c r="B121" s="259"/>
      <c r="C121" s="259"/>
      <c r="D121" s="259"/>
      <c r="E121" s="259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</row>
    <row r="122" spans="1:34" ht="15" customHeight="1">
      <c r="A122" s="11"/>
      <c r="B122" s="258" t="s">
        <v>184</v>
      </c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</row>
    <row r="123" spans="1:34">
      <c r="A123" s="74"/>
      <c r="B123" s="260" t="s">
        <v>185</v>
      </c>
      <c r="C123" s="260"/>
      <c r="D123" s="260"/>
      <c r="E123" s="260"/>
      <c r="F123" s="260"/>
      <c r="G123" s="260"/>
      <c r="H123" s="260"/>
      <c r="I123" s="260"/>
      <c r="J123" s="260"/>
      <c r="K123" s="260"/>
      <c r="L123" s="260"/>
      <c r="M123" s="260"/>
      <c r="N123" s="260"/>
      <c r="O123" s="260"/>
      <c r="P123" s="260"/>
      <c r="Q123" s="260"/>
      <c r="R123" s="260"/>
      <c r="S123" s="260"/>
      <c r="T123" s="260"/>
      <c r="U123" s="260"/>
      <c r="V123" s="260"/>
      <c r="W123" s="260"/>
      <c r="X123" s="260"/>
      <c r="Y123" s="260"/>
      <c r="Z123" s="260"/>
      <c r="AA123" s="260"/>
      <c r="AB123" s="260"/>
      <c r="AF123" s="75"/>
      <c r="AH123" s="76"/>
    </row>
    <row r="124" spans="1:34" ht="16.5" customHeight="1">
      <c r="A124" s="201">
        <v>109</v>
      </c>
      <c r="B124" s="200" t="s">
        <v>186</v>
      </c>
      <c r="C124" s="12" t="s">
        <v>22</v>
      </c>
      <c r="D124" s="77">
        <v>3337300.6</v>
      </c>
      <c r="E124" s="36">
        <v>4557703372.2913599</v>
      </c>
      <c r="F124" s="24">
        <f t="shared" ref="F124:F129" si="77">(E124/$E$164)</f>
        <v>2.5217356504216317E-3</v>
      </c>
      <c r="G124" s="78">
        <v>120.45740000000001</v>
      </c>
      <c r="H124" s="36">
        <v>164506.93659344001</v>
      </c>
      <c r="I124" s="78">
        <v>120.45740000000001</v>
      </c>
      <c r="J124" s="36">
        <v>164506.93659344001</v>
      </c>
      <c r="K124" s="25">
        <v>191</v>
      </c>
      <c r="L124" s="26">
        <v>1.6000000000000001E-3</v>
      </c>
      <c r="M124" s="26">
        <v>5.1499999999999997E-2</v>
      </c>
      <c r="N124" s="79">
        <v>3341015.72</v>
      </c>
      <c r="O124" s="81">
        <f>3341015.72*C274</f>
        <v>4535792342.4103365</v>
      </c>
      <c r="P124" s="24">
        <f t="shared" ref="P124:P141" si="78">(O124/$O$164)</f>
        <v>2.536809245499966E-3</v>
      </c>
      <c r="Q124" s="79">
        <v>119.97539999999999</v>
      </c>
      <c r="R124" s="80">
        <f>119.9754   *C274</f>
        <v>162879.65882351997</v>
      </c>
      <c r="S124" s="79">
        <v>119.97539999999999</v>
      </c>
      <c r="T124" s="81">
        <f>119.9754   *C274</f>
        <v>162879.65882351997</v>
      </c>
      <c r="U124" s="25">
        <v>191</v>
      </c>
      <c r="V124" s="56">
        <v>-4.0000000000000001E-3</v>
      </c>
      <c r="W124" s="56">
        <v>4.7300000000000002E-2</v>
      </c>
      <c r="X124" s="27">
        <f>((O124-E124)/E124)</f>
        <v>-4.8074716784404859E-3</v>
      </c>
      <c r="Y124" s="27">
        <f>((T124-J124)/J124)</f>
        <v>-9.8918489616135023E-3</v>
      </c>
      <c r="Z124" s="27">
        <f>((U124-K124)/K124)</f>
        <v>0</v>
      </c>
      <c r="AA124" s="27">
        <f>V124-L124</f>
        <v>-5.5999999999999999E-3</v>
      </c>
      <c r="AB124" s="57">
        <f>W124-M124</f>
        <v>-4.1999999999999954E-3</v>
      </c>
      <c r="AD124" s="75"/>
      <c r="AE124" s="82"/>
      <c r="AF124" s="75"/>
      <c r="AG124" s="83"/>
    </row>
    <row r="125" spans="1:34" ht="16.5" customHeight="1">
      <c r="A125" s="201">
        <v>110</v>
      </c>
      <c r="B125" s="200" t="s">
        <v>187</v>
      </c>
      <c r="C125" s="12" t="s">
        <v>66</v>
      </c>
      <c r="D125" s="77">
        <v>4078365.13</v>
      </c>
      <c r="E125" s="36">
        <v>5569764529.583128</v>
      </c>
      <c r="F125" s="24">
        <f t="shared" si="77"/>
        <v>3.0816998456049938E-3</v>
      </c>
      <c r="G125" s="78">
        <v>108.12</v>
      </c>
      <c r="H125" s="36">
        <v>147657.92707200002</v>
      </c>
      <c r="I125" s="78">
        <v>108.12</v>
      </c>
      <c r="J125" s="36">
        <v>147657.92707200002</v>
      </c>
      <c r="K125" s="25">
        <v>120</v>
      </c>
      <c r="L125" s="26">
        <v>9.4167000000000001E-2</v>
      </c>
      <c r="M125" s="26">
        <v>-0.01</v>
      </c>
      <c r="N125" s="79">
        <v>4089837.25</v>
      </c>
      <c r="O125" s="36">
        <f>4089837.25*C274</f>
        <v>5552399041.1677999</v>
      </c>
      <c r="P125" s="24">
        <f t="shared" si="78"/>
        <v>3.1053840561965852E-3</v>
      </c>
      <c r="Q125" s="79">
        <v>108.36</v>
      </c>
      <c r="R125" s="36">
        <f>108.36*C274</f>
        <v>147110.48956799999</v>
      </c>
      <c r="S125" s="79">
        <v>108.36</v>
      </c>
      <c r="T125" s="36">
        <f>108.36*C274</f>
        <v>147110.48956799999</v>
      </c>
      <c r="U125" s="25">
        <v>121</v>
      </c>
      <c r="V125" s="56">
        <v>2.2000000000000001E-3</v>
      </c>
      <c r="W125" s="56">
        <v>8.3599999999999994E-2</v>
      </c>
      <c r="X125" s="27">
        <f>((O125-E125)/E125)</f>
        <v>-3.1178137465405122E-3</v>
      </c>
      <c r="Y125" s="20">
        <f>((T125-J125)/J125)</f>
        <v>-3.7074711453391356E-3</v>
      </c>
      <c r="Z125" s="20">
        <f>((U125-K125)/K125)</f>
        <v>8.3333333333333332E-3</v>
      </c>
      <c r="AA125" s="20">
        <f>V125-L125</f>
        <v>-9.1967000000000007E-2</v>
      </c>
      <c r="AB125" s="21">
        <f>W125-M125</f>
        <v>9.3599999999999989E-2</v>
      </c>
      <c r="AD125" s="75"/>
      <c r="AE125" s="82"/>
      <c r="AF125" s="75"/>
      <c r="AG125" s="83"/>
    </row>
    <row r="126" spans="1:34">
      <c r="A126" s="201">
        <v>111</v>
      </c>
      <c r="B126" s="200" t="s">
        <v>188</v>
      </c>
      <c r="C126" s="12" t="s">
        <v>27</v>
      </c>
      <c r="D126" s="77">
        <v>12929113.08</v>
      </c>
      <c r="E126" s="36">
        <v>17650954467.9468</v>
      </c>
      <c r="F126" s="24">
        <f t="shared" si="77"/>
        <v>9.7661119010938949E-3</v>
      </c>
      <c r="G126" s="78">
        <v>1.2445999999999999</v>
      </c>
      <c r="H126" s="36">
        <v>1699.1403659999999</v>
      </c>
      <c r="I126" s="78">
        <v>1.2428999999999999</v>
      </c>
      <c r="J126" s="36">
        <v>1699.1403659999999</v>
      </c>
      <c r="K126" s="25">
        <v>350</v>
      </c>
      <c r="L126" s="26">
        <v>5.1499999999999997E-2</v>
      </c>
      <c r="M126" s="26">
        <v>7.1300000000000002E-2</v>
      </c>
      <c r="N126" s="79">
        <v>13083108.9</v>
      </c>
      <c r="O126" s="36">
        <f>13083108.9*1359.63</f>
        <v>17788187353.707001</v>
      </c>
      <c r="P126" s="24">
        <f t="shared" si="78"/>
        <v>9.9487001901832611E-3</v>
      </c>
      <c r="Q126" s="79">
        <v>1.2464</v>
      </c>
      <c r="R126" s="36">
        <f>1.2464*1359.63</f>
        <v>1694.642832</v>
      </c>
      <c r="S126" s="79">
        <v>1.2464</v>
      </c>
      <c r="T126" s="36">
        <f>1.2464*1359.63</f>
        <v>1694.642832</v>
      </c>
      <c r="U126" s="25">
        <v>351</v>
      </c>
      <c r="V126" s="56">
        <v>5.2299999999999999E-2</v>
      </c>
      <c r="W126" s="56">
        <v>7.5399999999999995E-2</v>
      </c>
      <c r="X126" s="20">
        <f t="shared" ref="X126:X139" si="79">((O126-E126)/E126)</f>
        <v>7.7748138781621222E-3</v>
      </c>
      <c r="Y126" s="20">
        <f t="shared" ref="Y126:Y139" si="80">((T126-J126)/J126)</f>
        <v>-2.6469467090512637E-3</v>
      </c>
      <c r="Z126" s="20">
        <f t="shared" ref="Z126:Z139" si="81">((U126-K126)/K126)</f>
        <v>2.8571428571428571E-3</v>
      </c>
      <c r="AA126" s="20">
        <f t="shared" ref="AA126:AA139" si="82">V126-L126</f>
        <v>8.000000000000021E-4</v>
      </c>
      <c r="AB126" s="21">
        <f t="shared" ref="AB126:AB139" si="83">W126-M126</f>
        <v>4.0999999999999925E-3</v>
      </c>
    </row>
    <row r="127" spans="1:34">
      <c r="A127" s="201">
        <v>112</v>
      </c>
      <c r="B127" s="200" t="s">
        <v>189</v>
      </c>
      <c r="C127" s="12" t="s">
        <v>27</v>
      </c>
      <c r="D127" s="77">
        <v>2796257.43</v>
      </c>
      <c r="E127" s="36">
        <v>3817478606.0103002</v>
      </c>
      <c r="F127" s="24">
        <f t="shared" si="77"/>
        <v>2.1121760477049853E-3</v>
      </c>
      <c r="G127" s="78">
        <v>1.075257304</v>
      </c>
      <c r="H127" s="36">
        <v>1468.27460118504</v>
      </c>
      <c r="I127" s="78">
        <v>1.075257304</v>
      </c>
      <c r="J127" s="36">
        <v>1467.9520239938399</v>
      </c>
      <c r="K127" s="25">
        <v>128</v>
      </c>
      <c r="L127" s="26">
        <v>4.9200000000000001E-2</v>
      </c>
      <c r="M127" s="26">
        <v>9.2299999999999993E-2</v>
      </c>
      <c r="N127" s="79">
        <v>2317030.5499999998</v>
      </c>
      <c r="O127" s="36">
        <f>2317030.55*1359.63</f>
        <v>3150304246.6964998</v>
      </c>
      <c r="P127" s="24">
        <f t="shared" si="78"/>
        <v>1.7619239012407382E-3</v>
      </c>
      <c r="Q127" s="79">
        <v>1.077157304</v>
      </c>
      <c r="R127" s="36">
        <f>1.077157304*1359.63</f>
        <v>1464.5353852375201</v>
      </c>
      <c r="S127" s="79">
        <v>1.077157304</v>
      </c>
      <c r="T127" s="36">
        <f>1.077157304*1359.63</f>
        <v>1464.5353852375201</v>
      </c>
      <c r="U127" s="25">
        <v>127</v>
      </c>
      <c r="V127" s="56">
        <v>5.0700000000000002E-2</v>
      </c>
      <c r="W127" s="56">
        <v>9.2100000000000001E-2</v>
      </c>
      <c r="X127" s="20">
        <f t="shared" si="79"/>
        <v>-0.17476832961509992</v>
      </c>
      <c r="Y127" s="20">
        <f t="shared" ref="Y127" si="84">((T127-J127)/J127)</f>
        <v>-2.3274866620124203E-3</v>
      </c>
      <c r="Z127" s="20">
        <f t="shared" ref="Z127" si="85">((U127-K127)/K127)</f>
        <v>-7.8125E-3</v>
      </c>
      <c r="AA127" s="20">
        <f t="shared" ref="AA127" si="86">V127-L127</f>
        <v>1.5000000000000013E-3</v>
      </c>
      <c r="AB127" s="21">
        <f t="shared" ref="AB127" si="87">W127-M127</f>
        <v>-1.9999999999999185E-4</v>
      </c>
    </row>
    <row r="128" spans="1:34">
      <c r="A128" s="201">
        <v>113</v>
      </c>
      <c r="B128" s="207" t="s">
        <v>190</v>
      </c>
      <c r="C128" s="12" t="s">
        <v>31</v>
      </c>
      <c r="D128" s="77">
        <v>35425578.18</v>
      </c>
      <c r="E128" s="36">
        <v>48380201992.100212</v>
      </c>
      <c r="F128" s="24">
        <f t="shared" si="77"/>
        <v>2.6768323906244666E-2</v>
      </c>
      <c r="G128" s="78">
        <v>1.3076000000000001</v>
      </c>
      <c r="H128" s="36">
        <v>1785.7704905600001</v>
      </c>
      <c r="I128" s="78">
        <v>1.3076000000000001</v>
      </c>
      <c r="J128" s="36">
        <v>1785.7704905600001</v>
      </c>
      <c r="K128" s="25">
        <v>651</v>
      </c>
      <c r="L128" s="26">
        <v>2.0999999999999999E-3</v>
      </c>
      <c r="M128" s="26">
        <v>7.7399999999999997E-2</v>
      </c>
      <c r="N128" s="79">
        <v>35424863.450000003</v>
      </c>
      <c r="O128" s="36">
        <f>35424863.45*C274</f>
        <v>48093106358.518364</v>
      </c>
      <c r="P128" s="24">
        <f t="shared" si="78"/>
        <v>2.6897844443705226E-2</v>
      </c>
      <c r="Q128" s="79">
        <v>1.3086</v>
      </c>
      <c r="R128" s="36">
        <f>1.3086*C274</f>
        <v>1776.5668756799998</v>
      </c>
      <c r="S128" s="29">
        <v>1.3086</v>
      </c>
      <c r="T128" s="36">
        <f>1.3086*C274</f>
        <v>1776.5668756799998</v>
      </c>
      <c r="U128" s="25">
        <v>652</v>
      </c>
      <c r="V128" s="56">
        <v>8.0000000000000004E-4</v>
      </c>
      <c r="W128" s="56">
        <v>7.8200000000000006E-2</v>
      </c>
      <c r="X128" s="20">
        <f t="shared" si="79"/>
        <v>-5.9341553313218224E-3</v>
      </c>
      <c r="Y128" s="20">
        <f t="shared" ref="Y128:Z131" si="88">((T128-J128)/J128)</f>
        <v>-5.153862116466095E-3</v>
      </c>
      <c r="Z128" s="20">
        <f t="shared" si="88"/>
        <v>1.5360983102918587E-3</v>
      </c>
      <c r="AA128" s="20">
        <f t="shared" si="82"/>
        <v>-1.2999999999999999E-3</v>
      </c>
      <c r="AB128" s="21">
        <f t="shared" si="83"/>
        <v>8.0000000000000904E-4</v>
      </c>
    </row>
    <row r="129" spans="1:111">
      <c r="A129" s="201">
        <v>114</v>
      </c>
      <c r="B129" s="200" t="s">
        <v>191</v>
      </c>
      <c r="C129" s="12" t="s">
        <v>79</v>
      </c>
      <c r="D129" s="77">
        <v>1012714.91</v>
      </c>
      <c r="E129" s="36">
        <v>1383050169.492296</v>
      </c>
      <c r="F129" s="24">
        <f t="shared" si="77"/>
        <v>7.6522902739433612E-4</v>
      </c>
      <c r="G129" s="78">
        <v>1.0941000000000001</v>
      </c>
      <c r="H129" s="36">
        <v>1502.2541600000002</v>
      </c>
      <c r="I129" s="78">
        <v>1.1000000000000001</v>
      </c>
      <c r="J129" s="36">
        <v>1502.2541600000002</v>
      </c>
      <c r="K129" s="25">
        <v>83</v>
      </c>
      <c r="L129" s="26">
        <v>1.7600000000000001E-3</v>
      </c>
      <c r="M129" s="26">
        <v>7.0499999999999993E-2</v>
      </c>
      <c r="N129" s="79">
        <v>1018556.83</v>
      </c>
      <c r="O129" s="36">
        <f>1018556.83*C274</f>
        <v>1382801715.7081039</v>
      </c>
      <c r="P129" s="24">
        <f t="shared" si="78"/>
        <v>7.7338288710929399E-4</v>
      </c>
      <c r="Q129" s="78">
        <v>1.0945</v>
      </c>
      <c r="R129" s="36">
        <f>1.0945*C274</f>
        <v>1485.9028315999999</v>
      </c>
      <c r="S129" s="36">
        <v>1.1000000000000001</v>
      </c>
      <c r="T129" s="36">
        <f>1.1*C274</f>
        <v>1493.36968</v>
      </c>
      <c r="U129" s="25">
        <v>84</v>
      </c>
      <c r="V129" s="26">
        <v>1.165E-3</v>
      </c>
      <c r="W129" s="26">
        <v>0.12731500000000001</v>
      </c>
      <c r="X129" s="20">
        <f t="shared" si="79"/>
        <v>-1.7964191731619555E-4</v>
      </c>
      <c r="Y129" s="20">
        <f t="shared" si="88"/>
        <v>-5.9140991162242255E-3</v>
      </c>
      <c r="Z129" s="20">
        <f t="shared" si="88"/>
        <v>1.2048192771084338E-2</v>
      </c>
      <c r="AA129" s="20">
        <f t="shared" si="82"/>
        <v>-5.9500000000000004E-4</v>
      </c>
      <c r="AB129" s="21">
        <f t="shared" si="83"/>
        <v>5.6815000000000018E-2</v>
      </c>
    </row>
    <row r="130" spans="1:111">
      <c r="A130" s="201">
        <v>115</v>
      </c>
      <c r="B130" s="200" t="s">
        <v>192</v>
      </c>
      <c r="C130" s="12" t="s">
        <v>35</v>
      </c>
      <c r="D130" s="77">
        <v>796712.85</v>
      </c>
      <c r="E130" s="36">
        <v>1088059266.5799599</v>
      </c>
      <c r="F130" s="24">
        <v>0</v>
      </c>
      <c r="G130" s="78">
        <v>1.5362</v>
      </c>
      <c r="H130" s="36">
        <v>2097.9662187200001</v>
      </c>
      <c r="I130" s="78">
        <v>1.5362</v>
      </c>
      <c r="J130" s="36">
        <v>2097.9662187200001</v>
      </c>
      <c r="K130" s="25">
        <v>85</v>
      </c>
      <c r="L130" s="26">
        <v>8.8000000000000003E-4</v>
      </c>
      <c r="M130" s="26">
        <v>8.7999999999999995E-2</v>
      </c>
      <c r="N130" s="79">
        <v>798852.75</v>
      </c>
      <c r="O130" s="36">
        <f>798852.75*C274</f>
        <v>1084529523.3041999</v>
      </c>
      <c r="P130" s="24">
        <f t="shared" si="78"/>
        <v>6.0656315678546781E-4</v>
      </c>
      <c r="Q130" s="79">
        <v>1.5387</v>
      </c>
      <c r="R130" s="36">
        <f>1.5387*C274</f>
        <v>2088.9526605599999</v>
      </c>
      <c r="S130" s="79">
        <v>1.5387</v>
      </c>
      <c r="T130" s="36">
        <f>1.5387*C274</f>
        <v>2088.9526605599999</v>
      </c>
      <c r="U130" s="25">
        <v>85</v>
      </c>
      <c r="V130" s="26">
        <v>9.7000000000000005E-4</v>
      </c>
      <c r="W130" s="26">
        <v>8.9800000000000005E-2</v>
      </c>
      <c r="X130" s="20">
        <f t="shared" si="79"/>
        <v>-3.2440726201016547E-3</v>
      </c>
      <c r="Y130" s="20">
        <f t="shared" si="88"/>
        <v>-4.2963314087581129E-3</v>
      </c>
      <c r="Z130" s="20">
        <f t="shared" si="88"/>
        <v>0</v>
      </c>
      <c r="AA130" s="20">
        <f t="shared" si="82"/>
        <v>9.0000000000000019E-5</v>
      </c>
      <c r="AB130" s="21">
        <f t="shared" si="83"/>
        <v>1.8000000000000099E-3</v>
      </c>
    </row>
    <row r="131" spans="1:111">
      <c r="A131" s="201">
        <v>116</v>
      </c>
      <c r="B131" s="207" t="s">
        <v>193</v>
      </c>
      <c r="C131" s="12" t="s">
        <v>88</v>
      </c>
      <c r="D131" s="77">
        <v>2995967.58</v>
      </c>
      <c r="E131" s="36">
        <v>4091549782.0728483</v>
      </c>
      <c r="F131" s="24">
        <f t="shared" ref="F131:F141" si="89">(E131/$E$164)</f>
        <v>2.2638171263306105E-3</v>
      </c>
      <c r="G131" s="78">
        <v>108.96</v>
      </c>
      <c r="H131" s="36">
        <v>148805.10297599999</v>
      </c>
      <c r="I131" s="78">
        <v>109.74</v>
      </c>
      <c r="J131" s="36">
        <v>149870.33774399999</v>
      </c>
      <c r="K131" s="25">
        <v>85</v>
      </c>
      <c r="L131" s="26">
        <v>1.5E-3</v>
      </c>
      <c r="M131" s="26">
        <v>3.6900000000000002E-2</v>
      </c>
      <c r="N131" s="79">
        <v>2989904.63</v>
      </c>
      <c r="O131" s="36">
        <f>2989904.63*C274</f>
        <v>4059120836.8487439</v>
      </c>
      <c r="P131" s="24">
        <f t="shared" si="78"/>
        <v>2.2702131160721251E-3</v>
      </c>
      <c r="Q131" s="79">
        <v>109.05</v>
      </c>
      <c r="R131" s="36">
        <f>109.05*C274</f>
        <v>148047.23963999999</v>
      </c>
      <c r="S131" s="81">
        <v>109.87</v>
      </c>
      <c r="T131" s="36">
        <f>109.87*C274</f>
        <v>149160.478856</v>
      </c>
      <c r="U131" s="25">
        <v>85</v>
      </c>
      <c r="V131" s="56">
        <v>1E-3</v>
      </c>
      <c r="W131" s="56">
        <v>3.7999999999999999E-2</v>
      </c>
      <c r="X131" s="20">
        <f t="shared" si="79"/>
        <v>-7.9258342074174527E-3</v>
      </c>
      <c r="Y131" s="20">
        <f t="shared" si="88"/>
        <v>-4.736486877159966E-3</v>
      </c>
      <c r="Z131" s="20">
        <f t="shared" si="88"/>
        <v>0</v>
      </c>
      <c r="AA131" s="20">
        <f t="shared" si="82"/>
        <v>-5.0000000000000001E-4</v>
      </c>
      <c r="AB131" s="21">
        <f t="shared" si="83"/>
        <v>1.0999999999999968E-3</v>
      </c>
    </row>
    <row r="132" spans="1:111">
      <c r="A132" s="201">
        <v>117</v>
      </c>
      <c r="B132" s="200" t="s">
        <v>194</v>
      </c>
      <c r="C132" s="12" t="s">
        <v>91</v>
      </c>
      <c r="D132" s="77">
        <v>3271059.34</v>
      </c>
      <c r="E132" s="36">
        <v>4461724939.7600002</v>
      </c>
      <c r="F132" s="24">
        <f t="shared" si="89"/>
        <v>2.4686316602722603E-3</v>
      </c>
      <c r="G132" s="78">
        <v>115.62</v>
      </c>
      <c r="H132" s="36">
        <v>157705.68</v>
      </c>
      <c r="I132" s="78">
        <v>115.62</v>
      </c>
      <c r="J132" s="36">
        <v>157705.68</v>
      </c>
      <c r="K132" s="25">
        <v>67</v>
      </c>
      <c r="L132" s="26">
        <v>9.0899999999999998E-4</v>
      </c>
      <c r="M132" s="26">
        <v>5.7389999999999997E-2</v>
      </c>
      <c r="N132" s="78">
        <v>3291952.18</v>
      </c>
      <c r="O132" s="36">
        <f>3291952.18*1358.25</f>
        <v>4471294048.4850006</v>
      </c>
      <c r="P132" s="24">
        <f t="shared" si="78"/>
        <v>2.5007361945318042E-3</v>
      </c>
      <c r="Q132" s="78">
        <v>115.76519</v>
      </c>
      <c r="R132" s="36">
        <f>115.77*1358.25</f>
        <v>157244.60250000001</v>
      </c>
      <c r="S132" s="78">
        <v>115.77</v>
      </c>
      <c r="T132" s="36">
        <f>115.77*1364</f>
        <v>157910.28</v>
      </c>
      <c r="U132" s="25">
        <v>68</v>
      </c>
      <c r="V132" s="26">
        <v>9.0899999999999998E-4</v>
      </c>
      <c r="W132" s="26">
        <v>5.7700000000000001E-2</v>
      </c>
      <c r="X132" s="20">
        <f t="shared" si="79"/>
        <v>2.1447105893343376E-3</v>
      </c>
      <c r="Y132" s="20">
        <f t="shared" si="80"/>
        <v>1.2973533990659426E-3</v>
      </c>
      <c r="Z132" s="20">
        <f t="shared" si="81"/>
        <v>1.4925373134328358E-2</v>
      </c>
      <c r="AA132" s="20">
        <f t="shared" si="82"/>
        <v>0</v>
      </c>
      <c r="AB132" s="21">
        <f t="shared" si="83"/>
        <v>3.1000000000000472E-4</v>
      </c>
      <c r="AD132" s="84"/>
    </row>
    <row r="133" spans="1:111">
      <c r="A133" s="201">
        <v>118</v>
      </c>
      <c r="B133" s="200" t="s">
        <v>195</v>
      </c>
      <c r="C133" s="12" t="s">
        <v>37</v>
      </c>
      <c r="D133" s="77">
        <v>4863651.4800000004</v>
      </c>
      <c r="E133" s="36">
        <v>6642218789.6546888</v>
      </c>
      <c r="F133" s="24">
        <f t="shared" si="89"/>
        <v>3.6750789929867072E-3</v>
      </c>
      <c r="G133" s="78">
        <v>1.55</v>
      </c>
      <c r="H133" s="36">
        <v>2116.81268</v>
      </c>
      <c r="I133" s="78">
        <v>1.55</v>
      </c>
      <c r="J133" s="36">
        <v>2116.81268</v>
      </c>
      <c r="K133" s="61">
        <v>121</v>
      </c>
      <c r="L133" s="62">
        <v>7.7999999999999996E-3</v>
      </c>
      <c r="M133" s="62">
        <v>7.4999999999999997E-2</v>
      </c>
      <c r="N133" s="85">
        <v>4878185.28</v>
      </c>
      <c r="O133" s="36">
        <f>4878185.28*C274</f>
        <v>6622667264.1584644</v>
      </c>
      <c r="P133" s="24">
        <f t="shared" si="78"/>
        <v>3.7039710545168701E-3</v>
      </c>
      <c r="Q133" s="79">
        <v>1.55</v>
      </c>
      <c r="R133" s="36">
        <f>1.55 *C274</f>
        <v>2104.2936399999999</v>
      </c>
      <c r="S133" s="81">
        <v>1.55</v>
      </c>
      <c r="T133" s="36">
        <f>1.55 *C274</f>
        <v>2104.2936399999999</v>
      </c>
      <c r="U133" s="61">
        <v>122</v>
      </c>
      <c r="V133" s="62">
        <v>8.8999999999999999E-3</v>
      </c>
      <c r="W133" s="62">
        <v>7.4399999999999994E-2</v>
      </c>
      <c r="X133" s="20">
        <f>((O133-E133)/E133)</f>
        <v>-2.9435232586249743E-3</v>
      </c>
      <c r="Y133" s="20">
        <f>((T133-J133)/J133)</f>
        <v>-5.9140991162241769E-3</v>
      </c>
      <c r="Z133" s="20">
        <f>((U133-K133)/K133)</f>
        <v>8.2644628099173556E-3</v>
      </c>
      <c r="AA133" s="20">
        <f>V133-L133</f>
        <v>1.1000000000000003E-3</v>
      </c>
      <c r="AB133" s="21">
        <f>W133-M133</f>
        <v>-6.0000000000000331E-4</v>
      </c>
      <c r="AD133" s="84"/>
    </row>
    <row r="134" spans="1:111">
      <c r="A134" s="201">
        <v>119</v>
      </c>
      <c r="B134" s="200" t="s">
        <v>196</v>
      </c>
      <c r="C134" s="12" t="s">
        <v>39</v>
      </c>
      <c r="D134" s="77">
        <v>39112947.450000003</v>
      </c>
      <c r="E134" s="36">
        <v>53470528199.945999</v>
      </c>
      <c r="F134" s="24">
        <f t="shared" si="89"/>
        <v>2.9584754907138616E-2</v>
      </c>
      <c r="G134" s="78">
        <v>133.87</v>
      </c>
      <c r="H134" s="36">
        <v>183010.99960000001</v>
      </c>
      <c r="I134" s="78">
        <v>133.91999999999999</v>
      </c>
      <c r="J134" s="36">
        <v>183079.35359999997</v>
      </c>
      <c r="K134" s="25">
        <v>2737</v>
      </c>
      <c r="L134" s="26">
        <v>1.6000000000000001E-3</v>
      </c>
      <c r="M134" s="26">
        <v>4.6800000000000001E-2</v>
      </c>
      <c r="N134" s="63" t="s">
        <v>350</v>
      </c>
      <c r="O134" s="35">
        <f>39026957.92*1358.63</f>
        <v>53023195838.849609</v>
      </c>
      <c r="P134" s="24">
        <f t="shared" si="78"/>
        <v>2.9655178913783792E-2</v>
      </c>
      <c r="Q134" s="79">
        <v>134.08000000000001</v>
      </c>
      <c r="R134" s="36">
        <f>134.08*1358.63</f>
        <v>182165.11040000003</v>
      </c>
      <c r="S134" s="81">
        <v>134.12</v>
      </c>
      <c r="T134" s="36">
        <f>134.12*1358.63</f>
        <v>182219.45560000002</v>
      </c>
      <c r="U134" s="25">
        <v>2743</v>
      </c>
      <c r="V134" s="56">
        <v>1.5E-3</v>
      </c>
      <c r="W134" s="56">
        <v>4.82E-2</v>
      </c>
      <c r="X134" s="20">
        <f t="shared" si="79"/>
        <v>-8.3659611407549458E-3</v>
      </c>
      <c r="Y134" s="20">
        <f t="shared" si="80"/>
        <v>-4.6968594933905075E-3</v>
      </c>
      <c r="Z134" s="20">
        <f t="shared" si="81"/>
        <v>2.1921812203142127E-3</v>
      </c>
      <c r="AA134" s="20">
        <f t="shared" si="82"/>
        <v>-1.0000000000000005E-4</v>
      </c>
      <c r="AB134" s="21">
        <f t="shared" si="83"/>
        <v>1.3999999999999985E-3</v>
      </c>
      <c r="DG134" s="22" t="s">
        <v>197</v>
      </c>
    </row>
    <row r="135" spans="1:111">
      <c r="A135" s="201">
        <v>120</v>
      </c>
      <c r="B135" s="202" t="s">
        <v>198</v>
      </c>
      <c r="C135" s="12" t="s">
        <v>39</v>
      </c>
      <c r="D135" s="210" t="s">
        <v>346</v>
      </c>
      <c r="E135" s="36">
        <v>164109185972.6748</v>
      </c>
      <c r="F135" s="24">
        <f t="shared" si="89"/>
        <v>9.0800113790843712E-2</v>
      </c>
      <c r="G135" s="78">
        <v>130.66</v>
      </c>
      <c r="H135" s="36">
        <v>178622.6728</v>
      </c>
      <c r="I135" s="78">
        <v>130.71</v>
      </c>
      <c r="J135" s="36">
        <v>178691.02679999999</v>
      </c>
      <c r="K135" s="25">
        <v>1112</v>
      </c>
      <c r="L135" s="26">
        <v>1.5E-3</v>
      </c>
      <c r="M135" s="26">
        <v>4.8000000000000001E-2</v>
      </c>
      <c r="N135" s="63" t="s">
        <v>351</v>
      </c>
      <c r="O135" s="35">
        <f>119886731.62*1358.63</f>
        <v>162881710180.88062</v>
      </c>
      <c r="P135" s="24">
        <f t="shared" si="78"/>
        <v>9.1097607014814966E-2</v>
      </c>
      <c r="Q135" s="79">
        <v>131.03</v>
      </c>
      <c r="R135" s="36">
        <f>131.03*1358.63</f>
        <v>178021.28890000001</v>
      </c>
      <c r="S135" s="81">
        <v>131.05000000000001</v>
      </c>
      <c r="T135" s="36">
        <f>131.05*1358.63</f>
        <v>178048.46150000003</v>
      </c>
      <c r="U135" s="25">
        <v>1115</v>
      </c>
      <c r="V135" s="56">
        <v>1.5E-3</v>
      </c>
      <c r="W135" s="56">
        <v>4.82E-2</v>
      </c>
      <c r="X135" s="20">
        <f t="shared" si="79"/>
        <v>-7.4796287881080089E-3</v>
      </c>
      <c r="Y135" s="20">
        <f t="shared" si="80"/>
        <v>-3.5959572873189086E-3</v>
      </c>
      <c r="Z135" s="20">
        <f t="shared" si="81"/>
        <v>2.6978417266187052E-3</v>
      </c>
      <c r="AA135" s="20">
        <f t="shared" si="82"/>
        <v>0</v>
      </c>
      <c r="AB135" s="21">
        <f t="shared" si="83"/>
        <v>1.9999999999999879E-4</v>
      </c>
      <c r="AD135" s="75"/>
    </row>
    <row r="136" spans="1:111">
      <c r="A136" s="201">
        <v>121</v>
      </c>
      <c r="B136" s="200" t="s">
        <v>199</v>
      </c>
      <c r="C136" s="12" t="s">
        <v>97</v>
      </c>
      <c r="D136" s="77">
        <v>1529635.05</v>
      </c>
      <c r="E136" s="36">
        <v>2089000561.0402801</v>
      </c>
      <c r="F136" s="24">
        <f t="shared" si="89"/>
        <v>1.1558249315987525E-3</v>
      </c>
      <c r="G136" s="78">
        <v>1</v>
      </c>
      <c r="H136" s="36">
        <v>1365.6856</v>
      </c>
      <c r="I136" s="78">
        <v>1</v>
      </c>
      <c r="J136" s="36">
        <v>1365.6856</v>
      </c>
      <c r="K136" s="25">
        <v>16</v>
      </c>
      <c r="L136" s="26">
        <v>8.8907E-2</v>
      </c>
      <c r="M136" s="26">
        <v>8.4335999999999994E-2</v>
      </c>
      <c r="N136" s="78">
        <v>1532843.94</v>
      </c>
      <c r="O136" s="36">
        <f>1532843.04*C274</f>
        <v>2081001200.122752</v>
      </c>
      <c r="P136" s="24">
        <f t="shared" si="78"/>
        <v>1.1638767134481707E-3</v>
      </c>
      <c r="Q136" s="78">
        <v>1</v>
      </c>
      <c r="R136" s="36">
        <f>1*C274</f>
        <v>1357.6088</v>
      </c>
      <c r="S136" s="36">
        <v>1</v>
      </c>
      <c r="T136" s="36">
        <f>1*C274</f>
        <v>1357.6088</v>
      </c>
      <c r="U136" s="25">
        <v>16</v>
      </c>
      <c r="V136" s="26">
        <v>8.8730699999999996E-2</v>
      </c>
      <c r="W136" s="26">
        <v>8.4609400000000001E-2</v>
      </c>
      <c r="X136" s="20">
        <f t="shared" ref="X136" si="90">((O136-E136)/E136)</f>
        <v>-3.8292765769027044E-3</v>
      </c>
      <c r="Y136" s="20">
        <f t="shared" ref="Y136" si="91">((T136-J136)/J136)</f>
        <v>-5.91409911622415E-3</v>
      </c>
      <c r="Z136" s="20">
        <f t="shared" si="81"/>
        <v>0</v>
      </c>
      <c r="AA136" s="20">
        <f t="shared" si="82"/>
        <v>-1.7630000000000423E-4</v>
      </c>
      <c r="AB136" s="21">
        <f t="shared" si="83"/>
        <v>2.7340000000000697E-4</v>
      </c>
    </row>
    <row r="137" spans="1:111">
      <c r="A137" s="201">
        <v>122</v>
      </c>
      <c r="B137" s="207" t="s">
        <v>200</v>
      </c>
      <c r="C137" s="12" t="s">
        <v>43</v>
      </c>
      <c r="D137" s="77">
        <v>215900.43479999999</v>
      </c>
      <c r="E137" s="36">
        <v>294852114.84009886</v>
      </c>
      <c r="F137" s="24">
        <f t="shared" si="89"/>
        <v>1.6313898225910219E-4</v>
      </c>
      <c r="G137" s="78">
        <v>147.91210000000001</v>
      </c>
      <c r="H137" s="36">
        <v>202001.42503576001</v>
      </c>
      <c r="I137" s="78">
        <v>147.91210000000001</v>
      </c>
      <c r="J137" s="36">
        <v>202001.42503576001</v>
      </c>
      <c r="K137" s="25">
        <v>11</v>
      </c>
      <c r="L137" s="26">
        <v>1.1000000000000001E-3</v>
      </c>
      <c r="M137" s="26">
        <v>9.2100000000000001E-2</v>
      </c>
      <c r="N137" s="79">
        <v>216164.84520000001</v>
      </c>
      <c r="O137" s="81">
        <f>216164.8452*C274</f>
        <v>293467296.09415776</v>
      </c>
      <c r="P137" s="24">
        <f t="shared" si="78"/>
        <v>1.6413241475422597E-4</v>
      </c>
      <c r="Q137" s="79">
        <v>148.0932</v>
      </c>
      <c r="R137" s="36">
        <f>148.0932*C274</f>
        <v>201052.63154015999</v>
      </c>
      <c r="S137" s="79">
        <v>148.0932</v>
      </c>
      <c r="T137" s="36">
        <f>148.0932*C274</f>
        <v>201052.63154015999</v>
      </c>
      <c r="U137" s="25">
        <v>11</v>
      </c>
      <c r="V137" s="56">
        <v>1.1999999999999999E-3</v>
      </c>
      <c r="W137" s="56">
        <v>9.4700000000000006E-2</v>
      </c>
      <c r="X137" s="20">
        <f t="shared" si="79"/>
        <v>-4.6966552934243093E-3</v>
      </c>
      <c r="Y137" s="20">
        <f t="shared" si="80"/>
        <v>-4.6969643676130551E-3</v>
      </c>
      <c r="Z137" s="20">
        <f t="shared" si="81"/>
        <v>0</v>
      </c>
      <c r="AA137" s="20">
        <f t="shared" si="82"/>
        <v>9.9999999999999829E-5</v>
      </c>
      <c r="AB137" s="21">
        <f t="shared" si="83"/>
        <v>2.6000000000000051E-3</v>
      </c>
    </row>
    <row r="138" spans="1:111">
      <c r="A138" s="201">
        <v>123</v>
      </c>
      <c r="B138" s="200" t="s">
        <v>201</v>
      </c>
      <c r="C138" s="12" t="s">
        <v>112</v>
      </c>
      <c r="D138" s="77">
        <v>57502.5</v>
      </c>
      <c r="E138" s="36">
        <v>78530336.214000002</v>
      </c>
      <c r="F138" s="24">
        <f t="shared" si="89"/>
        <v>4.3450117810295508E-5</v>
      </c>
      <c r="G138" s="78">
        <v>1</v>
      </c>
      <c r="H138" s="23">
        <v>1365.6856</v>
      </c>
      <c r="I138" s="78">
        <v>1</v>
      </c>
      <c r="J138" s="23">
        <v>1365.6856</v>
      </c>
      <c r="K138" s="25">
        <v>4</v>
      </c>
      <c r="L138" s="26">
        <v>3.8111102666168684E-2</v>
      </c>
      <c r="M138" s="26">
        <v>0</v>
      </c>
      <c r="N138" s="78">
        <v>60548.18</v>
      </c>
      <c r="O138" s="36">
        <f>60548.18*C274</f>
        <v>82200741.991983995</v>
      </c>
      <c r="P138" s="24">
        <f t="shared" si="78"/>
        <v>4.5973798298140335E-5</v>
      </c>
      <c r="Q138" s="78">
        <v>1</v>
      </c>
      <c r="R138" s="23">
        <f>Q138*C274</f>
        <v>1357.6088</v>
      </c>
      <c r="S138" s="23">
        <v>1</v>
      </c>
      <c r="T138" s="23">
        <f>1*C274</f>
        <v>1357.6088</v>
      </c>
      <c r="U138" s="25">
        <v>4</v>
      </c>
      <c r="V138" s="26">
        <v>-5.8999999999999999E-3</v>
      </c>
      <c r="W138" s="26">
        <v>5.21E-2</v>
      </c>
      <c r="X138" s="20">
        <f>((O138-E138)/E138)</f>
        <v>4.67386993986873E-2</v>
      </c>
      <c r="Y138" s="20">
        <f>((T138-J138)/J138)</f>
        <v>-5.91409911622415E-3</v>
      </c>
      <c r="Z138" s="20">
        <f>((U138-K138)/K138)</f>
        <v>0</v>
      </c>
      <c r="AA138" s="20">
        <f>V138-L138</f>
        <v>-4.4011102666168686E-2</v>
      </c>
      <c r="AB138" s="21">
        <f>W138-M138</f>
        <v>5.21E-2</v>
      </c>
      <c r="AD138" s="31"/>
    </row>
    <row r="139" spans="1:111">
      <c r="A139" s="201">
        <v>124</v>
      </c>
      <c r="B139" s="200" t="s">
        <v>202</v>
      </c>
      <c r="C139" s="12" t="s">
        <v>114</v>
      </c>
      <c r="D139" s="77">
        <v>33530261.309999999</v>
      </c>
      <c r="E139" s="36">
        <v>45791795035.304138</v>
      </c>
      <c r="F139" s="24">
        <f t="shared" si="89"/>
        <v>2.5336181976948712E-2</v>
      </c>
      <c r="G139" s="78">
        <v>105.74</v>
      </c>
      <c r="H139" s="36">
        <v>144407.595344</v>
      </c>
      <c r="I139" s="78">
        <v>105.74</v>
      </c>
      <c r="J139" s="36">
        <v>144407.595344</v>
      </c>
      <c r="K139" s="25">
        <v>990</v>
      </c>
      <c r="L139" s="62">
        <v>2.6635160877698091E-3</v>
      </c>
      <c r="M139" s="26">
        <v>0.13886916167794827</v>
      </c>
      <c r="N139" s="79">
        <v>34083700</v>
      </c>
      <c r="O139" s="36">
        <f>34083700*C274</f>
        <v>46272331056.559998</v>
      </c>
      <c r="P139" s="24">
        <f t="shared" si="78"/>
        <v>2.5879508666558197E-2</v>
      </c>
      <c r="Q139" s="79">
        <v>106.82</v>
      </c>
      <c r="R139" s="36">
        <f>107.7*C274</f>
        <v>146214.46776</v>
      </c>
      <c r="S139" s="78">
        <v>106.82</v>
      </c>
      <c r="T139" s="36">
        <f>106.82*C274</f>
        <v>145019.77201599997</v>
      </c>
      <c r="U139" s="25">
        <v>996</v>
      </c>
      <c r="V139" s="62">
        <v>1.0200000000000001E-2</v>
      </c>
      <c r="W139" s="56">
        <v>0.15129999999999999</v>
      </c>
      <c r="X139" s="20">
        <f t="shared" si="79"/>
        <v>1.0493932829787085E-2</v>
      </c>
      <c r="Y139" s="20">
        <f t="shared" si="80"/>
        <v>4.23922765656251E-3</v>
      </c>
      <c r="Z139" s="20">
        <f t="shared" si="81"/>
        <v>6.0606060606060606E-3</v>
      </c>
      <c r="AA139" s="20">
        <f t="shared" si="82"/>
        <v>7.5364839122301916E-3</v>
      </c>
      <c r="AB139" s="21">
        <f t="shared" si="83"/>
        <v>1.2430838322051718E-2</v>
      </c>
    </row>
    <row r="140" spans="1:111">
      <c r="A140" s="201">
        <v>125</v>
      </c>
      <c r="B140" s="207" t="s">
        <v>203</v>
      </c>
      <c r="C140" s="12" t="s">
        <v>51</v>
      </c>
      <c r="D140" s="77">
        <v>2057430.78</v>
      </c>
      <c r="E140" s="36">
        <v>2809803589.2427683</v>
      </c>
      <c r="F140" s="24">
        <f t="shared" si="89"/>
        <v>1.5546386640150982E-3</v>
      </c>
      <c r="G140" s="78">
        <v>159.54</v>
      </c>
      <c r="H140" s="36">
        <v>217881.48062399999</v>
      </c>
      <c r="I140" s="78">
        <v>165.85</v>
      </c>
      <c r="J140" s="36">
        <v>226498.95676</v>
      </c>
      <c r="K140" s="25">
        <v>54</v>
      </c>
      <c r="L140" s="26">
        <v>-2.0000000000000001E-4</v>
      </c>
      <c r="M140" s="26">
        <v>-4.0000000000000002E-4</v>
      </c>
      <c r="N140" s="78">
        <v>2047812.4899999998</v>
      </c>
      <c r="O140" s="36">
        <f>2047812.49*C274</f>
        <v>2780128257.173912</v>
      </c>
      <c r="P140" s="24">
        <f t="shared" si="78"/>
        <v>1.5548893190129335E-3</v>
      </c>
      <c r="Q140" s="78">
        <v>158.79500999999999</v>
      </c>
      <c r="R140" s="36">
        <f>158.8*C274</f>
        <v>215588.27744000001</v>
      </c>
      <c r="S140" s="36">
        <v>164.79</v>
      </c>
      <c r="T140" s="36">
        <f>164.79*C274</f>
        <v>223720.35415199999</v>
      </c>
      <c r="U140" s="25">
        <v>52</v>
      </c>
      <c r="V140" s="26">
        <v>5.5999999999999999E-3</v>
      </c>
      <c r="W140" s="26">
        <v>-4.1799999999999997E-2</v>
      </c>
      <c r="X140" s="20">
        <f t="shared" ref="X140:X141" si="92">((O140-E140)/E140)</f>
        <v>-1.0561354602317108E-2</v>
      </c>
      <c r="Y140" s="20">
        <f t="shared" ref="Y140:Y141" si="93">((T140-J140)/J140)</f>
        <v>-1.2267617686841021E-2</v>
      </c>
      <c r="Z140" s="20">
        <f t="shared" ref="Z140:Z141" si="94">((U140-K140)/K140)</f>
        <v>-3.7037037037037035E-2</v>
      </c>
      <c r="AA140" s="20">
        <f t="shared" ref="AA140:AA141" si="95">V140-L140</f>
        <v>5.7999999999999996E-3</v>
      </c>
      <c r="AB140" s="21">
        <f t="shared" ref="AB140:AB141" si="96">W140-M140</f>
        <v>-4.1399999999999999E-2</v>
      </c>
    </row>
    <row r="141" spans="1:111" ht="15" customHeight="1">
      <c r="A141" s="201">
        <v>126</v>
      </c>
      <c r="B141" s="200" t="s">
        <v>204</v>
      </c>
      <c r="C141" s="12" t="s">
        <v>58</v>
      </c>
      <c r="D141" s="77">
        <v>106256785.11</v>
      </c>
      <c r="E141" s="23">
        <v>145113361327.02142</v>
      </c>
      <c r="F141" s="24">
        <f t="shared" si="89"/>
        <v>8.0289897503112967E-2</v>
      </c>
      <c r="G141" s="78">
        <v>121.52110999999999</v>
      </c>
      <c r="H141" s="36">
        <v>165959.63002301598</v>
      </c>
      <c r="I141" s="78">
        <v>121.52110999999999</v>
      </c>
      <c r="J141" s="36">
        <v>165959.63002301598</v>
      </c>
      <c r="K141" s="25">
        <v>4586</v>
      </c>
      <c r="L141" s="26">
        <v>1.1999999999999999E-3</v>
      </c>
      <c r="M141" s="26">
        <v>7.6600000000000001E-2</v>
      </c>
      <c r="N141" s="79">
        <v>106201707.72</v>
      </c>
      <c r="O141" s="78">
        <f>106201707.72*C274</f>
        <v>144180372975.69992</v>
      </c>
      <c r="P141" s="24">
        <f t="shared" si="78"/>
        <v>8.0638194073502006E-2</v>
      </c>
      <c r="Q141" s="79">
        <v>121.65345000000001</v>
      </c>
      <c r="R141" s="78">
        <f>121.65345*C274</f>
        <v>165157.79427036</v>
      </c>
      <c r="S141" s="86">
        <v>121.65345000000001</v>
      </c>
      <c r="T141" s="36">
        <f>121.65345*C274</f>
        <v>165157.79427036</v>
      </c>
      <c r="U141" s="25">
        <v>4599</v>
      </c>
      <c r="V141" s="26">
        <v>1.1000000000000001E-3</v>
      </c>
      <c r="W141" s="26">
        <v>7.6600000000000001E-2</v>
      </c>
      <c r="X141" s="20">
        <f t="shared" si="92"/>
        <v>-6.4293759223105519E-3</v>
      </c>
      <c r="Y141" s="20">
        <f t="shared" si="93"/>
        <v>-4.8315108472149699E-3</v>
      </c>
      <c r="Z141" s="20">
        <f t="shared" si="94"/>
        <v>2.8347143480156999E-3</v>
      </c>
      <c r="AA141" s="20">
        <f t="shared" si="95"/>
        <v>-9.9999999999999829E-5</v>
      </c>
      <c r="AB141" s="21">
        <f t="shared" si="96"/>
        <v>0</v>
      </c>
    </row>
    <row r="142" spans="1:111" ht="4.95" customHeight="1">
      <c r="B142" s="259"/>
      <c r="C142" s="259"/>
      <c r="D142" s="259"/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  <c r="AA142" s="259"/>
      <c r="AB142" s="259"/>
    </row>
    <row r="143" spans="1:111">
      <c r="A143" s="74"/>
      <c r="B143" s="260" t="s">
        <v>205</v>
      </c>
      <c r="C143" s="260"/>
      <c r="D143" s="260"/>
      <c r="E143" s="260"/>
      <c r="F143" s="260"/>
      <c r="G143" s="260"/>
      <c r="H143" s="260"/>
      <c r="I143" s="260"/>
      <c r="J143" s="260"/>
      <c r="K143" s="260"/>
      <c r="L143" s="260"/>
      <c r="M143" s="260"/>
      <c r="N143" s="260"/>
      <c r="O143" s="260"/>
      <c r="P143" s="260"/>
      <c r="Q143" s="260"/>
      <c r="R143" s="260"/>
      <c r="S143" s="260"/>
      <c r="T143" s="260"/>
      <c r="U143" s="260"/>
      <c r="V143" s="260"/>
      <c r="W143" s="260"/>
      <c r="X143" s="260"/>
      <c r="Y143" s="260"/>
      <c r="Z143" s="260"/>
      <c r="AA143" s="260"/>
      <c r="AB143" s="260"/>
      <c r="AC143" s="87">
        <v>1374.9431</v>
      </c>
      <c r="AE143" s="88"/>
    </row>
    <row r="144" spans="1:111">
      <c r="A144" s="204">
        <v>127</v>
      </c>
      <c r="B144" s="200" t="s">
        <v>206</v>
      </c>
      <c r="C144" s="12" t="s">
        <v>68</v>
      </c>
      <c r="D144" s="77">
        <v>479233.76</v>
      </c>
      <c r="E144" s="23">
        <v>623506765.18832004</v>
      </c>
      <c r="F144" s="24">
        <f>(E144/$E$164)</f>
        <v>3.4498059869657142E-4</v>
      </c>
      <c r="G144" s="78">
        <v>1.0087999999999999</v>
      </c>
      <c r="H144" s="36">
        <v>1379.3424560000001</v>
      </c>
      <c r="I144" s="78">
        <v>1.0087999999999999</v>
      </c>
      <c r="J144" s="36">
        <v>1379.3424560000001</v>
      </c>
      <c r="K144" s="25">
        <v>42</v>
      </c>
      <c r="L144" s="26">
        <v>8.3000000000000004E-2</v>
      </c>
      <c r="M144" s="26">
        <v>7.5600000000000001E-2</v>
      </c>
      <c r="N144" s="78">
        <v>489995.5</v>
      </c>
      <c r="O144" s="23">
        <f>489995.5*C274</f>
        <v>665222202.76039994</v>
      </c>
      <c r="P144" s="24">
        <f>(O144/$O$164)</f>
        <v>3.7205006465919241E-4</v>
      </c>
      <c r="Q144" s="78">
        <v>1.01</v>
      </c>
      <c r="R144" s="36">
        <f>1.01*C274</f>
        <v>1371.184888</v>
      </c>
      <c r="S144" s="36">
        <v>1.01</v>
      </c>
      <c r="T144" s="36">
        <f>1.01*C274</f>
        <v>1371.184888</v>
      </c>
      <c r="U144" s="25">
        <v>44</v>
      </c>
      <c r="V144" s="26">
        <v>8.8999999999999996E-2</v>
      </c>
      <c r="W144" s="26">
        <v>7.8799999999999995E-2</v>
      </c>
      <c r="X144" s="20">
        <f>((O144-E144)/E144)</f>
        <v>6.6904546832752376E-2</v>
      </c>
      <c r="Y144" s="20">
        <f>((T144-J144)/J144)</f>
        <v>-5.9140991162241743E-3</v>
      </c>
      <c r="Z144" s="20">
        <f>((U144-K144)/K144)</f>
        <v>4.7619047619047616E-2</v>
      </c>
      <c r="AA144" s="20">
        <f>V144-L144</f>
        <v>5.9999999999999915E-3</v>
      </c>
      <c r="AB144" s="21">
        <f>W144-M144</f>
        <v>3.1999999999999945E-3</v>
      </c>
      <c r="AC144" s="87"/>
      <c r="AE144" s="88"/>
    </row>
    <row r="145" spans="1:30">
      <c r="A145" s="204">
        <v>128</v>
      </c>
      <c r="B145" s="200" t="s">
        <v>207</v>
      </c>
      <c r="C145" s="12" t="s">
        <v>74</v>
      </c>
      <c r="D145" s="77">
        <v>1066011.8799999999</v>
      </c>
      <c r="E145" s="23">
        <v>1455837073.9449279</v>
      </c>
      <c r="F145" s="24">
        <f>(E145/$E$164)</f>
        <v>8.0550135686578142E-4</v>
      </c>
      <c r="G145" s="78">
        <v>122.46</v>
      </c>
      <c r="H145" s="36">
        <v>167241.858576</v>
      </c>
      <c r="I145" s="78">
        <v>122.46</v>
      </c>
      <c r="J145" s="36">
        <v>167241.858576</v>
      </c>
      <c r="K145" s="25">
        <v>30</v>
      </c>
      <c r="L145" s="26">
        <v>1E-3</v>
      </c>
      <c r="M145" s="26">
        <v>9.6100000000000005E-2</v>
      </c>
      <c r="N145" s="79">
        <v>1066959.06</v>
      </c>
      <c r="O145" s="23">
        <f>1066959.06*C274</f>
        <v>1448513009.0957282</v>
      </c>
      <c r="P145" s="24">
        <f>(O145/$O$164)</f>
        <v>8.1013435278836493E-4</v>
      </c>
      <c r="Q145" s="79">
        <v>122.57</v>
      </c>
      <c r="R145" s="36">
        <f>122.57*C274</f>
        <v>166402.11061599999</v>
      </c>
      <c r="S145" s="81">
        <v>122.57</v>
      </c>
      <c r="T145" s="36">
        <f>122.57*C274</f>
        <v>166402.11061599999</v>
      </c>
      <c r="U145" s="25">
        <v>30</v>
      </c>
      <c r="V145" s="56">
        <v>5.0799999999999998E-2</v>
      </c>
      <c r="W145" s="56">
        <v>4.0000000000000002E-4</v>
      </c>
      <c r="X145" s="20">
        <f>((O145-E145)/E145)</f>
        <v>-5.0308272678848062E-3</v>
      </c>
      <c r="Y145" s="20">
        <f>((T145-J145)/J145)</f>
        <v>-5.0211589798758414E-3</v>
      </c>
      <c r="Z145" s="20">
        <f>((U145-K145)/K145)</f>
        <v>0</v>
      </c>
      <c r="AA145" s="20">
        <f>V145-L145</f>
        <v>4.9799999999999997E-2</v>
      </c>
      <c r="AB145" s="21">
        <f>W145-M145</f>
        <v>-9.5700000000000007E-2</v>
      </c>
    </row>
    <row r="146" spans="1:30">
      <c r="A146" s="204">
        <v>129</v>
      </c>
      <c r="B146" s="193" t="s">
        <v>208</v>
      </c>
      <c r="C146" s="12" t="s">
        <v>29</v>
      </c>
      <c r="D146" s="77">
        <v>19946816.079999994</v>
      </c>
      <c r="E146" s="36">
        <v>27241079486.304447</v>
      </c>
      <c r="F146" s="24">
        <f>(E146/$E$164)</f>
        <v>1.5072240487218761E-2</v>
      </c>
      <c r="G146" s="78">
        <v>134.71369999999999</v>
      </c>
      <c r="H146" s="23">
        <v>183971.50717600001</v>
      </c>
      <c r="I146" s="78">
        <v>134.71</v>
      </c>
      <c r="J146" s="23">
        <v>183971.50717600001</v>
      </c>
      <c r="K146" s="25">
        <v>703</v>
      </c>
      <c r="L146" s="26">
        <v>5.0000000000000001E-4</v>
      </c>
      <c r="M146" s="26">
        <v>3.1118379915290983E-2</v>
      </c>
      <c r="N146" s="79">
        <v>19824685.379999999</v>
      </c>
      <c r="O146" s="36">
        <f>19824685.38*C274</f>
        <v>26914167329.119343</v>
      </c>
      <c r="P146" s="24">
        <f>(O146/$O$164)</f>
        <v>1.5052741254719986E-2</v>
      </c>
      <c r="Q146" s="79">
        <v>134.83000000000001</v>
      </c>
      <c r="R146" s="23">
        <f>134.83*C274</f>
        <v>183046.39450400003</v>
      </c>
      <c r="S146" s="29">
        <v>134.83000000000001</v>
      </c>
      <c r="T146" s="23">
        <f>134.83*C274</f>
        <v>183046.39450400003</v>
      </c>
      <c r="U146" s="25">
        <v>703</v>
      </c>
      <c r="V146" s="56">
        <v>5.0000000000000001E-4</v>
      </c>
      <c r="W146" s="26">
        <v>3.2000000000000001E-2</v>
      </c>
      <c r="X146" s="20">
        <f t="shared" ref="X146:X164" si="97">((O146-E146)/E146)</f>
        <v>-1.2000704940839832E-2</v>
      </c>
      <c r="Y146" s="20">
        <f t="shared" ref="Y146:Y164" si="98">((T146-J146)/J146)</f>
        <v>-5.0285649457389118E-3</v>
      </c>
      <c r="Z146" s="20">
        <f t="shared" ref="Z146:Z164" si="99">((U146-K146)/K146)</f>
        <v>0</v>
      </c>
      <c r="AA146" s="20">
        <f t="shared" ref="AA146:AA164" si="100">V146-L146</f>
        <v>0</v>
      </c>
      <c r="AB146" s="21">
        <f t="shared" ref="AB146:AB164" si="101">W146-M146</f>
        <v>8.816200847090172E-4</v>
      </c>
    </row>
    <row r="147" spans="1:30">
      <c r="A147" s="204">
        <v>130</v>
      </c>
      <c r="B147" s="209" t="s">
        <v>209</v>
      </c>
      <c r="C147" s="12" t="s">
        <v>149</v>
      </c>
      <c r="D147" s="77">
        <v>460952.99</v>
      </c>
      <c r="E147" s="36">
        <v>629516860.719944</v>
      </c>
      <c r="F147" s="24">
        <f>(E147/$E$164)</f>
        <v>3.483059296640662E-4</v>
      </c>
      <c r="G147" s="78">
        <v>106.48</v>
      </c>
      <c r="H147" s="23">
        <v>145418.20268800002</v>
      </c>
      <c r="I147" s="78">
        <v>106.48</v>
      </c>
      <c r="J147" s="23">
        <v>145418.20268800002</v>
      </c>
      <c r="K147" s="25">
        <v>20</v>
      </c>
      <c r="L147" s="26">
        <v>8.5999999999999998E-4</v>
      </c>
      <c r="M147" s="26">
        <v>6.4019999999999994E-2</v>
      </c>
      <c r="N147" s="78">
        <v>461677.47</v>
      </c>
      <c r="O147" s="36">
        <f>461677.47*C274</f>
        <v>626777396.03373599</v>
      </c>
      <c r="P147" s="24">
        <f>(O147/$O$164)</f>
        <v>3.5054838782232163E-4</v>
      </c>
      <c r="Q147" s="78">
        <v>106.61</v>
      </c>
      <c r="R147" s="23">
        <f>106.61*C274</f>
        <v>144734.674168</v>
      </c>
      <c r="S147" s="23">
        <v>106.61</v>
      </c>
      <c r="T147" s="23">
        <f>106.61*C274</f>
        <v>144734.674168</v>
      </c>
      <c r="U147" s="25">
        <v>20</v>
      </c>
      <c r="V147" s="26">
        <v>8.7299999999999997E-4</v>
      </c>
      <c r="W147" s="26">
        <v>6.4079999999999998E-2</v>
      </c>
      <c r="X147" s="20">
        <v>0</v>
      </c>
      <c r="Y147" s="20">
        <f t="shared" ref="Y147" si="102">((T147-J147)/J147)</f>
        <v>-4.7004330088342289E-3</v>
      </c>
      <c r="Z147" s="20">
        <f t="shared" ref="Z147" si="103">((U147-K147)/K147)</f>
        <v>0</v>
      </c>
      <c r="AA147" s="20">
        <f t="shared" ref="AA147" si="104">V147-L147</f>
        <v>1.2999999999999991E-5</v>
      </c>
      <c r="AB147" s="21">
        <f t="shared" ref="AB147" si="105">W147-M147</f>
        <v>6.0000000000004494E-5</v>
      </c>
    </row>
    <row r="148" spans="1:30">
      <c r="A148" s="204">
        <v>131</v>
      </c>
      <c r="B148" s="207" t="s">
        <v>210</v>
      </c>
      <c r="C148" s="12" t="s">
        <v>83</v>
      </c>
      <c r="D148" s="77">
        <v>14400040.26</v>
      </c>
      <c r="E148" s="23">
        <v>19665414981.07</v>
      </c>
      <c r="F148" s="24">
        <f>(E148/$E$164)</f>
        <v>1.0880694504953768E-2</v>
      </c>
      <c r="G148" s="78">
        <v>117.62</v>
      </c>
      <c r="H148" s="23">
        <v>160627.75</v>
      </c>
      <c r="I148" s="78">
        <v>117.62</v>
      </c>
      <c r="J148" s="23">
        <v>160627.75</v>
      </c>
      <c r="K148" s="25">
        <v>479</v>
      </c>
      <c r="L148" s="26">
        <v>1.1999999999999999E-3</v>
      </c>
      <c r="M148" s="26">
        <v>6.8400000000000002E-2</v>
      </c>
      <c r="N148" s="79">
        <v>14293082.199999999</v>
      </c>
      <c r="O148" s="23">
        <v>19795918847</v>
      </c>
      <c r="P148" s="24">
        <f t="shared" ref="P148:P149" si="106">(O148/$O$120)</f>
        <v>8.5030890178846893E-2</v>
      </c>
      <c r="Q148" s="79">
        <v>117.22</v>
      </c>
      <c r="R148" s="23">
        <v>162349.70000000001</v>
      </c>
      <c r="S148" s="79">
        <v>117.22</v>
      </c>
      <c r="T148" s="23">
        <v>162349.70000000001</v>
      </c>
      <c r="U148" s="25">
        <v>478</v>
      </c>
      <c r="V148" s="56">
        <v>1.2999999999999999E-3</v>
      </c>
      <c r="W148" s="56">
        <v>6.8400000000000002E-2</v>
      </c>
      <c r="X148" s="20">
        <f t="shared" si="97"/>
        <v>6.6362121549748028E-3</v>
      </c>
      <c r="Y148" s="20">
        <f t="shared" si="98"/>
        <v>1.0720127748785696E-2</v>
      </c>
      <c r="Z148" s="20">
        <f t="shared" si="99"/>
        <v>-2.0876826722338203E-3</v>
      </c>
      <c r="AA148" s="20">
        <f t="shared" si="100"/>
        <v>1.0000000000000005E-4</v>
      </c>
      <c r="AB148" s="21">
        <f t="shared" si="101"/>
        <v>0</v>
      </c>
    </row>
    <row r="149" spans="1:30">
      <c r="A149" s="204">
        <v>132</v>
      </c>
      <c r="B149" s="200" t="s">
        <v>211</v>
      </c>
      <c r="C149" s="12" t="s">
        <v>33</v>
      </c>
      <c r="D149" s="77">
        <v>289203.84999999998</v>
      </c>
      <c r="E149" s="36">
        <v>394961533.40955997</v>
      </c>
      <c r="F149" s="24">
        <f t="shared" ref="F149" si="107">(E149/$E$120)</f>
        <v>1.6905363646930458E-3</v>
      </c>
      <c r="G149" s="78">
        <v>1.0342</v>
      </c>
      <c r="H149" s="35">
        <v>1412.39204752</v>
      </c>
      <c r="I149" s="78">
        <v>1.0342</v>
      </c>
      <c r="J149" s="35">
        <v>1412.39204752</v>
      </c>
      <c r="K149" s="25">
        <v>16</v>
      </c>
      <c r="L149" s="26">
        <v>1.937608990505657E-3</v>
      </c>
      <c r="M149" s="26">
        <v>5.1885851127519533E-2</v>
      </c>
      <c r="N149" s="78">
        <v>289203.84999999998</v>
      </c>
      <c r="O149" s="36">
        <f>289203.85*C274</f>
        <v>392625691.75387996</v>
      </c>
      <c r="P149" s="24">
        <f t="shared" si="106"/>
        <v>1.6864744867337838E-3</v>
      </c>
      <c r="Q149" s="78">
        <v>1.0342</v>
      </c>
      <c r="R149" s="35">
        <f>1.0342*C274</f>
        <v>1404.03902096</v>
      </c>
      <c r="S149" s="78">
        <v>1.0342</v>
      </c>
      <c r="T149" s="35">
        <f>1.0342*C274</f>
        <v>1404.03902096</v>
      </c>
      <c r="U149" s="25">
        <v>16</v>
      </c>
      <c r="V149" s="26">
        <v>1.937608990505657E-3</v>
      </c>
      <c r="W149" s="26">
        <v>5.1885851127519533E-2</v>
      </c>
      <c r="X149" s="27">
        <f t="shared" si="97"/>
        <v>-5.9140991162241171E-3</v>
      </c>
      <c r="Y149" s="27">
        <f t="shared" si="98"/>
        <v>-5.9140991162241075E-3</v>
      </c>
      <c r="Z149" s="27">
        <f t="shared" si="99"/>
        <v>0</v>
      </c>
      <c r="AA149" s="20">
        <f t="shared" si="100"/>
        <v>0</v>
      </c>
      <c r="AB149" s="21">
        <f t="shared" si="101"/>
        <v>0</v>
      </c>
    </row>
    <row r="150" spans="1:30">
      <c r="A150" s="204">
        <v>133</v>
      </c>
      <c r="B150" s="200" t="s">
        <v>212</v>
      </c>
      <c r="C150" s="12" t="s">
        <v>81</v>
      </c>
      <c r="D150" s="77">
        <v>11860386.706404744</v>
      </c>
      <c r="E150" s="23">
        <v>16197559335.368385</v>
      </c>
      <c r="F150" s="24">
        <f t="shared" ref="F150:F163" si="108">(E150/$E$164)</f>
        <v>8.9619616480839746E-3</v>
      </c>
      <c r="G150" s="78">
        <v>1.397881542319058</v>
      </c>
      <c r="H150" s="23">
        <v>1909.0666928509281</v>
      </c>
      <c r="I150" s="78">
        <v>1.397881542319058</v>
      </c>
      <c r="J150" s="23">
        <v>1909.0666928509281</v>
      </c>
      <c r="K150" s="25">
        <v>401</v>
      </c>
      <c r="L150" s="26">
        <v>0.1259570081712616</v>
      </c>
      <c r="M150" s="26">
        <v>0.12678228091685217</v>
      </c>
      <c r="N150" s="78">
        <f>O150/C274</f>
        <v>11888314.365861513</v>
      </c>
      <c r="O150" s="23">
        <v>16139680200.260008</v>
      </c>
      <c r="P150" s="24">
        <f t="shared" ref="P150:P163" si="109">(O150/$O$164)</f>
        <v>9.0267117320619924E-3</v>
      </c>
      <c r="Q150" s="78">
        <f>R150/C274</f>
        <v>1.3989816132226724</v>
      </c>
      <c r="R150" s="23">
        <v>1899.2697491492966</v>
      </c>
      <c r="S150" s="23">
        <f>T150/C274</f>
        <v>1.3989816132226724</v>
      </c>
      <c r="T150" s="23">
        <v>1899.2697491492966</v>
      </c>
      <c r="U150" s="25">
        <v>403</v>
      </c>
      <c r="V150" s="26">
        <v>5.5051688065215161E-2</v>
      </c>
      <c r="W150" s="26">
        <v>7.1082645519740736E-2</v>
      </c>
      <c r="X150" s="20">
        <f t="shared" si="97"/>
        <v>-3.5733244688287537E-3</v>
      </c>
      <c r="Y150" s="20">
        <f t="shared" si="98"/>
        <v>-5.1317975104375095E-3</v>
      </c>
      <c r="Z150" s="27">
        <f t="shared" si="99"/>
        <v>4.9875311720698253E-3</v>
      </c>
      <c r="AA150" s="20">
        <f t="shared" si="100"/>
        <v>-7.0905320106046443E-2</v>
      </c>
      <c r="AB150" s="21">
        <f t="shared" si="101"/>
        <v>-5.5699635397111438E-2</v>
      </c>
    </row>
    <row r="151" spans="1:30">
      <c r="A151" s="204">
        <v>134</v>
      </c>
      <c r="B151" s="200" t="s">
        <v>213</v>
      </c>
      <c r="C151" s="12" t="s">
        <v>103</v>
      </c>
      <c r="D151" s="77">
        <v>192316.88</v>
      </c>
      <c r="E151" s="23">
        <v>262644393.65292802</v>
      </c>
      <c r="F151" s="24">
        <f t="shared" si="108"/>
        <v>1.4531874427909158E-4</v>
      </c>
      <c r="G151" s="78">
        <v>1.07</v>
      </c>
      <c r="H151" s="23">
        <v>1461.283592</v>
      </c>
      <c r="I151" s="78">
        <v>1.07</v>
      </c>
      <c r="J151" s="23">
        <v>1461.283592</v>
      </c>
      <c r="K151" s="25">
        <v>10</v>
      </c>
      <c r="L151" s="26">
        <v>6.8000000000000005E-2</v>
      </c>
      <c r="M151" s="26">
        <v>6.8000000000000005E-2</v>
      </c>
      <c r="N151" s="78">
        <v>192544.73</v>
      </c>
      <c r="O151" s="23">
        <f>192544.73*C274</f>
        <v>261400419.84162402</v>
      </c>
      <c r="P151" s="24">
        <f t="shared" si="109"/>
        <v>1.4619783089086892E-4</v>
      </c>
      <c r="Q151" s="78">
        <v>1.07</v>
      </c>
      <c r="R151" s="23">
        <f>1.07*C274</f>
        <v>1452.6414160000002</v>
      </c>
      <c r="S151" s="78">
        <v>1.07</v>
      </c>
      <c r="T151" s="23">
        <f>1.07*C274</f>
        <v>1452.6414160000002</v>
      </c>
      <c r="U151" s="25">
        <v>10</v>
      </c>
      <c r="V151" s="26">
        <v>6.8000000000000005E-2</v>
      </c>
      <c r="W151" s="26">
        <v>6.8000000000000005E-2</v>
      </c>
      <c r="X151" s="20">
        <f t="shared" si="97"/>
        <v>-4.7363425276377869E-3</v>
      </c>
      <c r="Y151" s="20">
        <f t="shared" si="98"/>
        <v>-5.9140991162240026E-3</v>
      </c>
      <c r="Z151" s="27">
        <f t="shared" si="99"/>
        <v>0</v>
      </c>
      <c r="AA151" s="20">
        <f t="shared" si="100"/>
        <v>0</v>
      </c>
      <c r="AB151" s="21">
        <f t="shared" si="101"/>
        <v>0</v>
      </c>
    </row>
    <row r="152" spans="1:30" ht="15.6">
      <c r="A152" s="204">
        <v>135</v>
      </c>
      <c r="B152" s="200" t="s">
        <v>214</v>
      </c>
      <c r="C152" s="12" t="s">
        <v>45</v>
      </c>
      <c r="D152" s="77">
        <v>111620187.30956757</v>
      </c>
      <c r="E152" s="23">
        <v>154000140027.26419</v>
      </c>
      <c r="F152" s="24">
        <f t="shared" si="108"/>
        <v>8.520687099508098E-2</v>
      </c>
      <c r="G152" s="78">
        <v>7.2480575205844833E-2</v>
      </c>
      <c r="H152" s="23">
        <v>100</v>
      </c>
      <c r="I152" s="78">
        <v>7.2480575205844833E-2</v>
      </c>
      <c r="J152" s="23">
        <v>100</v>
      </c>
      <c r="K152" s="25">
        <v>4025</v>
      </c>
      <c r="L152" s="26">
        <v>5.4760000000000003E-2</v>
      </c>
      <c r="M152" s="26">
        <v>5.1772735433789997E-2</v>
      </c>
      <c r="N152" s="78">
        <f>O152/1379.68</f>
        <v>112482332.79261974</v>
      </c>
      <c r="O152" s="23">
        <v>155189624907.32159</v>
      </c>
      <c r="P152" s="24">
        <f t="shared" si="109"/>
        <v>8.6795524475302324E-2</v>
      </c>
      <c r="Q152" s="78">
        <f>R152/1379.68</f>
        <v>7.2480575205844833E-2</v>
      </c>
      <c r="R152" s="23">
        <v>100</v>
      </c>
      <c r="S152" s="23">
        <f>T152/1379.68</f>
        <v>7.2480575205844833E-2</v>
      </c>
      <c r="T152" s="23">
        <v>100</v>
      </c>
      <c r="U152" s="25">
        <v>4145</v>
      </c>
      <c r="V152" s="26">
        <v>5.4039999999999998E-2</v>
      </c>
      <c r="W152" s="26">
        <v>5.1844648495575303E-2</v>
      </c>
      <c r="X152" s="20">
        <f t="shared" si="97"/>
        <v>7.7239207694669437E-3</v>
      </c>
      <c r="Y152" s="20">
        <f t="shared" si="98"/>
        <v>0</v>
      </c>
      <c r="Z152" s="20">
        <f t="shared" si="99"/>
        <v>2.9813664596273291E-2</v>
      </c>
      <c r="AA152" s="20">
        <f t="shared" si="100"/>
        <v>-7.2000000000000536E-4</v>
      </c>
      <c r="AB152" s="21">
        <f t="shared" si="101"/>
        <v>7.1913061785305876E-5</v>
      </c>
      <c r="AD152" s="89"/>
    </row>
    <row r="153" spans="1:30" ht="15.6">
      <c r="A153" s="204">
        <v>136</v>
      </c>
      <c r="B153" s="207" t="s">
        <v>215</v>
      </c>
      <c r="C153" s="12" t="s">
        <v>164</v>
      </c>
      <c r="D153" s="77">
        <v>1175365.21</v>
      </c>
      <c r="E153" s="23">
        <v>1605179342.037976</v>
      </c>
      <c r="F153" s="24">
        <f t="shared" si="108"/>
        <v>8.8813106985996646E-4</v>
      </c>
      <c r="G153" s="78">
        <v>1.1499999999999999</v>
      </c>
      <c r="H153" s="23">
        <v>1570.5384399999998</v>
      </c>
      <c r="I153" s="78">
        <v>1.1499999999999999</v>
      </c>
      <c r="J153" s="23">
        <v>1570.5384399999998</v>
      </c>
      <c r="K153" s="25">
        <v>53</v>
      </c>
      <c r="L153" s="26">
        <v>1.9E-3</v>
      </c>
      <c r="M153" s="26">
        <v>8.2600000000000007E-2</v>
      </c>
      <c r="N153" s="79">
        <v>1181788.68</v>
      </c>
      <c r="O153" s="23">
        <f>1181788.68*C274</f>
        <v>1604406711.7083838</v>
      </c>
      <c r="P153" s="24">
        <f t="shared" si="109"/>
        <v>8.9732365870197101E-4</v>
      </c>
      <c r="Q153" s="79">
        <v>1.1499999999999999</v>
      </c>
      <c r="R153" s="23">
        <f>1.15*C274</f>
        <v>1561.2501199999999</v>
      </c>
      <c r="S153" s="23">
        <v>1.1499999999999999</v>
      </c>
      <c r="T153" s="23">
        <f>1.15*C274</f>
        <v>1561.2501199999999</v>
      </c>
      <c r="U153" s="25">
        <v>53</v>
      </c>
      <c r="V153" s="56">
        <v>1.9E-3</v>
      </c>
      <c r="W153" s="56">
        <v>8.2600000000000007E-2</v>
      </c>
      <c r="X153" s="20">
        <f t="shared" si="97"/>
        <v>-4.8133582918608774E-4</v>
      </c>
      <c r="Y153" s="20">
        <f t="shared" si="98"/>
        <v>-5.9140991162240425E-3</v>
      </c>
      <c r="Z153" s="20">
        <f t="shared" si="99"/>
        <v>0</v>
      </c>
      <c r="AA153" s="20">
        <f t="shared" si="100"/>
        <v>0</v>
      </c>
      <c r="AB153" s="21">
        <f t="shared" si="101"/>
        <v>0</v>
      </c>
      <c r="AD153" s="89"/>
    </row>
    <row r="154" spans="1:30" ht="15.6">
      <c r="A154" s="204">
        <v>137</v>
      </c>
      <c r="B154" s="207" t="s">
        <v>216</v>
      </c>
      <c r="C154" s="12" t="s">
        <v>49</v>
      </c>
      <c r="D154" s="77">
        <v>6199331.1600000001</v>
      </c>
      <c r="E154" s="36">
        <v>8466337294.8432961</v>
      </c>
      <c r="F154" s="24">
        <f t="shared" si="108"/>
        <v>4.6843471022483532E-3</v>
      </c>
      <c r="G154" s="78">
        <v>10.95</v>
      </c>
      <c r="H154" s="23">
        <v>14954.257319999999</v>
      </c>
      <c r="I154" s="78">
        <v>10.95</v>
      </c>
      <c r="J154" s="23">
        <v>14954.257319999999</v>
      </c>
      <c r="K154" s="25">
        <v>174</v>
      </c>
      <c r="L154" s="26">
        <v>6.0600000000000001E-2</v>
      </c>
      <c r="M154" s="26">
        <v>7.8700000000000006E-2</v>
      </c>
      <c r="N154" s="78">
        <v>5903841.9199999999</v>
      </c>
      <c r="O154" s="36">
        <f>5903841.92*C274</f>
        <v>8015107744.4008961</v>
      </c>
      <c r="P154" s="24">
        <f t="shared" si="109"/>
        <v>4.482744776377846E-3</v>
      </c>
      <c r="Q154" s="78">
        <v>10.65</v>
      </c>
      <c r="R154" s="23">
        <f>10.65*C274</f>
        <v>14458.533719999999</v>
      </c>
      <c r="S154" s="23">
        <v>10.65</v>
      </c>
      <c r="T154" s="23">
        <f>10.65*C274</f>
        <v>14458.533719999999</v>
      </c>
      <c r="U154" s="25">
        <v>171</v>
      </c>
      <c r="V154" s="26">
        <v>6.1199999999999997E-2</v>
      </c>
      <c r="W154" s="26">
        <v>7.9299999999999995E-2</v>
      </c>
      <c r="X154" s="20">
        <f t="shared" si="97"/>
        <v>-5.3296902158296522E-2</v>
      </c>
      <c r="Y154" s="20">
        <f t="shared" si="98"/>
        <v>-3.3149329277423416E-2</v>
      </c>
      <c r="Z154" s="20">
        <f t="shared" si="99"/>
        <v>-1.7241379310344827E-2</v>
      </c>
      <c r="AA154" s="20">
        <f t="shared" si="100"/>
        <v>5.9999999999999637E-4</v>
      </c>
      <c r="AB154" s="21">
        <f t="shared" si="101"/>
        <v>5.9999999999998943E-4</v>
      </c>
      <c r="AD154" s="89"/>
    </row>
    <row r="155" spans="1:30" ht="15.6">
      <c r="A155" s="204">
        <v>138</v>
      </c>
      <c r="B155" s="193" t="s">
        <v>217</v>
      </c>
      <c r="C155" s="69" t="s">
        <v>53</v>
      </c>
      <c r="D155" s="77">
        <v>29593224.147573076</v>
      </c>
      <c r="E155" s="23">
        <v>40415040075.912827</v>
      </c>
      <c r="F155" s="24">
        <f t="shared" si="108"/>
        <v>2.2361272563776045E-2</v>
      </c>
      <c r="G155" s="78">
        <v>1.0900000000000001</v>
      </c>
      <c r="H155" s="23">
        <v>1488.5973040000001</v>
      </c>
      <c r="I155" s="78">
        <v>1.0900000000000001</v>
      </c>
      <c r="J155" s="23">
        <v>1488.5973040000001</v>
      </c>
      <c r="K155" s="25">
        <v>793</v>
      </c>
      <c r="L155" s="26">
        <v>4.1000000000000003E-3</v>
      </c>
      <c r="M155" s="26">
        <v>9.4399999999999998E-2</v>
      </c>
      <c r="N155" s="78">
        <f>O155/C274</f>
        <v>29713054.21476312</v>
      </c>
      <c r="O155" s="23">
        <v>40338703876.8395</v>
      </c>
      <c r="P155" s="24">
        <f t="shared" si="109"/>
        <v>2.2560908705946705E-2</v>
      </c>
      <c r="Q155" s="78">
        <v>1.0900000000000001</v>
      </c>
      <c r="R155" s="23">
        <f>1.09*C274</f>
        <v>1479.793592</v>
      </c>
      <c r="S155" s="23">
        <v>1.0900000000000001</v>
      </c>
      <c r="T155" s="23">
        <f>1.09*C274</f>
        <v>1479.793592</v>
      </c>
      <c r="U155" s="25">
        <v>793</v>
      </c>
      <c r="V155" s="26">
        <v>8.9999999999999998E-4</v>
      </c>
      <c r="W155" s="26">
        <v>9.5200000000000007E-2</v>
      </c>
      <c r="X155" s="20">
        <f t="shared" si="97"/>
        <v>-1.8888067147760203E-3</v>
      </c>
      <c r="Y155" s="20">
        <f t="shared" si="98"/>
        <v>-5.9140991162242029E-3</v>
      </c>
      <c r="Z155" s="20">
        <f t="shared" si="99"/>
        <v>0</v>
      </c>
      <c r="AA155" s="20">
        <f t="shared" si="100"/>
        <v>-3.2000000000000006E-3</v>
      </c>
      <c r="AB155" s="21">
        <f t="shared" si="101"/>
        <v>8.0000000000000904E-4</v>
      </c>
      <c r="AD155" s="89"/>
    </row>
    <row r="156" spans="1:30">
      <c r="A156" s="204">
        <v>139</v>
      </c>
      <c r="B156" s="200" t="s">
        <v>218</v>
      </c>
      <c r="C156" s="12" t="s">
        <v>116</v>
      </c>
      <c r="D156" s="77">
        <v>321369.74</v>
      </c>
      <c r="E156" s="36">
        <v>438891440.22060001</v>
      </c>
      <c r="F156" s="24">
        <f t="shared" si="108"/>
        <v>2.4283462548216689E-4</v>
      </c>
      <c r="G156" s="78">
        <v>1.29</v>
      </c>
      <c r="H156" s="23">
        <v>1761.7401000000002</v>
      </c>
      <c r="I156" s="78">
        <v>1.29</v>
      </c>
      <c r="J156" s="23">
        <v>1761.7401000000002</v>
      </c>
      <c r="K156" s="25">
        <v>2</v>
      </c>
      <c r="L156" s="26">
        <v>1.6000000000000001E-3</v>
      </c>
      <c r="M156" s="26">
        <v>2.4E-2</v>
      </c>
      <c r="N156" s="79">
        <v>321847.56</v>
      </c>
      <c r="O156" s="36">
        <f>321847.56*1364.83</f>
        <v>439267205.31479996</v>
      </c>
      <c r="P156" s="24">
        <f t="shared" si="109"/>
        <v>2.4567639423619502E-4</v>
      </c>
      <c r="Q156" s="78">
        <v>1.29</v>
      </c>
      <c r="R156" s="23">
        <f>1.29*1364.83</f>
        <v>1760.6306999999999</v>
      </c>
      <c r="S156" s="23">
        <v>1.29</v>
      </c>
      <c r="T156" s="23">
        <f>1.29*1364.83</f>
        <v>1760.6306999999999</v>
      </c>
      <c r="U156" s="25">
        <v>2</v>
      </c>
      <c r="V156" s="56">
        <v>1.2999999999999999E-3</v>
      </c>
      <c r="W156" s="56">
        <v>2.4E-2</v>
      </c>
      <c r="X156" s="20">
        <f t="shared" si="97"/>
        <v>8.5616865530821159E-4</v>
      </c>
      <c r="Y156" s="20">
        <f t="shared" si="98"/>
        <v>-6.2971831089062328E-4</v>
      </c>
      <c r="Z156" s="20">
        <f t="shared" si="99"/>
        <v>0</v>
      </c>
      <c r="AA156" s="20">
        <f t="shared" ref="AA156" si="110">V156-L156</f>
        <v>-3.0000000000000014E-4</v>
      </c>
      <c r="AB156" s="21">
        <f t="shared" ref="AB156" si="111">W156-M156</f>
        <v>0</v>
      </c>
    </row>
    <row r="157" spans="1:30">
      <c r="A157" s="204">
        <v>140</v>
      </c>
      <c r="B157" s="200" t="s">
        <v>219</v>
      </c>
      <c r="C157" s="12" t="s">
        <v>121</v>
      </c>
      <c r="D157" s="77">
        <v>560101.85</v>
      </c>
      <c r="E157" s="36">
        <v>759457912.38541603</v>
      </c>
      <c r="F157" s="24">
        <f t="shared" si="108"/>
        <v>4.2020112680002245E-4</v>
      </c>
      <c r="G157" s="78">
        <v>1.0905</v>
      </c>
      <c r="H157" s="23">
        <v>1487.7778926399999</v>
      </c>
      <c r="I157" s="78">
        <v>1.0905</v>
      </c>
      <c r="J157" s="23">
        <v>1487.7778926399999</v>
      </c>
      <c r="K157" s="25">
        <v>18</v>
      </c>
      <c r="L157" s="26">
        <v>4.0000000000000002E-4</v>
      </c>
      <c r="M157" s="26">
        <v>3.4799999999999998E-2</v>
      </c>
      <c r="N157" s="78">
        <v>562218.27</v>
      </c>
      <c r="O157" s="36">
        <f>562218.27*C274</f>
        <v>763272470.87277603</v>
      </c>
      <c r="P157" s="24">
        <f t="shared" si="109"/>
        <v>4.2688829531307802E-4</v>
      </c>
      <c r="Q157" s="78">
        <v>1.0925</v>
      </c>
      <c r="R157" s="23">
        <f>1.0925*C274</f>
        <v>1483.1876139999999</v>
      </c>
      <c r="S157" s="23">
        <v>1.0925</v>
      </c>
      <c r="T157" s="23">
        <f>1.0925*C274</f>
        <v>1483.1876139999999</v>
      </c>
      <c r="U157" s="25">
        <v>19</v>
      </c>
      <c r="V157" s="26">
        <v>1.6999999999999999E-3</v>
      </c>
      <c r="W157" s="26">
        <v>3.6499999999999998E-2</v>
      </c>
      <c r="X157" s="20">
        <f t="shared" ref="X157" si="112">((O157-E157)/E157)</f>
        <v>5.0227384890608089E-3</v>
      </c>
      <c r="Y157" s="20">
        <f t="shared" ref="Y157" si="113">((T157-J157)/J157)</f>
        <v>-3.0853252106432991E-3</v>
      </c>
      <c r="Z157" s="20">
        <f t="shared" si="99"/>
        <v>5.5555555555555552E-2</v>
      </c>
      <c r="AA157" s="20">
        <f t="shared" si="100"/>
        <v>1.2999999999999999E-3</v>
      </c>
      <c r="AB157" s="21">
        <f t="shared" si="101"/>
        <v>1.7000000000000001E-3</v>
      </c>
    </row>
    <row r="158" spans="1:30">
      <c r="A158" s="204">
        <v>141</v>
      </c>
      <c r="B158" s="200" t="s">
        <v>220</v>
      </c>
      <c r="C158" s="12" t="s">
        <v>55</v>
      </c>
      <c r="D158" s="77">
        <v>612964264.25</v>
      </c>
      <c r="E158" s="36">
        <v>837971186370.89001</v>
      </c>
      <c r="F158" s="24">
        <f t="shared" si="108"/>
        <v>0.4636418042351037</v>
      </c>
      <c r="G158" s="78">
        <v>1.7102999999999999</v>
      </c>
      <c r="H158" s="23">
        <v>2331.4296509999999</v>
      </c>
      <c r="I158" s="78">
        <v>1.7090000000000001</v>
      </c>
      <c r="J158" s="23">
        <v>2331.4296509999999</v>
      </c>
      <c r="K158" s="25">
        <v>13914</v>
      </c>
      <c r="L158" s="26">
        <v>7.6067875950839995E-4</v>
      </c>
      <c r="M158" s="26">
        <v>3.7641007072134199E-2</v>
      </c>
      <c r="N158" s="79">
        <v>605397231.86000001</v>
      </c>
      <c r="O158" s="36">
        <f>605397231.86*1358.63</f>
        <v>822510841121.9519</v>
      </c>
      <c r="P158" s="24">
        <f t="shared" si="109"/>
        <v>0.46001953986573363</v>
      </c>
      <c r="Q158" s="79">
        <v>1.7117</v>
      </c>
      <c r="R158" s="23">
        <f>1.7103*1358.63</f>
        <v>2323.6648890000001</v>
      </c>
      <c r="S158" s="79">
        <v>1.7117</v>
      </c>
      <c r="T158" s="23">
        <f>1.7103*1358.63</f>
        <v>2323.6648890000001</v>
      </c>
      <c r="U158" s="25">
        <v>13937</v>
      </c>
      <c r="V158" s="56">
        <v>8.0000000000000004E-4</v>
      </c>
      <c r="W158" s="56">
        <v>3.78E-2</v>
      </c>
      <c r="X158" s="20">
        <f t="shared" si="97"/>
        <v>-1.8449733714466034E-2</v>
      </c>
      <c r="Y158" s="20">
        <f t="shared" si="98"/>
        <v>-3.3304723548786123E-3</v>
      </c>
      <c r="Z158" s="20">
        <f t="shared" si="99"/>
        <v>1.6530113554693116E-3</v>
      </c>
      <c r="AA158" s="20">
        <f t="shared" si="100"/>
        <v>3.9321240491600089E-5</v>
      </c>
      <c r="AB158" s="21">
        <f t="shared" si="101"/>
        <v>1.5899292786580171E-4</v>
      </c>
    </row>
    <row r="159" spans="1:30">
      <c r="A159" s="204">
        <v>142</v>
      </c>
      <c r="B159" s="207" t="s">
        <v>221</v>
      </c>
      <c r="C159" s="37" t="s">
        <v>130</v>
      </c>
      <c r="D159" s="77">
        <v>494336.84</v>
      </c>
      <c r="E159" s="36">
        <v>676474389.53750408</v>
      </c>
      <c r="F159" s="24">
        <f t="shared" si="108"/>
        <v>3.7428710149610016E-4</v>
      </c>
      <c r="G159" s="78">
        <v>118.46</v>
      </c>
      <c r="H159" s="23">
        <v>161779.11617599998</v>
      </c>
      <c r="I159" s="78">
        <v>118.46</v>
      </c>
      <c r="J159" s="23">
        <v>161779.11617599998</v>
      </c>
      <c r="K159" s="25">
        <v>32</v>
      </c>
      <c r="L159" s="26">
        <v>1.1999999999999999E-3</v>
      </c>
      <c r="M159" s="26">
        <v>4.3200000000000002E-2</v>
      </c>
      <c r="N159" s="78">
        <v>495005.29</v>
      </c>
      <c r="O159" s="36">
        <f>495005.29*C274</f>
        <v>672023537.75055194</v>
      </c>
      <c r="P159" s="24">
        <f t="shared" si="109"/>
        <v>3.758539622325966E-4</v>
      </c>
      <c r="Q159" s="78">
        <v>118.76</v>
      </c>
      <c r="R159" s="23">
        <f>118.76*C274</f>
        <v>161229.62108800001</v>
      </c>
      <c r="S159" s="23">
        <v>118.46</v>
      </c>
      <c r="T159" s="23">
        <f>118.46*C274</f>
        <v>160822.33844799999</v>
      </c>
      <c r="U159" s="25">
        <v>32</v>
      </c>
      <c r="V159" s="26">
        <v>1.4E-3</v>
      </c>
      <c r="W159" s="26">
        <v>4.4600000000000001E-2</v>
      </c>
      <c r="X159" s="20">
        <f t="shared" ref="X159" si="114">((O159-E159)/E159)</f>
        <v>-6.5794830606892927E-3</v>
      </c>
      <c r="Y159" s="20">
        <f t="shared" ref="Y159" si="115">((T159-J159)/J159)</f>
        <v>-5.9140991162240312E-3</v>
      </c>
      <c r="Z159" s="20">
        <f t="shared" ref="Z159" si="116">((U159-K159)/K159)</f>
        <v>0</v>
      </c>
      <c r="AA159" s="20">
        <f t="shared" ref="AA159" si="117">V159-L159</f>
        <v>2.0000000000000009E-4</v>
      </c>
      <c r="AB159" s="21">
        <f t="shared" ref="AB159" si="118">W159-M159</f>
        <v>1.3999999999999985E-3</v>
      </c>
    </row>
    <row r="160" spans="1:30" ht="16.5" customHeight="1">
      <c r="A160" s="204">
        <v>143</v>
      </c>
      <c r="B160" s="200" t="s">
        <v>222</v>
      </c>
      <c r="C160" s="12" t="s">
        <v>58</v>
      </c>
      <c r="D160" s="77">
        <v>128288443.84</v>
      </c>
      <c r="E160" s="36">
        <v>175201680398.69672</v>
      </c>
      <c r="F160" s="24">
        <f t="shared" si="108"/>
        <v>9.6937489649101857E-2</v>
      </c>
      <c r="G160" s="78">
        <v>1.2088399999999999</v>
      </c>
      <c r="H160" s="23">
        <v>1650.895380704</v>
      </c>
      <c r="I160" s="78">
        <v>1.2088399999999999</v>
      </c>
      <c r="J160" s="23">
        <v>1650.895380704</v>
      </c>
      <c r="K160" s="25">
        <v>1139</v>
      </c>
      <c r="L160" s="26">
        <v>1E-3</v>
      </c>
      <c r="M160" s="26">
        <v>9.2100000000000001E-2</v>
      </c>
      <c r="N160" s="79">
        <v>128191716.88</v>
      </c>
      <c r="O160" s="36">
        <f>128191716.88*C274</f>
        <v>174034202923.39655</v>
      </c>
      <c r="P160" s="24">
        <f t="shared" si="109"/>
        <v>9.7335050125923389E-2</v>
      </c>
      <c r="Q160" s="79">
        <v>1.2103299999999999</v>
      </c>
      <c r="R160" s="78">
        <f>1.21033*C274</f>
        <v>1643.1546589039999</v>
      </c>
      <c r="S160" s="23">
        <v>1.2103299999999999</v>
      </c>
      <c r="T160" s="23">
        <f>1.21033*C274</f>
        <v>1643.1546589039999</v>
      </c>
      <c r="U160" s="25">
        <v>1143</v>
      </c>
      <c r="V160" s="56">
        <v>1.1999999999999999E-3</v>
      </c>
      <c r="W160" s="56">
        <v>9.1999999999999998E-2</v>
      </c>
      <c r="X160" s="20">
        <f t="shared" si="97"/>
        <v>-6.6636203068566888E-3</v>
      </c>
      <c r="Y160" s="20">
        <f t="shared" si="98"/>
        <v>-4.6888021436580418E-3</v>
      </c>
      <c r="Z160" s="20">
        <f t="shared" si="99"/>
        <v>3.5118525021949078E-3</v>
      </c>
      <c r="AA160" s="20">
        <f t="shared" si="100"/>
        <v>1.9999999999999987E-4</v>
      </c>
      <c r="AB160" s="21">
        <f t="shared" si="101"/>
        <v>-1.0000000000000286E-4</v>
      </c>
    </row>
    <row r="161" spans="1:30" ht="16.5" customHeight="1">
      <c r="A161" s="204">
        <v>144</v>
      </c>
      <c r="B161" s="200" t="s">
        <v>223</v>
      </c>
      <c r="C161" s="12" t="s">
        <v>125</v>
      </c>
      <c r="D161" s="77">
        <v>1371957.565082306</v>
      </c>
      <c r="E161" s="23">
        <v>1875575748.0727189</v>
      </c>
      <c r="F161" s="24">
        <f t="shared" si="108"/>
        <v>1.0377389317908511E-3</v>
      </c>
      <c r="G161" s="78">
        <v>116.25</v>
      </c>
      <c r="H161" s="23">
        <v>158923.04999999999</v>
      </c>
      <c r="I161" s="78">
        <v>116.25</v>
      </c>
      <c r="J161" s="23">
        <v>158923.04999999999</v>
      </c>
      <c r="K161" s="25">
        <v>25</v>
      </c>
      <c r="L161" s="26">
        <v>2.3E-3</v>
      </c>
      <c r="M161" s="26">
        <v>4.02E-2</v>
      </c>
      <c r="N161" s="79">
        <v>1350077.388189221</v>
      </c>
      <c r="O161" s="81">
        <v>1834255641.9155216</v>
      </c>
      <c r="P161" s="24">
        <f t="shared" si="109"/>
        <v>1.0258751547142183E-3</v>
      </c>
      <c r="Q161" s="78">
        <v>116.5</v>
      </c>
      <c r="R161" s="23">
        <v>158280.39500000002</v>
      </c>
      <c r="S161" s="78">
        <v>116.5</v>
      </c>
      <c r="T161" s="23">
        <v>158280.39500000002</v>
      </c>
      <c r="U161" s="25">
        <v>24</v>
      </c>
      <c r="V161" s="56">
        <v>2.0999999999999999E-3</v>
      </c>
      <c r="W161" s="56">
        <v>4.2000000000000003E-2</v>
      </c>
      <c r="X161" s="20">
        <f t="shared" si="97"/>
        <v>-2.2030625102535284E-2</v>
      </c>
      <c r="Y161" s="20">
        <f t="shared" si="98"/>
        <v>-4.0438123985159467E-3</v>
      </c>
      <c r="Z161" s="20">
        <f t="shared" si="99"/>
        <v>-0.04</v>
      </c>
      <c r="AA161" s="20">
        <f t="shared" si="100"/>
        <v>-2.0000000000000009E-4</v>
      </c>
      <c r="AB161" s="21">
        <f t="shared" si="101"/>
        <v>1.800000000000003E-3</v>
      </c>
    </row>
    <row r="162" spans="1:30" ht="16.5" customHeight="1">
      <c r="A162" s="204">
        <v>145</v>
      </c>
      <c r="B162" s="200" t="s">
        <v>224</v>
      </c>
      <c r="C162" s="12" t="s">
        <v>137</v>
      </c>
      <c r="D162" s="77">
        <v>4118169.39</v>
      </c>
      <c r="E162" s="23">
        <v>5624124634.2837839</v>
      </c>
      <c r="F162" s="24">
        <f t="shared" si="108"/>
        <v>3.1117767950654802E-3</v>
      </c>
      <c r="G162" s="78">
        <v>1.19</v>
      </c>
      <c r="H162" s="23">
        <v>1625.1658640000001</v>
      </c>
      <c r="I162" s="78">
        <v>1.19</v>
      </c>
      <c r="J162" s="23">
        <v>1625.1658640000001</v>
      </c>
      <c r="K162" s="25">
        <v>59</v>
      </c>
      <c r="L162" s="26">
        <v>2.8799999999999999E-2</v>
      </c>
      <c r="M162" s="26">
        <v>2.8899999999999999E-2</v>
      </c>
      <c r="N162" s="79">
        <v>4103133.59</v>
      </c>
      <c r="O162" s="23">
        <f>4103133.59*C274</f>
        <v>5570450269.3595915</v>
      </c>
      <c r="P162" s="24">
        <f t="shared" si="109"/>
        <v>3.1154798716820959E-3</v>
      </c>
      <c r="Q162" s="79">
        <v>1.19</v>
      </c>
      <c r="R162" s="23">
        <f>1.19*C274</f>
        <v>1615.5544719999998</v>
      </c>
      <c r="S162" s="23">
        <v>1.19</v>
      </c>
      <c r="T162" s="23">
        <f>1.19*C274</f>
        <v>1615.5544719999998</v>
      </c>
      <c r="U162" s="25">
        <v>59</v>
      </c>
      <c r="V162" s="56">
        <v>2.92E-2</v>
      </c>
      <c r="W162" s="56">
        <v>3.0099999999999998E-2</v>
      </c>
      <c r="X162" s="20">
        <f t="shared" ref="X162" si="119">((O162-E162)/E162)</f>
        <v>-9.5435944994892007E-3</v>
      </c>
      <c r="Y162" s="20">
        <f t="shared" ref="Y162" si="120">((T162-J162)/J162)</f>
        <v>-5.9140991162242688E-3</v>
      </c>
      <c r="Z162" s="20">
        <f t="shared" si="99"/>
        <v>0</v>
      </c>
      <c r="AA162" s="20">
        <f t="shared" si="100"/>
        <v>4.0000000000000105E-4</v>
      </c>
      <c r="AB162" s="21">
        <f t="shared" si="101"/>
        <v>1.1999999999999997E-3</v>
      </c>
    </row>
    <row r="163" spans="1:30">
      <c r="A163" s="201">
        <v>146</v>
      </c>
      <c r="B163" s="200" t="s">
        <v>225</v>
      </c>
      <c r="C163" s="12" t="s">
        <v>60</v>
      </c>
      <c r="D163" s="77">
        <v>1803675.35</v>
      </c>
      <c r="E163" s="23">
        <v>2463253452.5699601</v>
      </c>
      <c r="F163" s="24">
        <f t="shared" si="108"/>
        <v>1.3628956384335634E-3</v>
      </c>
      <c r="G163" s="78">
        <v>1.55</v>
      </c>
      <c r="H163" s="23">
        <v>2116.81268</v>
      </c>
      <c r="I163" s="78">
        <v>1.55</v>
      </c>
      <c r="J163" s="23">
        <v>2116.81268</v>
      </c>
      <c r="K163" s="25">
        <v>157</v>
      </c>
      <c r="L163" s="26">
        <v>1.9949999999999998E-3</v>
      </c>
      <c r="M163" s="26">
        <v>4.1708000000000002E-2</v>
      </c>
      <c r="N163" s="79">
        <v>1797295.29</v>
      </c>
      <c r="O163" s="23">
        <f>1797295.29*C274</f>
        <v>2440023901.9025521</v>
      </c>
      <c r="P163" s="24">
        <f t="shared" si="109"/>
        <v>1.3646734079316282E-3</v>
      </c>
      <c r="Q163" s="78">
        <v>1.5509999999999999</v>
      </c>
      <c r="R163" s="23">
        <f>1.55*C274</f>
        <v>2104.2936399999999</v>
      </c>
      <c r="S163" s="23">
        <v>1.5509999999999999</v>
      </c>
      <c r="T163" s="23">
        <f>1.55*C274</f>
        <v>2104.2936399999999</v>
      </c>
      <c r="U163" s="25">
        <v>160</v>
      </c>
      <c r="V163" s="56">
        <v>5.9000000000000003E-4</v>
      </c>
      <c r="W163" s="26">
        <v>4.2693000000000002E-2</v>
      </c>
      <c r="X163" s="20">
        <f t="shared" si="97"/>
        <v>-9.4304346323648303E-3</v>
      </c>
      <c r="Y163" s="20">
        <f t="shared" si="98"/>
        <v>-5.9140991162241769E-3</v>
      </c>
      <c r="Z163" s="20">
        <f t="shared" si="99"/>
        <v>1.9108280254777069E-2</v>
      </c>
      <c r="AA163" s="20">
        <f t="shared" si="100"/>
        <v>-1.4049999999999998E-3</v>
      </c>
      <c r="AB163" s="21">
        <f t="shared" si="101"/>
        <v>9.8499999999999976E-4</v>
      </c>
    </row>
    <row r="164" spans="1:30">
      <c r="B164" s="44"/>
      <c r="C164" s="90" t="s">
        <v>63</v>
      </c>
      <c r="D164" s="65">
        <f>SUM(D124:D163)</f>
        <v>1201472572.2734277</v>
      </c>
      <c r="E164" s="65">
        <f>SUM(E124:E163)</f>
        <v>1807367624568.1487</v>
      </c>
      <c r="F164" s="48">
        <f>(E164/$E$243)</f>
        <v>0.19144306808137582</v>
      </c>
      <c r="G164" s="78"/>
      <c r="H164" s="49"/>
      <c r="I164" s="78">
        <v>0</v>
      </c>
      <c r="J164" s="59"/>
      <c r="K164" s="51">
        <f>SUM(K124:K163)</f>
        <v>33483</v>
      </c>
      <c r="L164" s="91"/>
      <c r="M164" s="91"/>
      <c r="N164" s="65">
        <f>SUM(N124:N163)</f>
        <v>1155382091.0066335</v>
      </c>
      <c r="O164" s="65">
        <f>SUM(O124:O163)</f>
        <v>1787991095686.9766</v>
      </c>
      <c r="P164" s="48">
        <f>(O164/$O$243)</f>
        <v>0.18898797225306077</v>
      </c>
      <c r="Q164" s="92"/>
      <c r="R164" s="49"/>
      <c r="S164" s="49"/>
      <c r="T164" s="59"/>
      <c r="U164" s="51">
        <f>SUM(U124:U163)</f>
        <v>33664</v>
      </c>
      <c r="V164" s="91"/>
      <c r="W164" s="91"/>
      <c r="X164" s="20">
        <f t="shared" si="97"/>
        <v>-1.072085646427463E-2</v>
      </c>
      <c r="Y164" s="20" t="e">
        <f t="shared" si="98"/>
        <v>#DIV/0!</v>
      </c>
      <c r="Z164" s="20">
        <f t="shared" si="99"/>
        <v>5.405728280022698E-3</v>
      </c>
      <c r="AA164" s="20">
        <f t="shared" si="100"/>
        <v>0</v>
      </c>
      <c r="AB164" s="21">
        <f t="shared" si="101"/>
        <v>0</v>
      </c>
    </row>
    <row r="165" spans="1:30" ht="6" customHeight="1">
      <c r="B165" s="259"/>
      <c r="C165" s="259"/>
      <c r="D165" s="259"/>
      <c r="E165" s="259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  <c r="AA165" s="259"/>
      <c r="AB165" s="259"/>
    </row>
    <row r="166" spans="1:30">
      <c r="A166" s="11"/>
      <c r="B166" s="261" t="s">
        <v>226</v>
      </c>
      <c r="C166" s="261"/>
      <c r="D166" s="261"/>
      <c r="E166" s="261"/>
      <c r="F166" s="261"/>
      <c r="G166" s="261"/>
      <c r="H166" s="261"/>
      <c r="I166" s="261"/>
      <c r="J166" s="261"/>
      <c r="K166" s="261"/>
      <c r="L166" s="261"/>
      <c r="M166" s="261"/>
      <c r="N166" s="261"/>
      <c r="O166" s="261"/>
      <c r="P166" s="261"/>
      <c r="Q166" s="261"/>
      <c r="R166" s="261"/>
      <c r="S166" s="261"/>
      <c r="T166" s="261"/>
      <c r="U166" s="261"/>
      <c r="V166" s="261"/>
      <c r="W166" s="261"/>
      <c r="X166" s="261"/>
      <c r="Y166" s="261"/>
      <c r="Z166" s="261"/>
      <c r="AA166" s="261"/>
      <c r="AB166" s="261"/>
    </row>
    <row r="167" spans="1:30">
      <c r="A167" s="206">
        <v>147</v>
      </c>
      <c r="B167" s="207" t="s">
        <v>227</v>
      </c>
      <c r="C167" s="12" t="s">
        <v>228</v>
      </c>
      <c r="D167" s="13" t="s">
        <v>23</v>
      </c>
      <c r="E167" s="93">
        <v>2643780165.6388655</v>
      </c>
      <c r="F167" s="24">
        <f>(E167/$E$173)</f>
        <v>5.1218880281136969E-3</v>
      </c>
      <c r="G167" s="13" t="s">
        <v>23</v>
      </c>
      <c r="H167" s="228">
        <v>124.59</v>
      </c>
      <c r="I167" s="13" t="s">
        <v>23</v>
      </c>
      <c r="J167" s="228">
        <v>124.59</v>
      </c>
      <c r="K167" s="223">
        <v>8</v>
      </c>
      <c r="L167" s="197">
        <v>3.3999999999999998E-3</v>
      </c>
      <c r="M167" s="197">
        <v>0.18509999999999999</v>
      </c>
      <c r="N167" s="13" t="s">
        <v>23</v>
      </c>
      <c r="O167" s="93">
        <v>2642462754.7530575</v>
      </c>
      <c r="P167" s="24">
        <f>(O167/$O$173)</f>
        <v>5.1274325977538398E-3</v>
      </c>
      <c r="Q167" s="13" t="s">
        <v>23</v>
      </c>
      <c r="R167" s="67">
        <v>124.52699127017236</v>
      </c>
      <c r="S167" s="13" t="s">
        <v>23</v>
      </c>
      <c r="T167" s="67">
        <v>124.52699127017236</v>
      </c>
      <c r="U167" s="25">
        <v>8</v>
      </c>
      <c r="V167" s="26">
        <v>2.8999999999999998E-3</v>
      </c>
      <c r="W167" s="26">
        <v>0.184529705898973</v>
      </c>
      <c r="X167" s="20">
        <f t="shared" ref="X167:X173" si="121">((O167-E167)/E167)</f>
        <v>-4.9830576041470559E-4</v>
      </c>
      <c r="Y167" s="20">
        <f>((T167-J167)/J167)</f>
        <v>-5.0572862852270328E-4</v>
      </c>
      <c r="Z167" s="20">
        <f>((U167-K167)/K167)</f>
        <v>0</v>
      </c>
      <c r="AA167" s="20">
        <f>V167-L167</f>
        <v>-5.0000000000000001E-4</v>
      </c>
      <c r="AB167" s="21">
        <f>W167-M167</f>
        <v>-5.702941010269913E-4</v>
      </c>
    </row>
    <row r="168" spans="1:30">
      <c r="A168" s="201">
        <v>148</v>
      </c>
      <c r="B168" s="200" t="s">
        <v>229</v>
      </c>
      <c r="C168" s="12" t="s">
        <v>27</v>
      </c>
      <c r="D168" s="13" t="s">
        <v>23</v>
      </c>
      <c r="E168" s="93">
        <v>256343113328.35001</v>
      </c>
      <c r="F168" s="24">
        <v>0</v>
      </c>
      <c r="G168" s="13" t="s">
        <v>23</v>
      </c>
      <c r="H168" s="228">
        <v>107.663985</v>
      </c>
      <c r="I168" s="13" t="s">
        <v>23</v>
      </c>
      <c r="J168" s="228">
        <v>107.663985</v>
      </c>
      <c r="K168" s="223">
        <v>45</v>
      </c>
      <c r="L168" s="197">
        <v>0.10920000000000001</v>
      </c>
      <c r="M168" s="197">
        <v>0.19719999999999999</v>
      </c>
      <c r="N168" s="13" t="s">
        <v>23</v>
      </c>
      <c r="O168" s="93">
        <v>256617164229.94</v>
      </c>
      <c r="P168" s="24">
        <f t="shared" ref="P168:P172" si="122">(O168/$O$173)</f>
        <v>0.4979397384689751</v>
      </c>
      <c r="Q168" s="13" t="s">
        <v>23</v>
      </c>
      <c r="R168" s="67">
        <v>107.773685</v>
      </c>
      <c r="S168" s="13" t="s">
        <v>23</v>
      </c>
      <c r="T168" s="67">
        <v>107.773685</v>
      </c>
      <c r="U168" s="25">
        <v>45</v>
      </c>
      <c r="V168" s="56">
        <v>0.1076</v>
      </c>
      <c r="W168" s="56">
        <v>5.3100000000000001E-2</v>
      </c>
      <c r="X168" s="20">
        <f t="shared" ref="X168" si="123">((O168-E168)/E168)</f>
        <v>1.0690784629699196E-3</v>
      </c>
      <c r="Y168" s="20">
        <f t="shared" ref="Y168" si="124">((T168-J168)/J168)</f>
        <v>1.0189108270514387E-3</v>
      </c>
      <c r="Z168" s="20">
        <f t="shared" ref="Z168" si="125">((U168-K168)/K168)</f>
        <v>0</v>
      </c>
      <c r="AA168" s="20">
        <f t="shared" ref="AA168" si="126">V168-L168</f>
        <v>-1.6000000000000042E-3</v>
      </c>
      <c r="AB168" s="21">
        <f t="shared" ref="AB168" si="127">W168-M168</f>
        <v>-0.14409999999999998</v>
      </c>
    </row>
    <row r="169" spans="1:30">
      <c r="A169" s="201">
        <v>149</v>
      </c>
      <c r="B169" s="200" t="s">
        <v>230</v>
      </c>
      <c r="C169" s="12" t="s">
        <v>53</v>
      </c>
      <c r="D169" s="13" t="s">
        <v>23</v>
      </c>
      <c r="E169" s="198">
        <v>187215600086</v>
      </c>
      <c r="F169" s="24">
        <f>(E169/$E$173)</f>
        <v>0.36269934740390525</v>
      </c>
      <c r="G169" s="13" t="s">
        <v>23</v>
      </c>
      <c r="H169" s="228">
        <v>113</v>
      </c>
      <c r="I169" s="13" t="s">
        <v>23</v>
      </c>
      <c r="J169" s="228">
        <v>113</v>
      </c>
      <c r="K169" s="223">
        <v>1601</v>
      </c>
      <c r="L169" s="197">
        <v>0</v>
      </c>
      <c r="M169" s="197">
        <v>0</v>
      </c>
      <c r="N169" s="13" t="s">
        <v>23</v>
      </c>
      <c r="O169" s="36">
        <v>187215600086</v>
      </c>
      <c r="P169" s="24">
        <f t="shared" si="122"/>
        <v>0.36327299938753932</v>
      </c>
      <c r="Q169" s="13" t="s">
        <v>23</v>
      </c>
      <c r="R169" s="67">
        <v>113</v>
      </c>
      <c r="S169" s="13" t="s">
        <v>23</v>
      </c>
      <c r="T169" s="67">
        <v>113</v>
      </c>
      <c r="U169" s="25">
        <v>1883</v>
      </c>
      <c r="V169" s="26">
        <v>0</v>
      </c>
      <c r="W169" s="26">
        <v>0</v>
      </c>
      <c r="X169" s="20">
        <f t="shared" si="121"/>
        <v>0</v>
      </c>
      <c r="Y169" s="20">
        <f t="shared" ref="Y169:Z173" si="128">((T169-J169)/J169)</f>
        <v>0</v>
      </c>
      <c r="Z169" s="20">
        <f t="shared" si="128"/>
        <v>0.17613991255465333</v>
      </c>
      <c r="AA169" s="20">
        <f t="shared" ref="AA169:AB173" si="129">V169-L169</f>
        <v>0</v>
      </c>
      <c r="AB169" s="21">
        <f t="shared" si="129"/>
        <v>0</v>
      </c>
    </row>
    <row r="170" spans="1:30" ht="15.75" customHeight="1">
      <c r="A170" s="206">
        <v>150</v>
      </c>
      <c r="B170" s="207" t="s">
        <v>231</v>
      </c>
      <c r="C170" s="12" t="s">
        <v>172</v>
      </c>
      <c r="D170" s="13" t="s">
        <v>23</v>
      </c>
      <c r="E170" s="198">
        <v>6114958541.3671646</v>
      </c>
      <c r="F170" s="24">
        <f>(E170/$E$173)</f>
        <v>1.1846723624190446E-2</v>
      </c>
      <c r="G170" s="13" t="s">
        <v>23</v>
      </c>
      <c r="H170" s="228">
        <v>334.05</v>
      </c>
      <c r="I170" s="13" t="s">
        <v>23</v>
      </c>
      <c r="J170" s="228">
        <v>334.05</v>
      </c>
      <c r="K170" s="223">
        <v>5693</v>
      </c>
      <c r="L170" s="197">
        <v>6.0728546975926355E-3</v>
      </c>
      <c r="M170" s="197">
        <v>1.3177316440712898E-2</v>
      </c>
      <c r="N170" s="13" t="s">
        <v>23</v>
      </c>
      <c r="O170" s="36">
        <v>6118616837.0340071</v>
      </c>
      <c r="P170" s="24">
        <f t="shared" si="122"/>
        <v>1.1872559174937359E-2</v>
      </c>
      <c r="Q170" s="13" t="s">
        <v>23</v>
      </c>
      <c r="R170" s="67">
        <v>334.23</v>
      </c>
      <c r="S170" s="13" t="s">
        <v>23</v>
      </c>
      <c r="T170" s="67">
        <v>334.23</v>
      </c>
      <c r="U170" s="25">
        <v>5693</v>
      </c>
      <c r="V170" s="26">
        <v>3.9972644946962142E-2</v>
      </c>
      <c r="W170" s="26">
        <v>1.2987349683054832E-2</v>
      </c>
      <c r="X170" s="20">
        <f t="shared" si="121"/>
        <v>5.9825355185884051E-4</v>
      </c>
      <c r="Y170" s="20">
        <f t="shared" si="128"/>
        <v>5.3884149079481156E-4</v>
      </c>
      <c r="Z170" s="20">
        <f t="shared" si="128"/>
        <v>0</v>
      </c>
      <c r="AA170" s="20">
        <f t="shared" si="129"/>
        <v>3.389979024936951E-2</v>
      </c>
      <c r="AB170" s="21">
        <f t="shared" si="129"/>
        <v>-1.8996675765806624E-4</v>
      </c>
    </row>
    <row r="171" spans="1:30">
      <c r="A171" s="206">
        <v>151</v>
      </c>
      <c r="B171" s="207" t="s">
        <v>232</v>
      </c>
      <c r="C171" s="12" t="s">
        <v>172</v>
      </c>
      <c r="D171" s="13" t="s">
        <v>23</v>
      </c>
      <c r="E171" s="198">
        <v>27539080343.77</v>
      </c>
      <c r="F171" s="24">
        <f>(E171/$E$173)</f>
        <v>5.3352426102316185E-2</v>
      </c>
      <c r="G171" s="13" t="s">
        <v>23</v>
      </c>
      <c r="H171" s="228">
        <v>151.94</v>
      </c>
      <c r="I171" s="13" t="s">
        <v>23</v>
      </c>
      <c r="J171" s="228">
        <v>151.94</v>
      </c>
      <c r="K171" s="223">
        <v>8409</v>
      </c>
      <c r="L171" s="197">
        <v>3.6055317747767386E-2</v>
      </c>
      <c r="M171" s="197">
        <v>5.4334759821128044E-2</v>
      </c>
      <c r="N171" s="13" t="s">
        <v>23</v>
      </c>
      <c r="O171" s="36">
        <v>27556666219.759998</v>
      </c>
      <c r="P171" s="24">
        <f t="shared" si="122"/>
        <v>5.3470932903962057E-2</v>
      </c>
      <c r="Q171" s="13" t="s">
        <v>23</v>
      </c>
      <c r="R171" s="67">
        <v>152.03</v>
      </c>
      <c r="S171" s="13" t="s">
        <v>23</v>
      </c>
      <c r="T171" s="67">
        <v>152.03</v>
      </c>
      <c r="U171" s="25">
        <v>8409</v>
      </c>
      <c r="V171" s="26">
        <v>3.6033960773991097E-2</v>
      </c>
      <c r="W171" s="26">
        <v>5.4049660838590849E-2</v>
      </c>
      <c r="X171" s="20">
        <f t="shared" si="121"/>
        <v>6.3857891296563245E-4</v>
      </c>
      <c r="Y171" s="20">
        <f t="shared" si="128"/>
        <v>5.9233908121629204E-4</v>
      </c>
      <c r="Z171" s="20">
        <f t="shared" si="128"/>
        <v>0</v>
      </c>
      <c r="AA171" s="20">
        <f t="shared" si="129"/>
        <v>-2.1356973776288923E-5</v>
      </c>
      <c r="AB171" s="21">
        <f t="shared" si="129"/>
        <v>-2.8509898253719496E-4</v>
      </c>
    </row>
    <row r="172" spans="1:30">
      <c r="A172" s="206">
        <v>152</v>
      </c>
      <c r="B172" s="207" t="s">
        <v>233</v>
      </c>
      <c r="C172" s="12" t="s">
        <v>172</v>
      </c>
      <c r="D172" s="13" t="s">
        <v>23</v>
      </c>
      <c r="E172" s="198">
        <v>36316439518.51252</v>
      </c>
      <c r="F172" s="24">
        <f>(E172/$E$173)</f>
        <v>7.0357111839756806E-2</v>
      </c>
      <c r="G172" s="13" t="s">
        <v>23</v>
      </c>
      <c r="H172" s="228">
        <v>13.75</v>
      </c>
      <c r="I172" s="13" t="s">
        <v>23</v>
      </c>
      <c r="J172" s="228">
        <v>13.75</v>
      </c>
      <c r="K172" s="223">
        <v>216198</v>
      </c>
      <c r="L172" s="197">
        <v>0</v>
      </c>
      <c r="M172" s="197">
        <v>0</v>
      </c>
      <c r="N172" s="13" t="s">
        <v>23</v>
      </c>
      <c r="O172" s="36">
        <v>35207362331.067299</v>
      </c>
      <c r="P172" s="24">
        <f t="shared" si="122"/>
        <v>6.8316337466832258E-2</v>
      </c>
      <c r="Q172" s="13" t="s">
        <v>23</v>
      </c>
      <c r="R172" s="67">
        <v>14.5</v>
      </c>
      <c r="S172" s="13" t="s">
        <v>23</v>
      </c>
      <c r="T172" s="67">
        <v>14.5</v>
      </c>
      <c r="U172" s="25">
        <v>216198</v>
      </c>
      <c r="V172" s="26">
        <v>0</v>
      </c>
      <c r="W172" s="26">
        <v>0</v>
      </c>
      <c r="X172" s="20">
        <f t="shared" si="121"/>
        <v>-3.0539259964619116E-2</v>
      </c>
      <c r="Y172" s="20">
        <f t="shared" si="128"/>
        <v>5.4545454545454543E-2</v>
      </c>
      <c r="Z172" s="20">
        <f t="shared" si="128"/>
        <v>0</v>
      </c>
      <c r="AA172" s="20">
        <f t="shared" si="129"/>
        <v>0</v>
      </c>
      <c r="AB172" s="21">
        <f t="shared" si="129"/>
        <v>0</v>
      </c>
    </row>
    <row r="173" spans="1:30">
      <c r="B173" s="94"/>
      <c r="C173" s="45" t="s">
        <v>63</v>
      </c>
      <c r="D173" s="46" t="s">
        <v>23</v>
      </c>
      <c r="E173" s="47">
        <f>SUM(E167:E172)</f>
        <v>516172971983.63861</v>
      </c>
      <c r="F173" s="48">
        <f>(E173/$E$243)</f>
        <v>5.4674951611375283E-2</v>
      </c>
      <c r="G173" s="13"/>
      <c r="H173" s="49"/>
      <c r="I173" s="49"/>
      <c r="J173" s="95"/>
      <c r="K173" s="51">
        <f>SUM(K167:K172)</f>
        <v>231954</v>
      </c>
      <c r="L173" s="96"/>
      <c r="M173" s="96"/>
      <c r="N173" s="13"/>
      <c r="O173" s="47">
        <f>SUM(O167:O172)</f>
        <v>515357872458.55438</v>
      </c>
      <c r="P173" s="48">
        <f>(O173/$O$243)</f>
        <v>5.4472552763565267E-2</v>
      </c>
      <c r="Q173" s="53"/>
      <c r="R173" s="49"/>
      <c r="S173" s="49"/>
      <c r="T173" s="95"/>
      <c r="U173" s="51">
        <f>SUM(U167:U172)</f>
        <v>232236</v>
      </c>
      <c r="V173" s="96"/>
      <c r="W173" s="96"/>
      <c r="X173" s="20">
        <f t="shared" si="121"/>
        <v>-1.5791208942068844E-3</v>
      </c>
      <c r="Y173" s="20" t="e">
        <f t="shared" si="128"/>
        <v>#DIV/0!</v>
      </c>
      <c r="Z173" s="20">
        <f t="shared" si="128"/>
        <v>1.2157582969036964E-3</v>
      </c>
      <c r="AA173" s="20">
        <f t="shared" si="129"/>
        <v>0</v>
      </c>
      <c r="AB173" s="21">
        <f t="shared" si="129"/>
        <v>0</v>
      </c>
    </row>
    <row r="174" spans="1:30" ht="5.25" customHeight="1">
      <c r="B174" s="259"/>
      <c r="C174" s="259"/>
      <c r="D174" s="259"/>
      <c r="E174" s="259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  <c r="AA174" s="259"/>
      <c r="AB174" s="259"/>
    </row>
    <row r="175" spans="1:30" ht="15" customHeight="1">
      <c r="A175" s="11"/>
      <c r="B175" s="261" t="s">
        <v>234</v>
      </c>
      <c r="C175" s="261"/>
      <c r="D175" s="261"/>
      <c r="E175" s="261"/>
      <c r="F175" s="261"/>
      <c r="G175" s="261"/>
      <c r="H175" s="261"/>
      <c r="I175" s="261"/>
      <c r="J175" s="261"/>
      <c r="K175" s="261"/>
      <c r="L175" s="261"/>
      <c r="M175" s="261"/>
      <c r="N175" s="261"/>
      <c r="O175" s="261"/>
      <c r="P175" s="261"/>
      <c r="Q175" s="261"/>
      <c r="R175" s="261"/>
      <c r="S175" s="261"/>
      <c r="T175" s="261"/>
      <c r="U175" s="261"/>
      <c r="V175" s="261"/>
      <c r="W175" s="261"/>
      <c r="X175" s="261"/>
      <c r="Y175" s="261"/>
      <c r="Z175" s="261"/>
      <c r="AA175" s="261"/>
      <c r="AB175" s="261"/>
    </row>
    <row r="176" spans="1:30" ht="13.95" customHeight="1">
      <c r="A176" s="201">
        <v>153</v>
      </c>
      <c r="B176" s="200" t="s">
        <v>235</v>
      </c>
      <c r="C176" s="12" t="s">
        <v>66</v>
      </c>
      <c r="D176" s="13" t="s">
        <v>23</v>
      </c>
      <c r="E176" s="23">
        <v>1068017059.5</v>
      </c>
      <c r="F176" s="24">
        <f t="shared" ref="F176:F204" si="130">(E176/$E$207)</f>
        <v>6.7583775238188237E-3</v>
      </c>
      <c r="G176" s="13" t="s">
        <v>23</v>
      </c>
      <c r="H176" s="211">
        <v>9.6</v>
      </c>
      <c r="I176" s="13" t="s">
        <v>23</v>
      </c>
      <c r="J176" s="211">
        <v>9.7899999999999991</v>
      </c>
      <c r="K176" s="18">
        <v>12015</v>
      </c>
      <c r="L176" s="19">
        <v>-0.94740000000000002</v>
      </c>
      <c r="M176" s="19">
        <v>-3.2929999999999999E-3</v>
      </c>
      <c r="N176" s="13" t="s">
        <v>23</v>
      </c>
      <c r="O176" s="23">
        <v>1054185035.12</v>
      </c>
      <c r="P176" s="64">
        <f t="shared" ref="P176:P204" si="131">(O176/$O$207)</f>
        <v>6.7551516705477649E-3</v>
      </c>
      <c r="Q176" s="13" t="s">
        <v>23</v>
      </c>
      <c r="R176" s="23">
        <v>9.49</v>
      </c>
      <c r="S176" s="13" t="s">
        <v>23</v>
      </c>
      <c r="T176" s="23">
        <v>9.66</v>
      </c>
      <c r="U176" s="18">
        <v>12023</v>
      </c>
      <c r="V176" s="19">
        <v>-1.11E-2</v>
      </c>
      <c r="W176" s="19">
        <v>0.21010000000000001</v>
      </c>
      <c r="X176" s="20">
        <f>((O176-E176)/E176)</f>
        <v>-1.2951126816715418E-2</v>
      </c>
      <c r="Y176" s="20">
        <f t="shared" ref="Y176:Z180" si="132">((T176-J176)/J176)</f>
        <v>-1.3278855975485088E-2</v>
      </c>
      <c r="Z176" s="20">
        <f t="shared" si="132"/>
        <v>6.6583437369954225E-4</v>
      </c>
      <c r="AA176" s="20">
        <f t="shared" ref="AA176:AB180" si="133">V176-L176</f>
        <v>0.93630000000000002</v>
      </c>
      <c r="AB176" s="21">
        <f t="shared" si="133"/>
        <v>0.213393</v>
      </c>
      <c r="AD176" s="31"/>
    </row>
    <row r="177" spans="1:33" ht="14.4" customHeight="1">
      <c r="A177" s="201">
        <v>154</v>
      </c>
      <c r="B177" s="200" t="s">
        <v>236</v>
      </c>
      <c r="C177" s="37" t="s">
        <v>237</v>
      </c>
      <c r="D177" s="13" t="s">
        <v>23</v>
      </c>
      <c r="E177" s="23">
        <v>3630911905.4778972</v>
      </c>
      <c r="F177" s="24">
        <f t="shared" si="130"/>
        <v>2.2976293491450545E-2</v>
      </c>
      <c r="G177" s="13" t="s">
        <v>23</v>
      </c>
      <c r="H177" s="211">
        <v>3173.1011659023829</v>
      </c>
      <c r="I177" s="13" t="s">
        <v>23</v>
      </c>
      <c r="J177" s="211">
        <v>3194.6441062425329</v>
      </c>
      <c r="K177" s="18">
        <v>267</v>
      </c>
      <c r="L177" s="19">
        <v>3.6799999999999999E-2</v>
      </c>
      <c r="M177" s="19">
        <v>0.44429999999999997</v>
      </c>
      <c r="N177" s="13" t="s">
        <v>23</v>
      </c>
      <c r="O177" s="23">
        <v>3589786959.730741</v>
      </c>
      <c r="P177" s="64">
        <f t="shared" si="131"/>
        <v>2.3003129972505559E-2</v>
      </c>
      <c r="Q177" s="13" t="s">
        <v>23</v>
      </c>
      <c r="R177" s="23">
        <v>3137.717641403045</v>
      </c>
      <c r="S177" s="13" t="s">
        <v>23</v>
      </c>
      <c r="T177" s="23">
        <v>3158.3624377427682</v>
      </c>
      <c r="U177" s="16">
        <v>267</v>
      </c>
      <c r="V177" s="17">
        <v>3.6760569781735031E-2</v>
      </c>
      <c r="W177" s="17">
        <v>0.42802379161821458</v>
      </c>
      <c r="X177" s="20">
        <f>((O177-E177)/E177)</f>
        <v>-1.1326340825044974E-2</v>
      </c>
      <c r="Y177" s="20">
        <f t="shared" si="132"/>
        <v>-1.1357029857838643E-2</v>
      </c>
      <c r="Z177" s="20">
        <f t="shared" si="132"/>
        <v>0</v>
      </c>
      <c r="AA177" s="20">
        <f t="shared" si="133"/>
        <v>-3.9430218264968619E-5</v>
      </c>
      <c r="AB177" s="21">
        <f t="shared" si="133"/>
        <v>-1.6276208381785395E-2</v>
      </c>
      <c r="AD177" s="10"/>
      <c r="AE177" s="10"/>
    </row>
    <row r="178" spans="1:33" ht="14.4" customHeight="1">
      <c r="A178" s="201">
        <v>155</v>
      </c>
      <c r="B178" s="207" t="s">
        <v>238</v>
      </c>
      <c r="C178" s="37" t="s">
        <v>239</v>
      </c>
      <c r="D178" s="13" t="s">
        <v>23</v>
      </c>
      <c r="E178" s="23">
        <v>108011114.7</v>
      </c>
      <c r="F178" s="24">
        <f t="shared" si="130"/>
        <v>6.8349085196526952E-4</v>
      </c>
      <c r="G178" s="13" t="s">
        <v>23</v>
      </c>
      <c r="H178" s="211">
        <v>966.73199999999997</v>
      </c>
      <c r="I178" s="13" t="s">
        <v>23</v>
      </c>
      <c r="J178" s="211">
        <v>982.56089999999995</v>
      </c>
      <c r="K178" s="18">
        <v>18</v>
      </c>
      <c r="L178" s="19">
        <v>7.8890000000000002E-3</v>
      </c>
      <c r="M178" s="19">
        <v>9.5189999999999997E-3</v>
      </c>
      <c r="N178" s="13" t="s">
        <v>23</v>
      </c>
      <c r="O178" s="23">
        <v>107586498.3</v>
      </c>
      <c r="P178" s="64">
        <f t="shared" si="131"/>
        <v>6.8940754185236588E-4</v>
      </c>
      <c r="Q178" s="13" t="s">
        <v>23</v>
      </c>
      <c r="R178" s="23">
        <v>963.0077</v>
      </c>
      <c r="S178" s="13" t="s">
        <v>23</v>
      </c>
      <c r="T178" s="23">
        <v>963.0077</v>
      </c>
      <c r="U178" s="16">
        <v>18</v>
      </c>
      <c r="V178" s="17">
        <v>-6.5659999999999998E-3</v>
      </c>
      <c r="W178" s="17">
        <v>5.2849999999999998E-3</v>
      </c>
      <c r="X178" s="20">
        <f>((O178-E178)/E178)</f>
        <v>-3.9312287552940696E-3</v>
      </c>
      <c r="Y178" s="20">
        <f>((T178-J178)/J178)</f>
        <v>-1.9900242315768871E-2</v>
      </c>
      <c r="Z178" s="20">
        <f>((U178-K178)/K178)</f>
        <v>0</v>
      </c>
      <c r="AA178" s="20">
        <f>V178-L178</f>
        <v>-1.4454999999999999E-2</v>
      </c>
      <c r="AB178" s="21">
        <f>W178-M178</f>
        <v>-4.2339999999999999E-3</v>
      </c>
      <c r="AD178" s="10"/>
      <c r="AE178" s="97"/>
    </row>
    <row r="179" spans="1:33" ht="14.4" customHeight="1">
      <c r="A179" s="201">
        <v>156</v>
      </c>
      <c r="B179" s="200" t="s">
        <v>240</v>
      </c>
      <c r="C179" s="12" t="s">
        <v>27</v>
      </c>
      <c r="D179" s="13" t="s">
        <v>23</v>
      </c>
      <c r="E179" s="23">
        <v>17008175900.799999</v>
      </c>
      <c r="F179" s="24">
        <f t="shared" si="130"/>
        <v>0.10762718882312357</v>
      </c>
      <c r="G179" s="13" t="s">
        <v>23</v>
      </c>
      <c r="H179" s="211">
        <v>1421.1048000000001</v>
      </c>
      <c r="I179" s="13" t="s">
        <v>23</v>
      </c>
      <c r="J179" s="211">
        <v>1463.32278</v>
      </c>
      <c r="K179" s="18">
        <v>24028</v>
      </c>
      <c r="L179" s="19">
        <v>0.11559999999999999</v>
      </c>
      <c r="M179" s="19">
        <v>0.57720000000000005</v>
      </c>
      <c r="N179" s="13" t="s">
        <v>23</v>
      </c>
      <c r="O179" s="23">
        <v>16942289929.799999</v>
      </c>
      <c r="P179" s="64">
        <f t="shared" si="131"/>
        <v>0.10856513259948261</v>
      </c>
      <c r="Q179" s="13" t="s">
        <v>23</v>
      </c>
      <c r="R179" s="23">
        <v>1415.3014000000001</v>
      </c>
      <c r="S179" s="13" t="s">
        <v>23</v>
      </c>
      <c r="T179" s="23">
        <v>1457.34448</v>
      </c>
      <c r="U179" s="18">
        <v>24110</v>
      </c>
      <c r="V179" s="19">
        <v>-4.1000000000000003E-3</v>
      </c>
      <c r="W179" s="19">
        <v>-0.21299999999999999</v>
      </c>
      <c r="X179" s="20">
        <f t="shared" ref="X179:X204" si="134">((O179-E179)/E179)</f>
        <v>-3.8737823141222908E-3</v>
      </c>
      <c r="Y179" s="20">
        <f t="shared" si="132"/>
        <v>-4.0854280967320073E-3</v>
      </c>
      <c r="Z179" s="20">
        <f t="shared" si="132"/>
        <v>3.412685200599301E-3</v>
      </c>
      <c r="AA179" s="20">
        <f t="shared" si="133"/>
        <v>-0.1197</v>
      </c>
      <c r="AB179" s="21">
        <f t="shared" si="133"/>
        <v>-0.79020000000000001</v>
      </c>
      <c r="AD179" s="10"/>
      <c r="AE179" s="31"/>
    </row>
    <row r="180" spans="1:33" ht="13.2" customHeight="1">
      <c r="A180" s="201">
        <v>157</v>
      </c>
      <c r="B180" s="200" t="s">
        <v>241</v>
      </c>
      <c r="C180" s="12" t="s">
        <v>147</v>
      </c>
      <c r="D180" s="13" t="s">
        <v>23</v>
      </c>
      <c r="E180" s="81">
        <v>3829124087.5</v>
      </c>
      <c r="F180" s="24">
        <f t="shared" si="130"/>
        <v>2.4230573789700092E-2</v>
      </c>
      <c r="G180" s="13" t="s">
        <v>23</v>
      </c>
      <c r="H180" s="211">
        <v>8.9680004064454444</v>
      </c>
      <c r="I180" s="13" t="s">
        <v>23</v>
      </c>
      <c r="J180" s="211">
        <v>9.1954616216861265</v>
      </c>
      <c r="K180" s="223">
        <v>2741</v>
      </c>
      <c r="L180" s="197">
        <v>-0.20039999999999999</v>
      </c>
      <c r="M180" s="197">
        <v>0.8276</v>
      </c>
      <c r="N180" s="13" t="s">
        <v>23</v>
      </c>
      <c r="O180" s="36">
        <v>3829124087.504045</v>
      </c>
      <c r="P180" s="64">
        <f t="shared" si="131"/>
        <v>2.453678729511961E-2</v>
      </c>
      <c r="Q180" s="13" t="s">
        <v>23</v>
      </c>
      <c r="R180" s="23">
        <v>8.9750599999999991</v>
      </c>
      <c r="S180" s="13" t="s">
        <v>23</v>
      </c>
      <c r="T180" s="23">
        <v>8.968</v>
      </c>
      <c r="U180" s="25">
        <v>2741</v>
      </c>
      <c r="V180" s="26">
        <v>-2.47E-2</v>
      </c>
      <c r="W180" s="26">
        <v>0.45960000000000001</v>
      </c>
      <c r="X180" s="20">
        <f t="shared" si="134"/>
        <v>1.0563798718986041E-12</v>
      </c>
      <c r="Y180" s="20">
        <f t="shared" si="132"/>
        <v>-2.4736291775683358E-2</v>
      </c>
      <c r="Z180" s="20">
        <f t="shared" si="132"/>
        <v>0</v>
      </c>
      <c r="AA180" s="20">
        <f t="shared" si="133"/>
        <v>0.1757</v>
      </c>
      <c r="AB180" s="21">
        <f t="shared" si="133"/>
        <v>-0.36799999999999999</v>
      </c>
      <c r="AC180" s="31"/>
      <c r="AD180" s="31"/>
      <c r="AE180" s="31"/>
      <c r="AG180" s="10"/>
    </row>
    <row r="181" spans="1:33" ht="15.6" customHeight="1">
      <c r="A181" s="201">
        <v>158</v>
      </c>
      <c r="B181" s="207" t="s">
        <v>242</v>
      </c>
      <c r="C181" s="12" t="s">
        <v>31</v>
      </c>
      <c r="D181" s="13" t="s">
        <v>23</v>
      </c>
      <c r="E181" s="81">
        <v>4170021365.2399998</v>
      </c>
      <c r="F181" s="24">
        <f t="shared" si="130"/>
        <v>2.6387760774042486E-2</v>
      </c>
      <c r="G181" s="13" t="s">
        <v>23</v>
      </c>
      <c r="H181" s="211">
        <v>1.7123999999999999</v>
      </c>
      <c r="I181" s="13" t="s">
        <v>23</v>
      </c>
      <c r="J181" s="211">
        <v>1.7262</v>
      </c>
      <c r="K181" s="223">
        <v>902</v>
      </c>
      <c r="L181" s="197">
        <v>-8.2000000000000007E-3</v>
      </c>
      <c r="M181" s="197">
        <v>0.37719999999999998</v>
      </c>
      <c r="N181" s="13" t="s">
        <v>23</v>
      </c>
      <c r="O181" s="81">
        <v>4134838706.9899998</v>
      </c>
      <c r="P181" s="64">
        <f t="shared" si="131"/>
        <v>2.6495787426720169E-2</v>
      </c>
      <c r="Q181" s="13" t="s">
        <v>23</v>
      </c>
      <c r="R181" s="23">
        <v>1.6779999999999999</v>
      </c>
      <c r="S181" s="13" t="s">
        <v>23</v>
      </c>
      <c r="T181" s="23">
        <v>1.6913</v>
      </c>
      <c r="U181" s="25">
        <v>902</v>
      </c>
      <c r="V181" s="56">
        <v>-2.0199999999999999E-2</v>
      </c>
      <c r="W181" s="56">
        <v>0.38729999999999998</v>
      </c>
      <c r="X181" s="20">
        <f t="shared" ref="X181" si="135">((O181-E181)/E181)</f>
        <v>-8.4370450816563403E-3</v>
      </c>
      <c r="Y181" s="20">
        <f t="shared" ref="Y181" si="136">((T181-J181)/J181)</f>
        <v>-2.021781948789244E-2</v>
      </c>
      <c r="Z181" s="20">
        <f t="shared" ref="Z181" si="137">((U181-K181)/K181)</f>
        <v>0</v>
      </c>
      <c r="AA181" s="20">
        <f t="shared" ref="AA181" si="138">V181-L181</f>
        <v>-1.1999999999999999E-2</v>
      </c>
      <c r="AB181" s="21">
        <f t="shared" ref="AB181" si="139">W181-M181</f>
        <v>1.0099999999999998E-2</v>
      </c>
      <c r="AD181" s="10"/>
      <c r="AE181" s="10"/>
    </row>
    <row r="182" spans="1:33" ht="14.4" customHeight="1">
      <c r="A182" s="201">
        <v>159</v>
      </c>
      <c r="B182" s="200" t="s">
        <v>243</v>
      </c>
      <c r="C182" s="12" t="s">
        <v>81</v>
      </c>
      <c r="D182" s="13" t="s">
        <v>23</v>
      </c>
      <c r="E182" s="23">
        <v>11709758209.105</v>
      </c>
      <c r="F182" s="24">
        <f t="shared" si="130"/>
        <v>7.4098972470362678E-2</v>
      </c>
      <c r="G182" s="13" t="s">
        <v>23</v>
      </c>
      <c r="H182" s="211">
        <v>14411.169367025301</v>
      </c>
      <c r="I182" s="13" t="s">
        <v>23</v>
      </c>
      <c r="J182" s="211">
        <v>14512.081691421499</v>
      </c>
      <c r="K182" s="223">
        <v>1675</v>
      </c>
      <c r="L182" s="197">
        <v>0.22537505721965351</v>
      </c>
      <c r="M182" s="197">
        <v>0.483962675713559</v>
      </c>
      <c r="N182" s="13" t="s">
        <v>23</v>
      </c>
      <c r="O182" s="23">
        <v>11663726212.7952</v>
      </c>
      <c r="P182" s="64">
        <f t="shared" si="131"/>
        <v>7.4740426951902611E-2</v>
      </c>
      <c r="Q182" s="13" t="s">
        <v>23</v>
      </c>
      <c r="R182" s="23">
        <v>14272.5179213953</v>
      </c>
      <c r="S182" s="13" t="s">
        <v>23</v>
      </c>
      <c r="T182" s="23">
        <v>14372.9506887309</v>
      </c>
      <c r="U182" s="25">
        <v>1686</v>
      </c>
      <c r="V182" s="26">
        <v>-9.5999999999999992E-3</v>
      </c>
      <c r="W182" s="26">
        <v>0.44892212522751096</v>
      </c>
      <c r="X182" s="20">
        <f t="shared" si="134"/>
        <v>-3.9310800007814608E-3</v>
      </c>
      <c r="Y182" s="20">
        <f t="shared" ref="Y182:Y194" si="140">((T182-J182)/J182)</f>
        <v>-9.5872532727571177E-3</v>
      </c>
      <c r="Z182" s="20">
        <f t="shared" ref="Z182:Z194" si="141">((U182-K182)/K182)</f>
        <v>6.5671641791044772E-3</v>
      </c>
      <c r="AA182" s="20">
        <f t="shared" ref="AA182:AA194" si="142">V182-L182</f>
        <v>-0.2349750572196535</v>
      </c>
      <c r="AB182" s="21">
        <f t="shared" ref="AB182:AB194" si="143">W182-M182</f>
        <v>-3.5040550486048039E-2</v>
      </c>
      <c r="AD182" s="31"/>
      <c r="AE182" s="31"/>
      <c r="AG182" s="10"/>
    </row>
    <row r="183" spans="1:33" ht="15" customHeight="1">
      <c r="A183" s="201">
        <v>160</v>
      </c>
      <c r="B183" s="207" t="s">
        <v>244</v>
      </c>
      <c r="C183" s="12" t="s">
        <v>83</v>
      </c>
      <c r="D183" s="13" t="s">
        <v>23</v>
      </c>
      <c r="E183" s="23">
        <v>3595047122.1300001</v>
      </c>
      <c r="F183" s="24">
        <f t="shared" si="130"/>
        <v>2.2749342298565539E-2</v>
      </c>
      <c r="G183" s="13" t="s">
        <v>23</v>
      </c>
      <c r="H183" s="211">
        <v>300.31</v>
      </c>
      <c r="I183" s="13" t="s">
        <v>23</v>
      </c>
      <c r="J183" s="211">
        <v>302.39999999999998</v>
      </c>
      <c r="K183" s="223">
        <v>508</v>
      </c>
      <c r="L183" s="197">
        <v>1.6000000000000001E-3</v>
      </c>
      <c r="M183" s="197">
        <v>0.34139999999999998</v>
      </c>
      <c r="N183" s="13" t="s">
        <v>23</v>
      </c>
      <c r="O183" s="23">
        <v>3461724041.3400002</v>
      </c>
      <c r="P183" s="64">
        <f t="shared" si="131"/>
        <v>2.2182510813361488E-2</v>
      </c>
      <c r="Q183" s="13" t="s">
        <v>23</v>
      </c>
      <c r="R183" s="23">
        <v>298.22000000000003</v>
      </c>
      <c r="S183" s="13" t="s">
        <v>23</v>
      </c>
      <c r="T183" s="23">
        <v>300.26</v>
      </c>
      <c r="U183" s="25">
        <v>508</v>
      </c>
      <c r="V183" s="56">
        <v>4.4000000000000003E-3</v>
      </c>
      <c r="W183" s="56">
        <v>0.3322</v>
      </c>
      <c r="X183" s="20">
        <f t="shared" si="134"/>
        <v>-3.7085210919574389E-2</v>
      </c>
      <c r="Y183" s="20">
        <f t="shared" si="140"/>
        <v>-7.0767195767195319E-3</v>
      </c>
      <c r="Z183" s="20">
        <f t="shared" si="141"/>
        <v>0</v>
      </c>
      <c r="AA183" s="20">
        <f t="shared" si="142"/>
        <v>2.8000000000000004E-3</v>
      </c>
      <c r="AB183" s="21">
        <f t="shared" si="143"/>
        <v>-9.199999999999986E-3</v>
      </c>
    </row>
    <row r="184" spans="1:33" ht="14.4" customHeight="1">
      <c r="A184" s="201">
        <v>161</v>
      </c>
      <c r="B184" s="200" t="s">
        <v>245</v>
      </c>
      <c r="C184" s="12" t="s">
        <v>246</v>
      </c>
      <c r="D184" s="13" t="s">
        <v>23</v>
      </c>
      <c r="E184" s="23">
        <v>6944978628.5200005</v>
      </c>
      <c r="F184" s="24">
        <f t="shared" si="130"/>
        <v>4.3947600882298127E-2</v>
      </c>
      <c r="G184" s="13" t="s">
        <v>23</v>
      </c>
      <c r="H184" s="211">
        <v>2.7223999999999999</v>
      </c>
      <c r="I184" s="13" t="s">
        <v>23</v>
      </c>
      <c r="J184" s="211">
        <v>2.7721</v>
      </c>
      <c r="K184" s="223">
        <v>6412</v>
      </c>
      <c r="L184" s="197">
        <v>5.0577767932957762E-3</v>
      </c>
      <c r="M184" s="197">
        <v>0.38040766370098389</v>
      </c>
      <c r="N184" s="13" t="s">
        <v>23</v>
      </c>
      <c r="O184" s="23">
        <v>6920980389.9200001</v>
      </c>
      <c r="P184" s="64">
        <f t="shared" si="131"/>
        <v>4.4349208806093991E-2</v>
      </c>
      <c r="Q184" s="13" t="s">
        <v>23</v>
      </c>
      <c r="R184" s="23">
        <v>2.6930999999999998</v>
      </c>
      <c r="S184" s="13" t="s">
        <v>23</v>
      </c>
      <c r="T184" s="23">
        <v>2.7410999999999999</v>
      </c>
      <c r="U184" s="25">
        <v>6507</v>
      </c>
      <c r="V184" s="26">
        <v>-1.0762562444901591E-2</v>
      </c>
      <c r="W184" s="26">
        <v>0.36661488490326222</v>
      </c>
      <c r="X184" s="20">
        <f t="shared" si="134"/>
        <v>-3.4554805541733525E-3</v>
      </c>
      <c r="Y184" s="20">
        <f t="shared" si="140"/>
        <v>-1.1182857761264074E-2</v>
      </c>
      <c r="Z184" s="20">
        <f t="shared" si="141"/>
        <v>1.4815970056144729E-2</v>
      </c>
      <c r="AA184" s="20">
        <f t="shared" si="142"/>
        <v>-1.5820339238197367E-2</v>
      </c>
      <c r="AB184" s="21">
        <f t="shared" si="143"/>
        <v>-1.3792778797721672E-2</v>
      </c>
    </row>
    <row r="185" spans="1:33" ht="15.6" customHeight="1">
      <c r="A185" s="201">
        <v>162</v>
      </c>
      <c r="B185" s="200" t="s">
        <v>247</v>
      </c>
      <c r="C185" s="12" t="s">
        <v>35</v>
      </c>
      <c r="D185" s="13" t="s">
        <v>23</v>
      </c>
      <c r="E185" s="55">
        <v>1566848520.8900001</v>
      </c>
      <c r="F185" s="24">
        <f t="shared" si="130"/>
        <v>9.9149669311174009E-3</v>
      </c>
      <c r="G185" s="13" t="s">
        <v>23</v>
      </c>
      <c r="H185" s="211">
        <v>287.63310000000001</v>
      </c>
      <c r="I185" s="13" t="s">
        <v>23</v>
      </c>
      <c r="J185" s="211">
        <v>289.01620000000003</v>
      </c>
      <c r="K185" s="223">
        <v>260</v>
      </c>
      <c r="L185" s="197">
        <v>3.5199999999999999E-4</v>
      </c>
      <c r="M185" s="197">
        <v>0.36280000000000001</v>
      </c>
      <c r="N185" s="13" t="s">
        <v>23</v>
      </c>
      <c r="O185" s="55">
        <v>1564981416.3099999</v>
      </c>
      <c r="P185" s="64">
        <f t="shared" si="131"/>
        <v>1.0028302884758089E-2</v>
      </c>
      <c r="Q185" s="13" t="s">
        <v>23</v>
      </c>
      <c r="R185" s="23">
        <v>287.22289999999998</v>
      </c>
      <c r="S185" s="13" t="s">
        <v>23</v>
      </c>
      <c r="T185" s="23">
        <v>288.58949999999999</v>
      </c>
      <c r="U185" s="25">
        <v>261</v>
      </c>
      <c r="V185" s="26">
        <v>3.5199999999999999E-4</v>
      </c>
      <c r="W185" s="26">
        <v>0.3609</v>
      </c>
      <c r="X185" s="20">
        <f t="shared" si="134"/>
        <v>-1.1916305597554579E-3</v>
      </c>
      <c r="Y185" s="20">
        <f t="shared" si="140"/>
        <v>-1.4763878287792841E-3</v>
      </c>
      <c r="Z185" s="20">
        <f t="shared" si="141"/>
        <v>3.8461538461538464E-3</v>
      </c>
      <c r="AA185" s="20">
        <f t="shared" si="142"/>
        <v>0</v>
      </c>
      <c r="AB185" s="21">
        <f t="shared" si="143"/>
        <v>-1.9000000000000128E-3</v>
      </c>
    </row>
    <row r="186" spans="1:33" ht="13.95" customHeight="1">
      <c r="A186" s="201">
        <v>163</v>
      </c>
      <c r="B186" s="207" t="s">
        <v>248</v>
      </c>
      <c r="C186" s="12" t="s">
        <v>88</v>
      </c>
      <c r="D186" s="13" t="s">
        <v>23</v>
      </c>
      <c r="E186" s="55">
        <v>2947558409.3200002</v>
      </c>
      <c r="F186" s="24">
        <f t="shared" si="130"/>
        <v>1.8652054596410176E-2</v>
      </c>
      <c r="G186" s="13" t="s">
        <v>23</v>
      </c>
      <c r="H186" s="211">
        <v>208.4</v>
      </c>
      <c r="I186" s="13" t="s">
        <v>23</v>
      </c>
      <c r="J186" s="211">
        <v>209.6</v>
      </c>
      <c r="K186" s="223">
        <v>190</v>
      </c>
      <c r="L186" s="197">
        <v>1.9E-3</v>
      </c>
      <c r="M186" s="197">
        <v>0.25540000000000002</v>
      </c>
      <c r="N186" s="13" t="s">
        <v>23</v>
      </c>
      <c r="O186" s="55">
        <v>3031251936.2600002</v>
      </c>
      <c r="P186" s="64">
        <f t="shared" si="131"/>
        <v>1.9424072528924675E-2</v>
      </c>
      <c r="Q186" s="13" t="s">
        <v>23</v>
      </c>
      <c r="R186" s="23">
        <v>207</v>
      </c>
      <c r="S186" s="13" t="s">
        <v>23</v>
      </c>
      <c r="T186" s="23">
        <v>208.24</v>
      </c>
      <c r="U186" s="25">
        <v>190</v>
      </c>
      <c r="V186" s="56">
        <v>-8.0999999999999996E-3</v>
      </c>
      <c r="W186" s="56">
        <v>0.24729999999999999</v>
      </c>
      <c r="X186" s="20">
        <f t="shared" si="134"/>
        <v>2.8394187770924648E-2</v>
      </c>
      <c r="Y186" s="20">
        <f t="shared" si="140"/>
        <v>-6.4885496183205403E-3</v>
      </c>
      <c r="Z186" s="20">
        <f t="shared" si="141"/>
        <v>0</v>
      </c>
      <c r="AA186" s="20">
        <f t="shared" si="142"/>
        <v>-0.01</v>
      </c>
      <c r="AB186" s="21">
        <f t="shared" si="143"/>
        <v>-8.1000000000000238E-3</v>
      </c>
    </row>
    <row r="187" spans="1:33" ht="15.75" customHeight="1">
      <c r="A187" s="201">
        <v>164</v>
      </c>
      <c r="B187" s="207" t="s">
        <v>249</v>
      </c>
      <c r="C187" s="12" t="s">
        <v>91</v>
      </c>
      <c r="D187" s="13" t="s">
        <v>23</v>
      </c>
      <c r="E187" s="81">
        <v>1025333417.96</v>
      </c>
      <c r="F187" s="24">
        <f t="shared" si="130"/>
        <v>6.4882768161075395E-3</v>
      </c>
      <c r="G187" s="13" t="s">
        <v>23</v>
      </c>
      <c r="H187" s="211">
        <v>2.2599999999999998</v>
      </c>
      <c r="I187" s="13" t="s">
        <v>23</v>
      </c>
      <c r="J187" s="211">
        <v>2.2599999999999998</v>
      </c>
      <c r="K187" s="223">
        <v>232</v>
      </c>
      <c r="L187" s="197">
        <v>2.709E-3</v>
      </c>
      <c r="M187" s="197">
        <v>0.434</v>
      </c>
      <c r="N187" s="13" t="s">
        <v>23</v>
      </c>
      <c r="O187" s="36">
        <v>1012042201</v>
      </c>
      <c r="P187" s="64">
        <f t="shared" si="131"/>
        <v>6.4851030293479493E-3</v>
      </c>
      <c r="Q187" s="13" t="s">
        <v>23</v>
      </c>
      <c r="R187" s="23">
        <v>2.2456700000000001</v>
      </c>
      <c r="S187" s="13" t="s">
        <v>23</v>
      </c>
      <c r="T187" s="23">
        <v>2.27142</v>
      </c>
      <c r="U187" s="25">
        <v>234</v>
      </c>
      <c r="V187" s="26">
        <v>-5.9769999999999997E-3</v>
      </c>
      <c r="W187" s="26">
        <v>0.42770000000000002</v>
      </c>
      <c r="X187" s="20">
        <f t="shared" si="134"/>
        <v>-1.2962824313718556E-2</v>
      </c>
      <c r="Y187" s="20">
        <f t="shared" si="140"/>
        <v>5.0530973451328358E-3</v>
      </c>
      <c r="Z187" s="20">
        <f t="shared" si="141"/>
        <v>8.6206896551724137E-3</v>
      </c>
      <c r="AA187" s="20">
        <f t="shared" si="142"/>
        <v>-8.6859999999999993E-3</v>
      </c>
      <c r="AB187" s="21">
        <f t="shared" si="143"/>
        <v>-6.2999999999999723E-3</v>
      </c>
      <c r="AD187" s="31"/>
    </row>
    <row r="188" spans="1:33" ht="16.95" customHeight="1">
      <c r="A188" s="201">
        <v>165</v>
      </c>
      <c r="B188" s="200" t="s">
        <v>250</v>
      </c>
      <c r="C188" s="12" t="s">
        <v>39</v>
      </c>
      <c r="D188" s="13" t="s">
        <v>23</v>
      </c>
      <c r="E188" s="23">
        <v>21705118804.110001</v>
      </c>
      <c r="F188" s="24">
        <f t="shared" si="130"/>
        <v>0.13734929210418134</v>
      </c>
      <c r="G188" s="13" t="s">
        <v>23</v>
      </c>
      <c r="H188" s="211">
        <v>599.53</v>
      </c>
      <c r="I188" s="13" t="s">
        <v>23</v>
      </c>
      <c r="J188" s="211">
        <v>604.58000000000004</v>
      </c>
      <c r="K188" s="223">
        <v>5879</v>
      </c>
      <c r="L188" s="197">
        <v>-8.0000000000000004E-4</v>
      </c>
      <c r="M188" s="197">
        <v>0.39979999999999999</v>
      </c>
      <c r="N188" s="13" t="s">
        <v>23</v>
      </c>
      <c r="O188" s="23">
        <v>21533523497.830002</v>
      </c>
      <c r="P188" s="64">
        <f t="shared" si="131"/>
        <v>0.13798546970702125</v>
      </c>
      <c r="Q188" s="13" t="s">
        <v>23</v>
      </c>
      <c r="R188" s="23">
        <v>593.26</v>
      </c>
      <c r="S188" s="13" t="s">
        <v>23</v>
      </c>
      <c r="T188" s="23">
        <v>598.19000000000005</v>
      </c>
      <c r="U188" s="25">
        <v>5909</v>
      </c>
      <c r="V188" s="56">
        <v>-1.0500000000000001E-2</v>
      </c>
      <c r="W188" s="56">
        <v>0.3851</v>
      </c>
      <c r="X188" s="20">
        <f t="shared" si="134"/>
        <v>-7.9057529161050306E-3</v>
      </c>
      <c r="Y188" s="20">
        <f t="shared" si="140"/>
        <v>-1.0569320850838575E-2</v>
      </c>
      <c r="Z188" s="20">
        <f t="shared" si="141"/>
        <v>5.1029086579350231E-3</v>
      </c>
      <c r="AA188" s="20">
        <f t="shared" si="142"/>
        <v>-9.7000000000000003E-3</v>
      </c>
      <c r="AB188" s="21">
        <f t="shared" si="143"/>
        <v>-1.4699999999999991E-2</v>
      </c>
    </row>
    <row r="189" spans="1:33" ht="13.95" customHeight="1">
      <c r="A189" s="201">
        <v>166</v>
      </c>
      <c r="B189" s="207" t="s">
        <v>251</v>
      </c>
      <c r="C189" s="12" t="s">
        <v>101</v>
      </c>
      <c r="D189" s="13" t="s">
        <v>23</v>
      </c>
      <c r="E189" s="23">
        <v>5306271756.1599998</v>
      </c>
      <c r="F189" s="24">
        <f t="shared" si="130"/>
        <v>3.357791661951106E-2</v>
      </c>
      <c r="G189" s="13" t="s">
        <v>23</v>
      </c>
      <c r="H189" s="211">
        <v>3.8700999999999999</v>
      </c>
      <c r="I189" s="13" t="s">
        <v>23</v>
      </c>
      <c r="J189" s="211">
        <v>3.9468000000000001</v>
      </c>
      <c r="K189" s="223">
        <v>10202</v>
      </c>
      <c r="L189" s="197">
        <v>8.9999999999999998E-4</v>
      </c>
      <c r="M189" s="197">
        <v>0.26469999999999999</v>
      </c>
      <c r="N189" s="13" t="s">
        <v>23</v>
      </c>
      <c r="O189" s="23">
        <v>5280908719.46</v>
      </c>
      <c r="P189" s="64">
        <f t="shared" si="131"/>
        <v>3.3839732276421196E-2</v>
      </c>
      <c r="Q189" s="13" t="s">
        <v>23</v>
      </c>
      <c r="R189" s="23">
        <v>3.8519000000000001</v>
      </c>
      <c r="S189" s="13" t="s">
        <v>23</v>
      </c>
      <c r="T189" s="23">
        <v>3.9277000000000002</v>
      </c>
      <c r="U189" s="25">
        <v>10202</v>
      </c>
      <c r="V189" s="26">
        <v>-4.7804079963188143E-3</v>
      </c>
      <c r="W189" s="26">
        <v>0.25864019915295328</v>
      </c>
      <c r="X189" s="20">
        <f t="shared" si="134"/>
        <v>-4.7798224187361122E-3</v>
      </c>
      <c r="Y189" s="20">
        <f t="shared" si="140"/>
        <v>-4.8393635350156821E-3</v>
      </c>
      <c r="Z189" s="20">
        <f t="shared" si="141"/>
        <v>0</v>
      </c>
      <c r="AA189" s="20">
        <f>V189-L189</f>
        <v>-5.6804079963188141E-3</v>
      </c>
      <c r="AB189" s="21">
        <f>W189-M189</f>
        <v>-6.0598008470467146E-3</v>
      </c>
    </row>
    <row r="190" spans="1:33" ht="16.2" customHeight="1">
      <c r="A190" s="201">
        <v>167</v>
      </c>
      <c r="B190" s="200" t="s">
        <v>252</v>
      </c>
      <c r="C190" s="12" t="s">
        <v>103</v>
      </c>
      <c r="D190" s="13" t="s">
        <v>23</v>
      </c>
      <c r="E190" s="23">
        <v>411762615.70999998</v>
      </c>
      <c r="F190" s="24">
        <f t="shared" si="130"/>
        <v>2.6056205585949367E-3</v>
      </c>
      <c r="G190" s="13" t="s">
        <v>23</v>
      </c>
      <c r="H190" s="211">
        <v>377.73328299000002</v>
      </c>
      <c r="I190" s="13" t="s">
        <v>23</v>
      </c>
      <c r="J190" s="211">
        <v>377.73328299000002</v>
      </c>
      <c r="K190" s="223">
        <v>37</v>
      </c>
      <c r="L190" s="197">
        <v>1.8200000000000001E-2</v>
      </c>
      <c r="M190" s="197">
        <v>0.3841</v>
      </c>
      <c r="N190" s="13" t="s">
        <v>23</v>
      </c>
      <c r="O190" s="23">
        <v>404203551.77999997</v>
      </c>
      <c r="P190" s="64">
        <f t="shared" si="131"/>
        <v>2.5901110403613284E-3</v>
      </c>
      <c r="Q190" s="13" t="s">
        <v>23</v>
      </c>
      <c r="R190" s="23">
        <v>370.69606864999997</v>
      </c>
      <c r="S190" s="13" t="s">
        <v>23</v>
      </c>
      <c r="T190" s="23">
        <v>370.69606864999997</v>
      </c>
      <c r="U190" s="25">
        <v>38</v>
      </c>
      <c r="V190" s="26">
        <v>-1.8599999999999998E-2</v>
      </c>
      <c r="W190" s="26">
        <v>0.32979999999999998</v>
      </c>
      <c r="X190" s="20">
        <f t="shared" si="134"/>
        <v>-1.8357819873875521E-2</v>
      </c>
      <c r="Y190" s="20">
        <f t="shared" si="140"/>
        <v>-1.8630114572631792E-2</v>
      </c>
      <c r="Z190" s="20">
        <f t="shared" si="141"/>
        <v>2.7027027027027029E-2</v>
      </c>
      <c r="AA190" s="20">
        <f t="shared" si="142"/>
        <v>-3.6799999999999999E-2</v>
      </c>
      <c r="AB190" s="21">
        <f t="shared" si="143"/>
        <v>-5.4300000000000015E-2</v>
      </c>
    </row>
    <row r="191" spans="1:33" ht="13.95" customHeight="1">
      <c r="A191" s="201">
        <v>168</v>
      </c>
      <c r="B191" s="200" t="s">
        <v>253</v>
      </c>
      <c r="C191" s="37" t="s">
        <v>105</v>
      </c>
      <c r="D191" s="13" t="s">
        <v>23</v>
      </c>
      <c r="E191" s="63">
        <v>111806939.59999999</v>
      </c>
      <c r="F191" s="24">
        <f t="shared" si="130"/>
        <v>7.0751070956990528E-4</v>
      </c>
      <c r="G191" s="13" t="s">
        <v>23</v>
      </c>
      <c r="H191" s="211">
        <v>1.5740000000000001</v>
      </c>
      <c r="I191" s="13" t="s">
        <v>23</v>
      </c>
      <c r="J191" s="211">
        <v>1.5740000000000001</v>
      </c>
      <c r="K191" s="223">
        <v>30</v>
      </c>
      <c r="L191" s="197">
        <v>2.4390000000000002E-3</v>
      </c>
      <c r="M191" s="197">
        <v>9.9886000000000003E-2</v>
      </c>
      <c r="N191" s="13" t="s">
        <v>23</v>
      </c>
      <c r="O191" s="63">
        <v>111806939.59999999</v>
      </c>
      <c r="P191" s="64">
        <f t="shared" si="131"/>
        <v>7.1645186533291925E-4</v>
      </c>
      <c r="Q191" s="13" t="s">
        <v>23</v>
      </c>
      <c r="R191" s="23">
        <v>1.5740000000000001</v>
      </c>
      <c r="S191" s="13" t="s">
        <v>23</v>
      </c>
      <c r="T191" s="23">
        <v>1.5740000000000001</v>
      </c>
      <c r="U191" s="25">
        <v>30</v>
      </c>
      <c r="V191" s="26">
        <v>2.4390000000000002E-3</v>
      </c>
      <c r="W191" s="26">
        <v>9.9886000000000003E-2</v>
      </c>
      <c r="X191" s="20">
        <f t="shared" si="134"/>
        <v>0</v>
      </c>
      <c r="Y191" s="20">
        <f t="shared" si="140"/>
        <v>0</v>
      </c>
      <c r="Z191" s="20">
        <f t="shared" si="141"/>
        <v>0</v>
      </c>
      <c r="AA191" s="20">
        <f t="shared" si="142"/>
        <v>0</v>
      </c>
      <c r="AB191" s="21">
        <f t="shared" si="143"/>
        <v>0</v>
      </c>
    </row>
    <row r="192" spans="1:33" ht="13.5" customHeight="1">
      <c r="A192" s="201">
        <v>169</v>
      </c>
      <c r="B192" s="200" t="s">
        <v>254</v>
      </c>
      <c r="C192" s="12" t="s">
        <v>45</v>
      </c>
      <c r="D192" s="13" t="s">
        <v>23</v>
      </c>
      <c r="E192" s="81">
        <v>14597673872.13805</v>
      </c>
      <c r="F192" s="24">
        <f t="shared" si="130"/>
        <v>9.2373609690918138E-2</v>
      </c>
      <c r="G192" s="13" t="s">
        <v>23</v>
      </c>
      <c r="H192" s="211">
        <v>7.9180000000000001</v>
      </c>
      <c r="I192" s="13" t="s">
        <v>23</v>
      </c>
      <c r="J192" s="211">
        <v>8.0694999999999997</v>
      </c>
      <c r="K192" s="223">
        <v>15957</v>
      </c>
      <c r="L192" s="197">
        <v>2.7817616990311045E-4</v>
      </c>
      <c r="M192" s="197">
        <v>0.27472783889679486</v>
      </c>
      <c r="N192" s="13" t="s">
        <v>23</v>
      </c>
      <c r="O192" s="36">
        <v>14226685791.84</v>
      </c>
      <c r="P192" s="64">
        <f t="shared" si="131"/>
        <v>9.1163711389781285E-2</v>
      </c>
      <c r="Q192" s="13" t="s">
        <v>23</v>
      </c>
      <c r="R192" s="23">
        <v>7.8656110000000004</v>
      </c>
      <c r="S192" s="13" t="s">
        <v>23</v>
      </c>
      <c r="T192" s="23">
        <v>8.0221599999999995</v>
      </c>
      <c r="U192" s="25">
        <v>16285</v>
      </c>
      <c r="V192" s="26">
        <v>-6.6225909943219419E-3</v>
      </c>
      <c r="W192" s="26">
        <v>0.26663808833506475</v>
      </c>
      <c r="X192" s="20">
        <f t="shared" si="134"/>
        <v>-2.5414191572407905E-2</v>
      </c>
      <c r="Y192" s="20">
        <f t="shared" si="140"/>
        <v>-5.8665344816903357E-3</v>
      </c>
      <c r="Z192" s="20">
        <f t="shared" si="141"/>
        <v>2.0555242213448642E-2</v>
      </c>
      <c r="AA192" s="20">
        <f t="shared" si="142"/>
        <v>-6.9007671642250523E-3</v>
      </c>
      <c r="AB192" s="21">
        <f t="shared" si="143"/>
        <v>-8.0897505617301135E-3</v>
      </c>
      <c r="AD192" s="31"/>
    </row>
    <row r="193" spans="1:31" ht="13.5" customHeight="1">
      <c r="A193" s="201">
        <v>170</v>
      </c>
      <c r="B193" s="200" t="s">
        <v>255</v>
      </c>
      <c r="C193" s="12" t="s">
        <v>256</v>
      </c>
      <c r="D193" s="13" t="s">
        <v>23</v>
      </c>
      <c r="E193" s="81">
        <v>160849404.99000001</v>
      </c>
      <c r="F193" s="24">
        <f t="shared" si="130"/>
        <v>1.0178498496203538E-3</v>
      </c>
      <c r="G193" s="13" t="s">
        <v>23</v>
      </c>
      <c r="H193" s="211">
        <v>3.1395</v>
      </c>
      <c r="I193" s="13" t="s">
        <v>23</v>
      </c>
      <c r="J193" s="211">
        <v>3.1555</v>
      </c>
      <c r="K193" s="223">
        <v>154</v>
      </c>
      <c r="L193" s="197">
        <v>5.8999999999999999E-3</v>
      </c>
      <c r="M193" s="197">
        <v>0.12590000000000001</v>
      </c>
      <c r="N193" s="13" t="s">
        <v>23</v>
      </c>
      <c r="O193" s="81">
        <v>161890620.22</v>
      </c>
      <c r="P193" s="64">
        <f t="shared" si="131"/>
        <v>1.0373849534874686E-3</v>
      </c>
      <c r="Q193" s="13" t="s">
        <v>23</v>
      </c>
      <c r="R193" s="23">
        <v>3.1392000000000002</v>
      </c>
      <c r="S193" s="13" t="s">
        <v>23</v>
      </c>
      <c r="T193" s="23">
        <v>3.1549999999999998</v>
      </c>
      <c r="U193" s="25">
        <v>154</v>
      </c>
      <c r="V193" s="56">
        <v>-2.0000000000000001E-4</v>
      </c>
      <c r="W193" s="56">
        <v>0.12570000000000001</v>
      </c>
      <c r="X193" s="20">
        <f t="shared" si="134"/>
        <v>6.4732302246608966E-3</v>
      </c>
      <c r="Y193" s="20">
        <f t="shared" si="140"/>
        <v>-1.5845349389959339E-4</v>
      </c>
      <c r="Z193" s="20">
        <f t="shared" si="141"/>
        <v>0</v>
      </c>
      <c r="AA193" s="20">
        <f t="shared" si="142"/>
        <v>-6.0999999999999995E-3</v>
      </c>
      <c r="AB193" s="21">
        <f t="shared" si="143"/>
        <v>-2.0000000000000573E-4</v>
      </c>
    </row>
    <row r="194" spans="1:31" ht="15" customHeight="1">
      <c r="A194" s="201">
        <v>171</v>
      </c>
      <c r="B194" s="207" t="s">
        <v>257</v>
      </c>
      <c r="C194" s="12" t="s">
        <v>164</v>
      </c>
      <c r="D194" s="13" t="s">
        <v>23</v>
      </c>
      <c r="E194" s="81">
        <v>2321270242.3000002</v>
      </c>
      <c r="F194" s="24">
        <f t="shared" si="130"/>
        <v>1.4688923264591165E-2</v>
      </c>
      <c r="G194" s="13" t="s">
        <v>23</v>
      </c>
      <c r="H194" s="211">
        <v>487.65</v>
      </c>
      <c r="I194" s="13" t="s">
        <v>23</v>
      </c>
      <c r="J194" s="211">
        <v>492.12</v>
      </c>
      <c r="K194" s="223">
        <v>158</v>
      </c>
      <c r="L194" s="197">
        <v>1.37E-2</v>
      </c>
      <c r="M194" s="197">
        <v>0.37030000000000002</v>
      </c>
      <c r="N194" s="13" t="s">
        <v>23</v>
      </c>
      <c r="O194" s="81">
        <v>2307973763.8699999</v>
      </c>
      <c r="P194" s="64">
        <f t="shared" si="131"/>
        <v>1.4789351306634816E-2</v>
      </c>
      <c r="Q194" s="13" t="s">
        <v>23</v>
      </c>
      <c r="R194" s="23">
        <v>484.98</v>
      </c>
      <c r="S194" s="13" t="s">
        <v>23</v>
      </c>
      <c r="T194" s="23">
        <v>489.43</v>
      </c>
      <c r="U194" s="25">
        <v>158</v>
      </c>
      <c r="V194" s="56">
        <v>1.37E-2</v>
      </c>
      <c r="W194" s="56">
        <v>0.36280000000000001</v>
      </c>
      <c r="X194" s="20">
        <f t="shared" si="134"/>
        <v>-5.7281044609548189E-3</v>
      </c>
      <c r="Y194" s="20">
        <f t="shared" si="140"/>
        <v>-5.4661464683410507E-3</v>
      </c>
      <c r="Z194" s="20">
        <f t="shared" si="141"/>
        <v>0</v>
      </c>
      <c r="AA194" s="20">
        <f t="shared" si="142"/>
        <v>0</v>
      </c>
      <c r="AB194" s="21">
        <f t="shared" si="143"/>
        <v>-7.5000000000000067E-3</v>
      </c>
    </row>
    <row r="195" spans="1:31" ht="15.6" customHeight="1">
      <c r="A195" s="201">
        <v>172</v>
      </c>
      <c r="B195" s="200" t="s">
        <v>258</v>
      </c>
      <c r="C195" s="12" t="s">
        <v>112</v>
      </c>
      <c r="D195" s="13" t="s">
        <v>23</v>
      </c>
      <c r="E195" s="23">
        <v>57718826.280000001</v>
      </c>
      <c r="F195" s="24">
        <f t="shared" si="130"/>
        <v>3.6524287207039251E-4</v>
      </c>
      <c r="G195" s="13" t="s">
        <v>23</v>
      </c>
      <c r="H195" s="211">
        <v>1</v>
      </c>
      <c r="I195" s="13" t="s">
        <v>23</v>
      </c>
      <c r="J195" s="211">
        <v>1</v>
      </c>
      <c r="K195" s="223">
        <v>8</v>
      </c>
      <c r="L195" s="197">
        <v>3.5636825932732208E-3</v>
      </c>
      <c r="M195" s="197">
        <v>0</v>
      </c>
      <c r="N195" s="13" t="s">
        <v>23</v>
      </c>
      <c r="O195" s="23">
        <v>57723422.030000001</v>
      </c>
      <c r="P195" s="64">
        <f t="shared" si="131"/>
        <v>3.6988807255388669E-4</v>
      </c>
      <c r="Q195" s="13" t="s">
        <v>23</v>
      </c>
      <c r="R195" s="23">
        <v>1</v>
      </c>
      <c r="S195" s="13" t="s">
        <v>23</v>
      </c>
      <c r="T195" s="23">
        <v>1</v>
      </c>
      <c r="U195" s="25">
        <v>8</v>
      </c>
      <c r="V195" s="26">
        <v>7.962306748421355E-5</v>
      </c>
      <c r="W195" s="26">
        <v>0.1913</v>
      </c>
      <c r="X195" s="20">
        <f t="shared" ref="X195" si="144">((O195-E195)/E195)</f>
        <v>7.9623067484178232E-5</v>
      </c>
      <c r="Y195" s="20">
        <f t="shared" ref="Y195" si="145">((T195-J195)/J195)</f>
        <v>0</v>
      </c>
      <c r="Z195" s="20">
        <f t="shared" ref="Z195" si="146">((U195-K195)/K195)</f>
        <v>0</v>
      </c>
      <c r="AA195" s="20">
        <f>V195-L195</f>
        <v>-3.4840595257890072E-3</v>
      </c>
      <c r="AB195" s="21">
        <f t="shared" ref="AB195" si="147">W195-M195</f>
        <v>0.1913</v>
      </c>
    </row>
    <row r="196" spans="1:31" ht="16.95" customHeight="1">
      <c r="A196" s="201">
        <v>173</v>
      </c>
      <c r="B196" s="207" t="s">
        <v>259</v>
      </c>
      <c r="C196" s="12" t="s">
        <v>41</v>
      </c>
      <c r="D196" s="13" t="s">
        <v>23</v>
      </c>
      <c r="E196" s="81">
        <v>2991165319.3600001</v>
      </c>
      <c r="F196" s="24">
        <f t="shared" si="130"/>
        <v>1.8927997717426891E-2</v>
      </c>
      <c r="G196" s="13" t="s">
        <v>23</v>
      </c>
      <c r="H196" s="211">
        <v>552.20000000000005</v>
      </c>
      <c r="I196" s="13" t="s">
        <v>23</v>
      </c>
      <c r="J196" s="211">
        <v>552.20000000000005</v>
      </c>
      <c r="K196" s="223">
        <v>823</v>
      </c>
      <c r="L196" s="197">
        <v>4.4000000000000003E-3</v>
      </c>
      <c r="M196" s="197">
        <v>0.39539999999999997</v>
      </c>
      <c r="N196" s="13" t="s">
        <v>23</v>
      </c>
      <c r="O196" s="81">
        <v>2975184946.02</v>
      </c>
      <c r="P196" s="64">
        <f t="shared" si="131"/>
        <v>1.9064798767521669E-2</v>
      </c>
      <c r="Q196" s="13" t="s">
        <v>23</v>
      </c>
      <c r="R196" s="23">
        <v>552.22</v>
      </c>
      <c r="S196" s="13" t="s">
        <v>23</v>
      </c>
      <c r="T196" s="23">
        <v>552.22</v>
      </c>
      <c r="U196" s="25">
        <v>823</v>
      </c>
      <c r="V196" s="26">
        <v>5.7000000000000002E-3</v>
      </c>
      <c r="W196" s="26">
        <v>0.38101000000000002</v>
      </c>
      <c r="X196" s="20">
        <f t="shared" si="134"/>
        <v>-5.3425242786043561E-3</v>
      </c>
      <c r="Y196" s="20">
        <f t="shared" ref="Y196:Z198" si="148">((T196-J196)/J196)</f>
        <v>3.621876131832997E-5</v>
      </c>
      <c r="Z196" s="20">
        <f t="shared" si="148"/>
        <v>0</v>
      </c>
      <c r="AA196" s="20">
        <f t="shared" ref="AA196:AB198" si="149">V196-L196</f>
        <v>1.2999999999999999E-3</v>
      </c>
      <c r="AB196" s="21">
        <f t="shared" si="149"/>
        <v>-1.4389999999999958E-2</v>
      </c>
    </row>
    <row r="197" spans="1:31" ht="16.2" customHeight="1">
      <c r="A197" s="201">
        <v>174</v>
      </c>
      <c r="B197" s="200" t="s">
        <v>260</v>
      </c>
      <c r="C197" s="12" t="s">
        <v>116</v>
      </c>
      <c r="D197" s="13" t="s">
        <v>23</v>
      </c>
      <c r="E197" s="23">
        <v>90438059.379999995</v>
      </c>
      <c r="F197" s="24">
        <f t="shared" si="130"/>
        <v>5.7228912438695378E-4</v>
      </c>
      <c r="G197" s="13" t="s">
        <v>23</v>
      </c>
      <c r="H197" s="211">
        <v>3.78</v>
      </c>
      <c r="I197" s="13" t="s">
        <v>23</v>
      </c>
      <c r="J197" s="211">
        <v>3.78</v>
      </c>
      <c r="K197" s="223">
        <v>10</v>
      </c>
      <c r="L197" s="197">
        <v>1.49E-2</v>
      </c>
      <c r="M197" s="197">
        <v>0.44140000000000001</v>
      </c>
      <c r="N197" s="13" t="s">
        <v>23</v>
      </c>
      <c r="O197" s="23">
        <v>92388706.609999999</v>
      </c>
      <c r="P197" s="64">
        <f t="shared" si="131"/>
        <v>5.9202104469757179E-4</v>
      </c>
      <c r="Q197" s="13" t="s">
        <v>23</v>
      </c>
      <c r="R197" s="23">
        <v>3.72</v>
      </c>
      <c r="S197" s="13" t="s">
        <v>23</v>
      </c>
      <c r="T197" s="23">
        <v>3.72</v>
      </c>
      <c r="U197" s="25">
        <v>10</v>
      </c>
      <c r="V197" s="56">
        <v>-1.77E-2</v>
      </c>
      <c r="W197" s="56">
        <v>0.4158</v>
      </c>
      <c r="X197" s="20">
        <f t="shared" si="134"/>
        <v>2.1568875353725047E-2</v>
      </c>
      <c r="Y197" s="20">
        <f t="shared" si="148"/>
        <v>-1.5873015873015772E-2</v>
      </c>
      <c r="Z197" s="20">
        <f t="shared" si="148"/>
        <v>0</v>
      </c>
      <c r="AA197" s="20">
        <f t="shared" si="149"/>
        <v>-3.2600000000000004E-2</v>
      </c>
      <c r="AB197" s="21">
        <f t="shared" si="149"/>
        <v>-2.5600000000000012E-2</v>
      </c>
      <c r="AE197" s="10"/>
    </row>
    <row r="198" spans="1:31" ht="15.6" customHeight="1">
      <c r="A198" s="201">
        <v>175</v>
      </c>
      <c r="B198" s="207" t="s">
        <v>261</v>
      </c>
      <c r="C198" s="12" t="s">
        <v>51</v>
      </c>
      <c r="D198" s="13" t="s">
        <v>23</v>
      </c>
      <c r="E198" s="23">
        <v>743365701.69000006</v>
      </c>
      <c r="F198" s="24">
        <f t="shared" si="130"/>
        <v>4.7039941970884831E-3</v>
      </c>
      <c r="G198" s="13" t="s">
        <v>23</v>
      </c>
      <c r="H198" s="211">
        <v>4.28</v>
      </c>
      <c r="I198" s="13" t="s">
        <v>23</v>
      </c>
      <c r="J198" s="211">
        <v>4.3099999999999996</v>
      </c>
      <c r="K198" s="223">
        <v>149</v>
      </c>
      <c r="L198" s="197">
        <v>-5.7380150481223247E-3</v>
      </c>
      <c r="M198" s="197">
        <v>0.36000179525967857</v>
      </c>
      <c r="N198" s="13" t="s">
        <v>23</v>
      </c>
      <c r="O198" s="23">
        <v>619054078.26999998</v>
      </c>
      <c r="P198" s="64">
        <f t="shared" si="131"/>
        <v>3.9668597558008148E-3</v>
      </c>
      <c r="Q198" s="13" t="s">
        <v>23</v>
      </c>
      <c r="R198" s="23">
        <v>5.7903180000000001</v>
      </c>
      <c r="S198" s="13" t="s">
        <v>23</v>
      </c>
      <c r="T198" s="23">
        <v>5.8174900000000003</v>
      </c>
      <c r="U198" s="25">
        <v>150</v>
      </c>
      <c r="V198" s="26">
        <v>0.3498</v>
      </c>
      <c r="W198" s="26">
        <v>0.63249999999999995</v>
      </c>
      <c r="X198" s="20">
        <f t="shared" si="134"/>
        <v>-0.16722808590359309</v>
      </c>
      <c r="Y198" s="20">
        <f t="shared" si="148"/>
        <v>0.34976566125290043</v>
      </c>
      <c r="Z198" s="20">
        <f t="shared" si="148"/>
        <v>6.7114093959731542E-3</v>
      </c>
      <c r="AA198" s="20">
        <f t="shared" si="149"/>
        <v>0.35553801504812232</v>
      </c>
      <c r="AB198" s="21">
        <f t="shared" si="149"/>
        <v>0.27249820474032138</v>
      </c>
      <c r="AD198" s="31"/>
      <c r="AE198" s="31"/>
    </row>
    <row r="199" spans="1:31" ht="13.95" customHeight="1">
      <c r="A199" s="201">
        <v>176</v>
      </c>
      <c r="B199" s="207" t="s">
        <v>262</v>
      </c>
      <c r="C199" s="12" t="s">
        <v>263</v>
      </c>
      <c r="D199" s="13" t="s">
        <v>23</v>
      </c>
      <c r="E199" s="23">
        <v>322816506.35724992</v>
      </c>
      <c r="F199" s="24">
        <f t="shared" si="130"/>
        <v>2.0427724458857805E-3</v>
      </c>
      <c r="G199" s="13" t="s">
        <v>23</v>
      </c>
      <c r="H199" s="211">
        <v>158.01156933620035</v>
      </c>
      <c r="I199" s="13" t="s">
        <v>23</v>
      </c>
      <c r="J199" s="211">
        <v>156.7688657602092</v>
      </c>
      <c r="K199" s="223">
        <v>123</v>
      </c>
      <c r="L199" s="197">
        <v>-5.7380150481223247E-3</v>
      </c>
      <c r="M199" s="197">
        <v>0.36000179525967857</v>
      </c>
      <c r="N199" s="13" t="s">
        <v>23</v>
      </c>
      <c r="O199" s="23">
        <v>318981758.95119721</v>
      </c>
      <c r="P199" s="24">
        <f t="shared" si="131"/>
        <v>2.0440151302358058E-3</v>
      </c>
      <c r="Q199" s="13" t="s">
        <v>23</v>
      </c>
      <c r="R199" s="23">
        <v>154.93371491310901</v>
      </c>
      <c r="S199" s="13" t="s">
        <v>23</v>
      </c>
      <c r="T199" s="23">
        <v>156.11605172189084</v>
      </c>
      <c r="U199" s="25">
        <v>123</v>
      </c>
      <c r="V199" s="26">
        <v>-1.185165291568091E-2</v>
      </c>
      <c r="W199" s="26">
        <v>0.34408148841478425</v>
      </c>
      <c r="X199" s="20">
        <f t="shared" ref="X199" si="150">((O199-E199)/E199)</f>
        <v>-1.1879031370870874E-2</v>
      </c>
      <c r="Y199" s="20">
        <f t="shared" ref="Y199" si="151">((T199-J199)/J199)</f>
        <v>-4.1641816769720499E-3</v>
      </c>
      <c r="Z199" s="20">
        <f t="shared" ref="Z199" si="152">((U199-K199)/K199)</f>
        <v>0</v>
      </c>
      <c r="AA199" s="20">
        <f t="shared" ref="AA199" si="153">V199-L199</f>
        <v>-6.1136378675585856E-3</v>
      </c>
      <c r="AB199" s="21">
        <f t="shared" ref="AB199" si="154">W199-M199</f>
        <v>-1.5920306844894316E-2</v>
      </c>
    </row>
    <row r="200" spans="1:31" ht="14.4" customHeight="1">
      <c r="A200" s="201">
        <v>177</v>
      </c>
      <c r="B200" s="200" t="s">
        <v>264</v>
      </c>
      <c r="C200" s="12" t="s">
        <v>55</v>
      </c>
      <c r="D200" s="13" t="s">
        <v>23</v>
      </c>
      <c r="E200" s="81">
        <v>14763927932.940001</v>
      </c>
      <c r="F200" s="24">
        <f t="shared" si="130"/>
        <v>9.3425660028291529E-2</v>
      </c>
      <c r="G200" s="13" t="s">
        <v>23</v>
      </c>
      <c r="H200" s="211">
        <v>13488.45</v>
      </c>
      <c r="I200" s="13" t="s">
        <v>23</v>
      </c>
      <c r="J200" s="211">
        <v>13622.06</v>
      </c>
      <c r="K200" s="223">
        <v>9382</v>
      </c>
      <c r="L200" s="197">
        <v>3.6744254243419E-3</v>
      </c>
      <c r="M200" s="197">
        <v>0.39978893306383001</v>
      </c>
      <c r="N200" s="13" t="s">
        <v>23</v>
      </c>
      <c r="O200" s="81">
        <v>14619718371.639999</v>
      </c>
      <c r="P200" s="24">
        <f t="shared" si="131"/>
        <v>9.3682239541448165E-2</v>
      </c>
      <c r="Q200" s="13" t="s">
        <v>23</v>
      </c>
      <c r="R200" s="23">
        <v>13311.67</v>
      </c>
      <c r="S200" s="13" t="s">
        <v>23</v>
      </c>
      <c r="T200" s="23">
        <v>13441.64</v>
      </c>
      <c r="U200" s="25">
        <v>9503</v>
      </c>
      <c r="V200" s="56">
        <v>-1.2200000000000001E-2</v>
      </c>
      <c r="W200" s="56">
        <v>0.38269999999999998</v>
      </c>
      <c r="X200" s="20">
        <f t="shared" si="134"/>
        <v>-9.7676961005921208E-3</v>
      </c>
      <c r="Y200" s="20">
        <f t="shared" ref="Y200:Z204" si="155">((T200-J200)/J200)</f>
        <v>-1.3244692799767442E-2</v>
      </c>
      <c r="Z200" s="20">
        <f t="shared" si="155"/>
        <v>1.289703687913025E-2</v>
      </c>
      <c r="AA200" s="20">
        <f t="shared" ref="AA200:AB204" si="156">V200-L200</f>
        <v>-1.5874425424341899E-2</v>
      </c>
      <c r="AB200" s="21">
        <f t="shared" si="156"/>
        <v>-1.7088933063830025E-2</v>
      </c>
    </row>
    <row r="201" spans="1:31" ht="13.2" customHeight="1">
      <c r="A201" s="201">
        <v>178</v>
      </c>
      <c r="B201" s="207" t="s">
        <v>265</v>
      </c>
      <c r="C201" s="37" t="s">
        <v>130</v>
      </c>
      <c r="D201" s="13" t="s">
        <v>23</v>
      </c>
      <c r="E201" s="81">
        <v>334330528.43000001</v>
      </c>
      <c r="F201" s="24">
        <f t="shared" si="130"/>
        <v>2.1156328063950576E-3</v>
      </c>
      <c r="G201" s="13" t="s">
        <v>23</v>
      </c>
      <c r="H201" s="211">
        <v>1920.8894</v>
      </c>
      <c r="I201" s="13" t="s">
        <v>23</v>
      </c>
      <c r="J201" s="211">
        <v>1946.5293999999999</v>
      </c>
      <c r="K201" s="223">
        <v>208</v>
      </c>
      <c r="L201" s="197">
        <v>5.7000000000000002E-3</v>
      </c>
      <c r="M201" s="197">
        <v>0.28960000000000002</v>
      </c>
      <c r="N201" s="13" t="s">
        <v>23</v>
      </c>
      <c r="O201" s="36">
        <v>340428436.08999997</v>
      </c>
      <c r="P201" s="24">
        <f t="shared" si="131"/>
        <v>2.1814440939142651E-3</v>
      </c>
      <c r="Q201" s="13" t="s">
        <v>23</v>
      </c>
      <c r="R201" s="23">
        <v>1915.5219999999999</v>
      </c>
      <c r="S201" s="13" t="s">
        <v>23</v>
      </c>
      <c r="T201" s="23">
        <v>1940.3025</v>
      </c>
      <c r="U201" s="25">
        <v>213</v>
      </c>
      <c r="V201" s="26">
        <v>-2.8E-3</v>
      </c>
      <c r="W201" s="26">
        <v>0.2802</v>
      </c>
      <c r="X201" s="20">
        <f t="shared" si="134"/>
        <v>1.8239158980292484E-2</v>
      </c>
      <c r="Y201" s="20">
        <f t="shared" si="155"/>
        <v>-3.1989755715993232E-3</v>
      </c>
      <c r="Z201" s="20">
        <f t="shared" si="155"/>
        <v>2.403846153846154E-2</v>
      </c>
      <c r="AA201" s="20">
        <f t="shared" si="156"/>
        <v>-8.5000000000000006E-3</v>
      </c>
      <c r="AB201" s="21">
        <f t="shared" si="156"/>
        <v>-9.4000000000000195E-3</v>
      </c>
    </row>
    <row r="202" spans="1:31" ht="15" customHeight="1">
      <c r="A202" s="201">
        <v>179</v>
      </c>
      <c r="B202" s="207" t="s">
        <v>266</v>
      </c>
      <c r="C202" s="37" t="s">
        <v>105</v>
      </c>
      <c r="D202" s="13" t="s">
        <v>23</v>
      </c>
      <c r="E202" s="81">
        <v>876885672.52999997</v>
      </c>
      <c r="F202" s="24">
        <f t="shared" si="130"/>
        <v>5.548904268401815E-3</v>
      </c>
      <c r="G202" s="13" t="s">
        <v>23</v>
      </c>
      <c r="H202" s="211">
        <v>1.665</v>
      </c>
      <c r="I202" s="13" t="s">
        <v>23</v>
      </c>
      <c r="J202" s="211">
        <v>1.665</v>
      </c>
      <c r="K202" s="223">
        <v>49</v>
      </c>
      <c r="L202" s="197">
        <v>2.0470000000000002E-3</v>
      </c>
      <c r="M202" s="197">
        <v>9.2499999999999999E-2</v>
      </c>
      <c r="N202" s="13" t="s">
        <v>23</v>
      </c>
      <c r="O202" s="36">
        <v>884416194.07000005</v>
      </c>
      <c r="P202" s="24">
        <f t="shared" si="131"/>
        <v>5.6672835714760292E-3</v>
      </c>
      <c r="Q202" s="13" t="s">
        <v>23</v>
      </c>
      <c r="R202" s="23">
        <v>1.665</v>
      </c>
      <c r="S202" s="13" t="s">
        <v>23</v>
      </c>
      <c r="T202" s="23">
        <v>1.665</v>
      </c>
      <c r="U202" s="25">
        <v>49</v>
      </c>
      <c r="V202" s="26">
        <v>2.0470000000000002E-3</v>
      </c>
      <c r="W202" s="26">
        <v>9.5699999999999993E-2</v>
      </c>
      <c r="X202" s="20">
        <f t="shared" si="134"/>
        <v>8.5878031491527732E-3</v>
      </c>
      <c r="Y202" s="20">
        <f t="shared" si="155"/>
        <v>0</v>
      </c>
      <c r="Z202" s="20">
        <f t="shared" si="155"/>
        <v>0</v>
      </c>
      <c r="AA202" s="20">
        <f t="shared" si="156"/>
        <v>0</v>
      </c>
      <c r="AB202" s="21">
        <f t="shared" si="156"/>
        <v>3.1999999999999945E-3</v>
      </c>
    </row>
    <row r="203" spans="1:31" ht="15" customHeight="1">
      <c r="A203" s="201">
        <v>180</v>
      </c>
      <c r="B203" s="200" t="s">
        <v>267</v>
      </c>
      <c r="C203" s="12" t="s">
        <v>58</v>
      </c>
      <c r="D203" s="13" t="s">
        <v>23</v>
      </c>
      <c r="E203" s="81">
        <v>10041331149.620001</v>
      </c>
      <c r="F203" s="24">
        <f t="shared" si="130"/>
        <v>6.3541219821511327E-2</v>
      </c>
      <c r="G203" s="13" t="s">
        <v>23</v>
      </c>
      <c r="H203" s="211">
        <v>2.8111799999999998</v>
      </c>
      <c r="I203" s="13" t="s">
        <v>23</v>
      </c>
      <c r="J203" s="211">
        <v>2.8275100000000002</v>
      </c>
      <c r="K203" s="223">
        <v>3905</v>
      </c>
      <c r="L203" s="197">
        <v>5.7999999999999996E-3</v>
      </c>
      <c r="M203" s="197">
        <v>0.39360000000000001</v>
      </c>
      <c r="N203" s="13" t="s">
        <v>23</v>
      </c>
      <c r="O203" s="81">
        <v>9434836570</v>
      </c>
      <c r="P203" s="64">
        <f t="shared" si="131"/>
        <v>6.0457841739259464E-2</v>
      </c>
      <c r="Q203" s="13" t="s">
        <v>23</v>
      </c>
      <c r="R203" s="23">
        <v>2.7763399999999998</v>
      </c>
      <c r="S203" s="13" t="s">
        <v>23</v>
      </c>
      <c r="T203" s="23">
        <v>2.7929599999999999</v>
      </c>
      <c r="U203" s="25">
        <v>3937</v>
      </c>
      <c r="V203" s="56">
        <v>-1.24E-2</v>
      </c>
      <c r="W203" s="56">
        <v>0.3765</v>
      </c>
      <c r="X203" s="20">
        <f t="shared" si="134"/>
        <v>-6.0399818568173877E-2</v>
      </c>
      <c r="Y203" s="20">
        <f t="shared" si="155"/>
        <v>-1.2219231762221991E-2</v>
      </c>
      <c r="Z203" s="20">
        <f t="shared" si="155"/>
        <v>8.1946222791293207E-3</v>
      </c>
      <c r="AA203" s="20">
        <f t="shared" si="156"/>
        <v>-1.8200000000000001E-2</v>
      </c>
      <c r="AB203" s="21">
        <f t="shared" si="156"/>
        <v>-1.7100000000000004E-2</v>
      </c>
    </row>
    <row r="204" spans="1:31" ht="14.4" customHeight="1">
      <c r="A204" s="201">
        <v>181</v>
      </c>
      <c r="B204" s="200" t="s">
        <v>268</v>
      </c>
      <c r="C204" s="12" t="s">
        <v>58</v>
      </c>
      <c r="D204" s="13" t="s">
        <v>23</v>
      </c>
      <c r="E204" s="81">
        <v>5232852615.5699997</v>
      </c>
      <c r="F204" s="24">
        <f t="shared" si="130"/>
        <v>3.3113322664603775E-2</v>
      </c>
      <c r="G204" s="13" t="s">
        <v>23</v>
      </c>
      <c r="H204" s="211">
        <v>2.1850200000000002</v>
      </c>
      <c r="I204" s="13" t="s">
        <v>23</v>
      </c>
      <c r="J204" s="211">
        <v>2.2008700000000001</v>
      </c>
      <c r="K204" s="223">
        <v>2780</v>
      </c>
      <c r="L204" s="197">
        <v>2.5999999999999999E-3</v>
      </c>
      <c r="M204" s="197">
        <v>0.3886</v>
      </c>
      <c r="N204" s="13" t="s">
        <v>23</v>
      </c>
      <c r="O204" s="81">
        <v>5150443434.8800001</v>
      </c>
      <c r="P204" s="64">
        <f t="shared" si="131"/>
        <v>3.3003718905221371E-2</v>
      </c>
      <c r="Q204" s="13" t="s">
        <v>23</v>
      </c>
      <c r="R204" s="23">
        <v>2.1547100000000001</v>
      </c>
      <c r="S204" s="13" t="s">
        <v>23</v>
      </c>
      <c r="T204" s="23">
        <v>2.1701600000000001</v>
      </c>
      <c r="U204" s="25">
        <v>2793</v>
      </c>
      <c r="V204" s="56">
        <v>-1.3899999999999999E-2</v>
      </c>
      <c r="W204" s="56">
        <v>0.36959999999999998</v>
      </c>
      <c r="X204" s="20">
        <f t="shared" si="134"/>
        <v>-1.574842380326108E-2</v>
      </c>
      <c r="Y204" s="20">
        <f t="shared" si="155"/>
        <v>-1.3953572905260199E-2</v>
      </c>
      <c r="Z204" s="20">
        <f t="shared" si="155"/>
        <v>4.6762589928057551E-3</v>
      </c>
      <c r="AA204" s="20">
        <f t="shared" si="156"/>
        <v>-1.6500000000000001E-2</v>
      </c>
      <c r="AB204" s="21">
        <f t="shared" si="156"/>
        <v>-1.9000000000000017E-2</v>
      </c>
    </row>
    <row r="205" spans="1:31" ht="14.4" customHeight="1">
      <c r="A205" s="201">
        <v>182</v>
      </c>
      <c r="B205" s="207" t="s">
        <v>269</v>
      </c>
      <c r="C205" s="12" t="s">
        <v>135</v>
      </c>
      <c r="D205" s="13" t="s">
        <v>23</v>
      </c>
      <c r="E205" s="68">
        <v>12381139945.610001</v>
      </c>
      <c r="F205" s="24">
        <f t="shared" ref="F205" si="157">(E205/$E$207)</f>
        <v>7.8347454456242277E-2</v>
      </c>
      <c r="G205" s="13" t="s">
        <v>23</v>
      </c>
      <c r="H205" s="211">
        <v>838.48</v>
      </c>
      <c r="I205" s="13" t="s">
        <v>23</v>
      </c>
      <c r="J205" s="211">
        <v>847.91</v>
      </c>
      <c r="K205" s="223">
        <v>43</v>
      </c>
      <c r="L205" s="197">
        <v>1.1999999999999999E-3</v>
      </c>
      <c r="M205" s="197">
        <v>0.2195</v>
      </c>
      <c r="N205" s="13" t="s">
        <v>23</v>
      </c>
      <c r="O205" s="68">
        <v>12316118673.93</v>
      </c>
      <c r="P205" s="64">
        <f t="shared" ref="P205" si="158">(O205/$O$207)</f>
        <v>7.892091697677367E-2</v>
      </c>
      <c r="Q205" s="13" t="s">
        <v>23</v>
      </c>
      <c r="R205" s="23">
        <v>834.31</v>
      </c>
      <c r="S205" s="13" t="s">
        <v>23</v>
      </c>
      <c r="T205" s="23">
        <v>843.34</v>
      </c>
      <c r="U205" s="25">
        <v>44</v>
      </c>
      <c r="V205" s="56">
        <v>-5.3E-3</v>
      </c>
      <c r="W205" s="56">
        <v>0.21310000000000001</v>
      </c>
      <c r="X205" s="20">
        <f t="shared" ref="X205" si="159">((O205-E205)/E205)</f>
        <v>-5.2516385377789866E-3</v>
      </c>
      <c r="Y205" s="20">
        <f t="shared" ref="Y205" si="160">((T205-J205)/J205)</f>
        <v>-5.3897229658807378E-3</v>
      </c>
      <c r="Z205" s="20">
        <f t="shared" ref="Z205" si="161">((U205-K205)/K205)</f>
        <v>2.3255813953488372E-2</v>
      </c>
      <c r="AA205" s="20">
        <f t="shared" ref="AA205" si="162">V205-L205</f>
        <v>-6.4999999999999997E-3</v>
      </c>
      <c r="AB205" s="21">
        <f t="shared" ref="AB205" si="163">W205-M205</f>
        <v>-6.399999999999989E-3</v>
      </c>
    </row>
    <row r="206" spans="1:31" ht="16.2" customHeight="1">
      <c r="A206" s="201">
        <v>183</v>
      </c>
      <c r="B206" s="207" t="s">
        <v>270</v>
      </c>
      <c r="C206" s="12" t="s">
        <v>140</v>
      </c>
      <c r="D206" s="13" t="s">
        <v>23</v>
      </c>
      <c r="E206" s="23">
        <v>7974106290.4200001</v>
      </c>
      <c r="F206" s="24">
        <f>(E206/$E$207)</f>
        <v>5.0459887551746387E-2</v>
      </c>
      <c r="G206" s="13" t="s">
        <v>23</v>
      </c>
      <c r="H206" s="211">
        <v>45.703000000000003</v>
      </c>
      <c r="I206" s="13" t="s">
        <v>23</v>
      </c>
      <c r="J206" s="211">
        <v>46.2121</v>
      </c>
      <c r="K206" s="223">
        <v>6334</v>
      </c>
      <c r="L206" s="197">
        <v>6.4999999999999997E-3</v>
      </c>
      <c r="M206" s="197">
        <v>0.34639999999999999</v>
      </c>
      <c r="N206" s="13" t="s">
        <v>23</v>
      </c>
      <c r="O206" s="23">
        <v>7907651947.4700003</v>
      </c>
      <c r="P206" s="64">
        <f>(O206/$O$207)</f>
        <v>5.0671738341439884E-2</v>
      </c>
      <c r="Q206" s="13" t="s">
        <v>23</v>
      </c>
      <c r="R206" s="23">
        <v>45.322299999999998</v>
      </c>
      <c r="S206" s="13" t="s">
        <v>23</v>
      </c>
      <c r="T206" s="23">
        <v>45.822200000000002</v>
      </c>
      <c r="U206" s="25">
        <v>6334</v>
      </c>
      <c r="V206" s="56">
        <v>-2.8999999999999998E-3</v>
      </c>
      <c r="W206" s="56">
        <v>0.33510000000000001</v>
      </c>
      <c r="X206" s="20">
        <f>((O206-E206)/E206)</f>
        <v>-8.3337668861822537E-3</v>
      </c>
      <c r="Y206" s="20">
        <f>((T206-J206)/J206)</f>
        <v>-8.4371842006746561E-3</v>
      </c>
      <c r="Z206" s="20">
        <f>((U206-K206)/K206)</f>
        <v>0</v>
      </c>
      <c r="AA206" s="20">
        <f>V206-L206</f>
        <v>-9.3999999999999986E-3</v>
      </c>
      <c r="AB206" s="21">
        <f>W206-M206</f>
        <v>-1.1299999999999977E-2</v>
      </c>
    </row>
    <row r="207" spans="1:31">
      <c r="B207" s="44"/>
      <c r="C207" s="45" t="s">
        <v>63</v>
      </c>
      <c r="D207" s="46" t="s">
        <v>23</v>
      </c>
      <c r="E207" s="98">
        <f>SUM(E176:E206)</f>
        <v>158028617924.33823</v>
      </c>
      <c r="F207" s="48">
        <f>(E207/$E$243)</f>
        <v>1.6738976093656408E-2</v>
      </c>
      <c r="G207" s="13"/>
      <c r="H207" s="49"/>
      <c r="I207" s="13" t="s">
        <v>23</v>
      </c>
      <c r="J207" s="99"/>
      <c r="K207" s="51">
        <f>SUM(K176:K206)</f>
        <v>105479</v>
      </c>
      <c r="L207" s="100"/>
      <c r="M207" s="100"/>
      <c r="N207" s="13" t="s">
        <v>23</v>
      </c>
      <c r="O207" s="98">
        <f>SUM(O176:O206)</f>
        <v>156056456839.63123</v>
      </c>
      <c r="P207" s="48">
        <f>(O207/$O$243)</f>
        <v>1.6494933004007811E-2</v>
      </c>
      <c r="Q207" s="13" t="s">
        <v>23</v>
      </c>
      <c r="R207" s="49"/>
      <c r="S207" s="13" t="s">
        <v>23</v>
      </c>
      <c r="T207" s="99"/>
      <c r="U207" s="51">
        <f>SUM(U176:U206)</f>
        <v>106210</v>
      </c>
      <c r="V207" s="100"/>
      <c r="W207" s="100"/>
      <c r="X207" s="20">
        <f t="shared" ref="X207" si="164">((O207-E207)/E207)</f>
        <v>-1.247977176925791E-2</v>
      </c>
      <c r="Y207" s="20" t="e">
        <f t="shared" ref="Y207" si="165">((T207-J207)/J207)</f>
        <v>#DIV/0!</v>
      </c>
      <c r="Z207" s="20">
        <f t="shared" ref="Z207" si="166">((U207-K207)/K207)</f>
        <v>6.9302894415002037E-3</v>
      </c>
      <c r="AA207" s="20">
        <f t="shared" ref="AA207" si="167">V207-L207</f>
        <v>0</v>
      </c>
      <c r="AB207" s="21">
        <f t="shared" ref="AB207" si="168">W207-M207</f>
        <v>0</v>
      </c>
    </row>
    <row r="208" spans="1:31" ht="5.25" customHeight="1">
      <c r="B208" s="259"/>
      <c r="C208" s="259"/>
      <c r="D208" s="259"/>
      <c r="E208" s="259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  <c r="AA208" s="259"/>
      <c r="AB208" s="259"/>
    </row>
    <row r="209" spans="1:30" ht="15" customHeight="1">
      <c r="A209" s="11"/>
      <c r="B209" s="261" t="s">
        <v>271</v>
      </c>
      <c r="C209" s="261"/>
      <c r="D209" s="261"/>
      <c r="E209" s="261"/>
      <c r="F209" s="261"/>
      <c r="G209" s="261"/>
      <c r="H209" s="261"/>
      <c r="I209" s="261"/>
      <c r="J209" s="261"/>
      <c r="K209" s="261"/>
      <c r="L209" s="261"/>
      <c r="M209" s="261"/>
      <c r="N209" s="261"/>
      <c r="O209" s="261"/>
      <c r="P209" s="261"/>
      <c r="Q209" s="261"/>
      <c r="R209" s="261"/>
      <c r="S209" s="261"/>
      <c r="T209" s="261"/>
      <c r="U209" s="261"/>
      <c r="V209" s="261"/>
      <c r="W209" s="261"/>
      <c r="X209" s="261"/>
      <c r="Y209" s="261"/>
      <c r="Z209" s="261"/>
      <c r="AA209" s="261"/>
      <c r="AB209" s="261"/>
    </row>
    <row r="210" spans="1:30" ht="15" customHeight="1">
      <c r="A210" s="206">
        <v>184</v>
      </c>
      <c r="B210" s="207" t="s">
        <v>272</v>
      </c>
      <c r="C210" s="12" t="s">
        <v>149</v>
      </c>
      <c r="D210" s="13" t="s">
        <v>23</v>
      </c>
      <c r="E210" s="101">
        <v>629355734.94000006</v>
      </c>
      <c r="F210" s="24">
        <v>0</v>
      </c>
      <c r="G210" s="13" t="s">
        <v>23</v>
      </c>
      <c r="H210" s="225">
        <v>1088.02</v>
      </c>
      <c r="I210" s="13" t="s">
        <v>23</v>
      </c>
      <c r="J210" s="225">
        <v>1088.02</v>
      </c>
      <c r="K210" s="223">
        <v>30</v>
      </c>
      <c r="L210" s="197">
        <v>3.0799999999999998E-3</v>
      </c>
      <c r="M210" s="197">
        <v>8.6849999999999997E-2</v>
      </c>
      <c r="N210" s="13" t="s">
        <v>23</v>
      </c>
      <c r="O210" s="101">
        <v>631107405.57000005</v>
      </c>
      <c r="P210" s="64">
        <f>(O210/$O$213)</f>
        <v>3.2845785908372331E-2</v>
      </c>
      <c r="Q210" s="13" t="s">
        <v>23</v>
      </c>
      <c r="R210" s="102">
        <v>1091.1199999999999</v>
      </c>
      <c r="S210" s="13" t="s">
        <v>23</v>
      </c>
      <c r="T210" s="102">
        <v>1091.1199999999999</v>
      </c>
      <c r="U210" s="25">
        <v>32</v>
      </c>
      <c r="V210" s="26">
        <v>2.0479999999999999E-3</v>
      </c>
      <c r="W210" s="26">
        <v>8.9948E-2</v>
      </c>
      <c r="X210" s="20">
        <f>((O210-E210)/E210)</f>
        <v>2.783275868880406E-3</v>
      </c>
      <c r="Y210" s="20">
        <f t="shared" ref="Y210" si="169">((T210-J210)/J210)</f>
        <v>2.849212330655603E-3</v>
      </c>
      <c r="Z210" s="20">
        <f t="shared" ref="Z210" si="170">((U210-K210)/K210)</f>
        <v>6.6666666666666666E-2</v>
      </c>
      <c r="AA210" s="20">
        <f t="shared" ref="AA210" si="171">V210-L210</f>
        <v>-1.0319999999999999E-3</v>
      </c>
      <c r="AB210" s="21">
        <f t="shared" ref="AB210" si="172">W210-M210</f>
        <v>3.0980000000000035E-3</v>
      </c>
    </row>
    <row r="211" spans="1:30">
      <c r="A211" s="208">
        <v>185</v>
      </c>
      <c r="B211" s="207" t="s">
        <v>273</v>
      </c>
      <c r="C211" s="12" t="s">
        <v>274</v>
      </c>
      <c r="D211" s="13" t="s">
        <v>23</v>
      </c>
      <c r="E211" s="101">
        <v>1963728891.52</v>
      </c>
      <c r="F211" s="24">
        <f>(E211/$E$213)</f>
        <v>9.9892612073963216E-2</v>
      </c>
      <c r="G211" s="13" t="s">
        <v>23</v>
      </c>
      <c r="H211" s="225">
        <v>53.222499999999997</v>
      </c>
      <c r="I211" s="13" t="s">
        <v>23</v>
      </c>
      <c r="J211" s="225">
        <v>53.703600000000002</v>
      </c>
      <c r="K211" s="223">
        <v>1562</v>
      </c>
      <c r="L211" s="197">
        <v>5.8999999999999999E-3</v>
      </c>
      <c r="M211" s="197">
        <v>0.3306</v>
      </c>
      <c r="N211" s="13" t="s">
        <v>23</v>
      </c>
      <c r="O211" s="101">
        <v>1953428391.73</v>
      </c>
      <c r="P211" s="64">
        <f>(O211/$O$213)</f>
        <v>0.10166556465004603</v>
      </c>
      <c r="Q211" s="13" t="s">
        <v>23</v>
      </c>
      <c r="R211" s="105">
        <v>52.917900000000003</v>
      </c>
      <c r="S211" s="13" t="s">
        <v>23</v>
      </c>
      <c r="T211" s="105">
        <v>53.390999999999998</v>
      </c>
      <c r="U211" s="25">
        <v>1367</v>
      </c>
      <c r="V211" s="56">
        <v>-1.2999999999999999E-3</v>
      </c>
      <c r="W211" s="56">
        <v>0.32290000000000002</v>
      </c>
      <c r="X211" s="20">
        <f>((O211-E211)/E211)</f>
        <v>-5.2453777272823991E-3</v>
      </c>
      <c r="Y211" s="20">
        <f t="shared" ref="Y211:Z213" si="173">((T211-J211)/J211)</f>
        <v>-5.8208388264474505E-3</v>
      </c>
      <c r="Z211" s="20">
        <f t="shared" si="173"/>
        <v>-0.12483994878361075</v>
      </c>
      <c r="AA211" s="20">
        <f t="shared" ref="AA211:AB213" si="174">V211-L211</f>
        <v>-7.1999999999999998E-3</v>
      </c>
      <c r="AB211" s="21">
        <f t="shared" si="174"/>
        <v>-7.6999999999999846E-3</v>
      </c>
    </row>
    <row r="212" spans="1:30">
      <c r="A212" s="204">
        <v>186</v>
      </c>
      <c r="B212" s="200" t="s">
        <v>275</v>
      </c>
      <c r="C212" s="12" t="s">
        <v>55</v>
      </c>
      <c r="D212" s="13" t="s">
        <v>23</v>
      </c>
      <c r="E212" s="55">
        <v>17065315036.43</v>
      </c>
      <c r="F212" s="24">
        <f>(E212/$E$213)</f>
        <v>0.86809279132954675</v>
      </c>
      <c r="G212" s="13" t="s">
        <v>23</v>
      </c>
      <c r="H212" s="225">
        <v>6.76</v>
      </c>
      <c r="I212" s="13" t="s">
        <v>23</v>
      </c>
      <c r="J212" s="225">
        <v>6.76</v>
      </c>
      <c r="K212" s="223">
        <v>17806</v>
      </c>
      <c r="L212" s="197">
        <v>0</v>
      </c>
      <c r="M212" s="197">
        <v>0.51655629139072801</v>
      </c>
      <c r="N212" s="13" t="s">
        <v>23</v>
      </c>
      <c r="O212" s="55">
        <v>16629722230.52</v>
      </c>
      <c r="P212" s="64">
        <f>(O212/$O$213)</f>
        <v>0.86548864944158166</v>
      </c>
      <c r="Q212" s="13" t="s">
        <v>23</v>
      </c>
      <c r="R212" s="105">
        <v>6.62</v>
      </c>
      <c r="S212" s="13" t="s">
        <v>23</v>
      </c>
      <c r="T212" s="105">
        <v>6.72</v>
      </c>
      <c r="U212" s="25">
        <v>17876</v>
      </c>
      <c r="V212" s="56">
        <v>-1.89E-2</v>
      </c>
      <c r="W212" s="56">
        <v>0.4879</v>
      </c>
      <c r="X212" s="20">
        <f>((O212-E212)/E212)</f>
        <v>-2.5525037479831033E-2</v>
      </c>
      <c r="Y212" s="20">
        <f t="shared" si="173"/>
        <v>-5.9171597633136145E-3</v>
      </c>
      <c r="Z212" s="20">
        <f t="shared" si="173"/>
        <v>3.9312591261372572E-3</v>
      </c>
      <c r="AA212" s="20">
        <f t="shared" si="174"/>
        <v>-1.89E-2</v>
      </c>
      <c r="AB212" s="21">
        <f t="shared" si="174"/>
        <v>-2.8656291390728006E-2</v>
      </c>
    </row>
    <row r="213" spans="1:30">
      <c r="B213" s="44"/>
      <c r="C213" s="90" t="s">
        <v>63</v>
      </c>
      <c r="D213" s="90"/>
      <c r="E213" s="98">
        <f>SUM(E210:E212)</f>
        <v>19658399662.889999</v>
      </c>
      <c r="F213" s="48">
        <f>(E213/$E$243)</f>
        <v>2.0822904504183455E-3</v>
      </c>
      <c r="G213" s="46"/>
      <c r="H213" s="49"/>
      <c r="I213" s="49"/>
      <c r="J213" s="99"/>
      <c r="K213" s="51">
        <f>SUM(K210:K212)</f>
        <v>19398</v>
      </c>
      <c r="L213" s="100"/>
      <c r="M213" s="100"/>
      <c r="N213" s="13" t="s">
        <v>23</v>
      </c>
      <c r="O213" s="98">
        <f>SUM(O210:O212)</f>
        <v>19214258027.82</v>
      </c>
      <c r="P213" s="48">
        <f>(O213/$O$243)</f>
        <v>2.0309182029956377E-3</v>
      </c>
      <c r="Q213" s="13" t="s">
        <v>23</v>
      </c>
      <c r="R213" s="49"/>
      <c r="S213" s="13" t="s">
        <v>23</v>
      </c>
      <c r="T213" s="99"/>
      <c r="U213" s="51">
        <f>SUM(U210:U212)</f>
        <v>19275</v>
      </c>
      <c r="V213" s="100"/>
      <c r="W213" s="100"/>
      <c r="X213" s="20">
        <f>((O213-E213)/E213)</f>
        <v>-2.2592970062991689E-2</v>
      </c>
      <c r="Y213" s="20" t="e">
        <f t="shared" si="173"/>
        <v>#DIV/0!</v>
      </c>
      <c r="Z213" s="20">
        <f t="shared" si="173"/>
        <v>-6.3408598824621094E-3</v>
      </c>
      <c r="AA213" s="20">
        <f t="shared" si="174"/>
        <v>0</v>
      </c>
      <c r="AB213" s="21">
        <f t="shared" si="174"/>
        <v>0</v>
      </c>
    </row>
    <row r="214" spans="1:30" ht="6" customHeight="1">
      <c r="B214" s="259"/>
      <c r="C214" s="259"/>
      <c r="D214" s="259"/>
      <c r="E214" s="259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  <c r="AA214" s="259"/>
      <c r="AB214" s="259"/>
    </row>
    <row r="215" spans="1:30" ht="15" customHeight="1">
      <c r="A215" s="11"/>
      <c r="B215" s="262" t="s">
        <v>276</v>
      </c>
      <c r="C215" s="262"/>
      <c r="D215" s="262"/>
      <c r="E215" s="262"/>
      <c r="F215" s="262"/>
      <c r="G215" s="262"/>
      <c r="H215" s="262"/>
      <c r="I215" s="262"/>
      <c r="J215" s="262"/>
      <c r="K215" s="262"/>
      <c r="L215" s="262"/>
      <c r="M215" s="262"/>
      <c r="N215" s="262"/>
      <c r="O215" s="262"/>
      <c r="P215" s="262"/>
      <c r="Q215" s="262"/>
      <c r="R215" s="262"/>
      <c r="S215" s="262"/>
      <c r="T215" s="262"/>
      <c r="U215" s="262"/>
      <c r="V215" s="262"/>
      <c r="W215" s="262"/>
      <c r="X215" s="262"/>
      <c r="Y215" s="262"/>
      <c r="Z215" s="262"/>
      <c r="AA215" s="262"/>
      <c r="AB215" s="262"/>
    </row>
    <row r="216" spans="1:30">
      <c r="A216" s="74"/>
      <c r="B216" s="263" t="s">
        <v>277</v>
      </c>
      <c r="C216" s="263"/>
      <c r="D216" s="263"/>
      <c r="E216" s="263"/>
      <c r="F216" s="263"/>
      <c r="G216" s="263"/>
      <c r="H216" s="263"/>
      <c r="I216" s="263"/>
      <c r="J216" s="263"/>
      <c r="K216" s="263"/>
      <c r="L216" s="263"/>
      <c r="M216" s="263"/>
      <c r="N216" s="263"/>
      <c r="O216" s="263"/>
      <c r="P216" s="263"/>
      <c r="Q216" s="263"/>
      <c r="R216" s="263"/>
      <c r="S216" s="263"/>
      <c r="T216" s="263"/>
      <c r="U216" s="263"/>
      <c r="V216" s="263"/>
      <c r="W216" s="263"/>
      <c r="X216" s="263"/>
      <c r="Y216" s="263"/>
      <c r="Z216" s="263"/>
      <c r="AA216" s="263"/>
      <c r="AB216" s="263"/>
    </row>
    <row r="217" spans="1:30">
      <c r="A217" s="204">
        <v>187</v>
      </c>
      <c r="B217" s="200" t="s">
        <v>278</v>
      </c>
      <c r="C217" s="12" t="s">
        <v>279</v>
      </c>
      <c r="D217" s="13" t="s">
        <v>23</v>
      </c>
      <c r="E217" s="60">
        <v>17205105834.600006</v>
      </c>
      <c r="F217" s="24">
        <f>(E217/$E$242)</f>
        <v>0.11641958746351394</v>
      </c>
      <c r="G217" s="13" t="s">
        <v>23</v>
      </c>
      <c r="H217" s="226">
        <v>3.8028453389125541</v>
      </c>
      <c r="I217" s="13" t="s">
        <v>23</v>
      </c>
      <c r="J217" s="226">
        <v>3.8711438426145537</v>
      </c>
      <c r="K217" s="227">
        <v>17301</v>
      </c>
      <c r="L217" s="224">
        <v>-5.8701335147823882E-4</v>
      </c>
      <c r="M217" s="224">
        <v>0.37331807459677413</v>
      </c>
      <c r="N217" s="13" t="s">
        <v>23</v>
      </c>
      <c r="O217" s="60">
        <v>16955448128.880003</v>
      </c>
      <c r="P217" s="24">
        <f>(O217/$O$242)</f>
        <v>0.1149688107208791</v>
      </c>
      <c r="Q217" s="13" t="s">
        <v>23</v>
      </c>
      <c r="R217" s="103">
        <v>3.7659755953568683</v>
      </c>
      <c r="S217" s="13" t="s">
        <v>23</v>
      </c>
      <c r="T217" s="103">
        <v>3.8336119242848681</v>
      </c>
      <c r="U217" s="61">
        <v>17338</v>
      </c>
      <c r="V217" s="62">
        <v>-9.6953042615575292E-3</v>
      </c>
      <c r="W217" s="62">
        <v>0.36081779569892475</v>
      </c>
      <c r="X217" s="27">
        <f>((O217-E217)/E217)</f>
        <v>-1.4510675384392793E-2</v>
      </c>
      <c r="Y217" s="27">
        <f>((T217-J217)/J217)</f>
        <v>-9.6953045031611933E-3</v>
      </c>
      <c r="Z217" s="27">
        <f>((U217-K217)/K217)</f>
        <v>2.1386047049303508E-3</v>
      </c>
      <c r="AA217" s="27">
        <f>V217-L217</f>
        <v>-9.1082909100792912E-3</v>
      </c>
      <c r="AB217" s="57">
        <f>W217-M217</f>
        <v>-1.2500278897849382E-2</v>
      </c>
    </row>
    <row r="218" spans="1:30">
      <c r="A218" s="204">
        <v>188</v>
      </c>
      <c r="B218" s="200" t="s">
        <v>280</v>
      </c>
      <c r="C218" s="12" t="s">
        <v>55</v>
      </c>
      <c r="D218" s="13" t="s">
        <v>23</v>
      </c>
      <c r="E218" s="60">
        <v>35100709533.75</v>
      </c>
      <c r="F218" s="24">
        <f>(E218/$E$242)</f>
        <v>0.23751147844600334</v>
      </c>
      <c r="G218" s="13" t="s">
        <v>23</v>
      </c>
      <c r="H218" s="226">
        <v>1491.47</v>
      </c>
      <c r="I218" s="13" t="s">
        <v>23</v>
      </c>
      <c r="J218" s="226">
        <v>1472.18</v>
      </c>
      <c r="K218" s="227">
        <v>11322</v>
      </c>
      <c r="L218" s="224">
        <v>2.28014995339202E-4</v>
      </c>
      <c r="M218" s="224">
        <v>0.56864745477492595</v>
      </c>
      <c r="N218" s="13" t="s">
        <v>23</v>
      </c>
      <c r="O218" s="60">
        <v>34476182466.589996</v>
      </c>
      <c r="P218" s="24">
        <f>(O218/$O$242)</f>
        <v>0.2337706244182706</v>
      </c>
      <c r="Q218" s="13" t="s">
        <v>23</v>
      </c>
      <c r="R218" s="103">
        <v>1444.87</v>
      </c>
      <c r="S218" s="13" t="s">
        <v>23</v>
      </c>
      <c r="T218" s="103">
        <v>1463.66</v>
      </c>
      <c r="U218" s="61">
        <v>11459</v>
      </c>
      <c r="V218" s="62">
        <v>-1.8599999999999998E-2</v>
      </c>
      <c r="W218" s="62">
        <v>0.53949999999999998</v>
      </c>
      <c r="X218" s="27">
        <f>((O218-E218)/E218)</f>
        <v>-1.7792434268586763E-2</v>
      </c>
      <c r="Y218" s="27">
        <f>((T218-J218)/J218)</f>
        <v>-5.7873357877433343E-3</v>
      </c>
      <c r="Z218" s="27">
        <f>((U218-K218)/K218)</f>
        <v>1.2100335629747395E-2</v>
      </c>
      <c r="AA218" s="27">
        <f>V218-L218</f>
        <v>-1.8828014995339201E-2</v>
      </c>
      <c r="AB218" s="57">
        <f>W218-M218</f>
        <v>-2.9147454774925974E-2</v>
      </c>
    </row>
    <row r="219" spans="1:30" ht="6" customHeight="1">
      <c r="B219" s="259"/>
      <c r="C219" s="259"/>
      <c r="D219" s="259"/>
      <c r="E219" s="259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  <c r="AA219" s="259"/>
      <c r="AB219" s="259"/>
    </row>
    <row r="220" spans="1:30" ht="15" customHeight="1">
      <c r="A220" s="74"/>
      <c r="B220" s="263" t="s">
        <v>205</v>
      </c>
      <c r="C220" s="263"/>
      <c r="D220" s="263"/>
      <c r="E220" s="263"/>
      <c r="F220" s="263"/>
      <c r="G220" s="263"/>
      <c r="H220" s="263"/>
      <c r="I220" s="263"/>
      <c r="J220" s="263"/>
      <c r="K220" s="263"/>
      <c r="L220" s="263"/>
      <c r="M220" s="263"/>
      <c r="N220" s="263"/>
      <c r="O220" s="263"/>
      <c r="P220" s="263"/>
      <c r="Q220" s="263"/>
      <c r="R220" s="263"/>
      <c r="S220" s="263"/>
      <c r="T220" s="263"/>
      <c r="U220" s="263"/>
      <c r="V220" s="263"/>
      <c r="W220" s="263"/>
      <c r="X220" s="263"/>
      <c r="Y220" s="263"/>
      <c r="Z220" s="263"/>
      <c r="AA220" s="263"/>
      <c r="AB220" s="263"/>
    </row>
    <row r="221" spans="1:30">
      <c r="A221" s="201">
        <v>189</v>
      </c>
      <c r="B221" s="200" t="s">
        <v>353</v>
      </c>
      <c r="C221" s="193" t="s">
        <v>68</v>
      </c>
      <c r="D221" s="13" t="s">
        <v>23</v>
      </c>
      <c r="E221" s="198">
        <v>121602851.05</v>
      </c>
      <c r="F221" s="24">
        <f>(E221/$E$242)</f>
        <v>8.2283444750209304E-4</v>
      </c>
      <c r="G221" s="13" t="s">
        <v>23</v>
      </c>
      <c r="H221" s="225">
        <v>1.01</v>
      </c>
      <c r="I221" s="13" t="s">
        <v>23</v>
      </c>
      <c r="J221" s="225">
        <v>1.01</v>
      </c>
      <c r="K221" s="223">
        <v>50</v>
      </c>
      <c r="L221" s="197">
        <v>0.2273</v>
      </c>
      <c r="M221" s="197">
        <v>0.20899999999999999</v>
      </c>
      <c r="N221" s="13" t="s">
        <v>23</v>
      </c>
      <c r="O221" s="198">
        <v>121602851.05</v>
      </c>
      <c r="P221" s="24">
        <f t="shared" ref="P221:P235" si="175">(O221/$O$242)</f>
        <v>8.2454530598184738E-4</v>
      </c>
      <c r="Q221" s="13" t="s">
        <v>23</v>
      </c>
      <c r="R221" s="105">
        <v>1.01</v>
      </c>
      <c r="S221" s="13" t="s">
        <v>23</v>
      </c>
      <c r="T221" s="105">
        <v>1.01</v>
      </c>
      <c r="U221" s="223">
        <v>50</v>
      </c>
      <c r="V221" s="197">
        <v>0.2273</v>
      </c>
      <c r="W221" s="197">
        <v>0.20899999999999999</v>
      </c>
      <c r="X221" s="20">
        <f>((O221-E221)/E221)</f>
        <v>0</v>
      </c>
      <c r="Y221" s="20">
        <f t="shared" ref="Y221:Z223" si="176">((T221-J221)/J221)</f>
        <v>0</v>
      </c>
      <c r="Z221" s="20">
        <f t="shared" si="176"/>
        <v>0</v>
      </c>
      <c r="AA221" s="20">
        <f t="shared" ref="AA221:AB223" si="177">V221-L221</f>
        <v>0</v>
      </c>
      <c r="AB221" s="21">
        <f t="shared" si="177"/>
        <v>0</v>
      </c>
      <c r="AD221" s="104"/>
    </row>
    <row r="222" spans="1:30">
      <c r="A222" s="201">
        <v>190</v>
      </c>
      <c r="B222" s="200" t="s">
        <v>281</v>
      </c>
      <c r="C222" s="12" t="s">
        <v>27</v>
      </c>
      <c r="D222" s="13" t="s">
        <v>23</v>
      </c>
      <c r="E222" s="81">
        <v>1889881905.6700001</v>
      </c>
      <c r="F222" s="24">
        <f>(E222/$E$242)</f>
        <v>1.2788021993470993E-2</v>
      </c>
      <c r="G222" s="13" t="s">
        <v>23</v>
      </c>
      <c r="H222" s="225">
        <v>1.2187481790000001</v>
      </c>
      <c r="I222" s="13" t="s">
        <v>23</v>
      </c>
      <c r="J222" s="225">
        <v>1.2187481790000001</v>
      </c>
      <c r="K222" s="223">
        <v>936</v>
      </c>
      <c r="L222" s="197">
        <v>0.1416</v>
      </c>
      <c r="M222" s="197">
        <v>0.1235</v>
      </c>
      <c r="N222" s="13" t="s">
        <v>23</v>
      </c>
      <c r="O222" s="81">
        <v>1888246297.9300001</v>
      </c>
      <c r="P222" s="24">
        <f t="shared" ref="P222" si="178">(O222/$O$242)</f>
        <v>1.2803520707385442E-2</v>
      </c>
      <c r="Q222" s="13" t="s">
        <v>23</v>
      </c>
      <c r="R222" s="105">
        <v>1.221948179</v>
      </c>
      <c r="S222" s="13" t="s">
        <v>23</v>
      </c>
      <c r="T222" s="105">
        <v>1.221948179</v>
      </c>
      <c r="U222" s="25">
        <v>945</v>
      </c>
      <c r="V222" s="56">
        <v>0.1242</v>
      </c>
      <c r="W222" s="56">
        <v>0.13689999999999999</v>
      </c>
      <c r="X222" s="20">
        <f>((O222-E222)/E222)</f>
        <v>-8.6545499752808876E-4</v>
      </c>
      <c r="Y222" s="20">
        <f t="shared" si="176"/>
        <v>2.6256449487584172E-3</v>
      </c>
      <c r="Z222" s="20">
        <f t="shared" si="176"/>
        <v>9.6153846153846159E-3</v>
      </c>
      <c r="AA222" s="20">
        <f t="shared" si="177"/>
        <v>-1.7399999999999999E-2</v>
      </c>
      <c r="AB222" s="21">
        <f t="shared" si="177"/>
        <v>1.3399999999999995E-2</v>
      </c>
      <c r="AD222" s="104"/>
    </row>
    <row r="223" spans="1:30" ht="15" customHeight="1">
      <c r="A223" s="201">
        <v>191</v>
      </c>
      <c r="B223" s="200" t="s">
        <v>282</v>
      </c>
      <c r="C223" s="12" t="s">
        <v>283</v>
      </c>
      <c r="D223" s="13" t="s">
        <v>23</v>
      </c>
      <c r="E223" s="81">
        <v>275345340.38</v>
      </c>
      <c r="F223" s="24">
        <f>(E223/$E$242)</f>
        <v>1.8631440716031882E-3</v>
      </c>
      <c r="G223" s="13" t="s">
        <v>23</v>
      </c>
      <c r="H223" s="225">
        <v>1158.1400000000001</v>
      </c>
      <c r="I223" s="13" t="s">
        <v>23</v>
      </c>
      <c r="J223" s="225">
        <v>1158.1400000000001</v>
      </c>
      <c r="K223" s="223">
        <v>15</v>
      </c>
      <c r="L223" s="197">
        <v>5.4999999999999997E-3</v>
      </c>
      <c r="M223" s="197">
        <v>8.8300000000000003E-2</v>
      </c>
      <c r="N223" s="13" t="s">
        <v>23</v>
      </c>
      <c r="O223" s="36">
        <v>275840192.56</v>
      </c>
      <c r="P223" s="24">
        <f t="shared" si="175"/>
        <v>1.8703733836220521E-3</v>
      </c>
      <c r="Q223" s="13" t="s">
        <v>23</v>
      </c>
      <c r="R223" s="102">
        <v>1160.23</v>
      </c>
      <c r="S223" s="13" t="s">
        <v>23</v>
      </c>
      <c r="T223" s="102">
        <v>1160.23</v>
      </c>
      <c r="U223" s="25">
        <v>15</v>
      </c>
      <c r="V223" s="26">
        <v>2.0999999999999999E-3</v>
      </c>
      <c r="W223" s="26">
        <v>9.0499999999999997E-2</v>
      </c>
      <c r="X223" s="20">
        <f>((O223-E223)/E223)</f>
        <v>1.7972055721628302E-3</v>
      </c>
      <c r="Y223" s="20">
        <f t="shared" si="176"/>
        <v>1.8046177491494275E-3</v>
      </c>
      <c r="Z223" s="20">
        <f t="shared" si="176"/>
        <v>0</v>
      </c>
      <c r="AA223" s="20">
        <f t="shared" si="177"/>
        <v>-3.3999999999999998E-3</v>
      </c>
      <c r="AB223" s="21">
        <f t="shared" si="177"/>
        <v>2.1999999999999936E-3</v>
      </c>
      <c r="AD223" s="104"/>
    </row>
    <row r="224" spans="1:30">
      <c r="A224" s="201">
        <v>192</v>
      </c>
      <c r="B224" s="207" t="s">
        <v>284</v>
      </c>
      <c r="C224" s="12" t="s">
        <v>83</v>
      </c>
      <c r="D224" s="13" t="s">
        <v>23</v>
      </c>
      <c r="E224" s="81">
        <v>399654870.25999999</v>
      </c>
      <c r="F224" s="24">
        <f>(E224/$E$242)</f>
        <v>2.7042934562997467E-3</v>
      </c>
      <c r="G224" s="13" t="s">
        <v>23</v>
      </c>
      <c r="H224" s="225">
        <v>128.44999999999999</v>
      </c>
      <c r="I224" s="13" t="s">
        <v>23</v>
      </c>
      <c r="J224" s="225">
        <v>117.62</v>
      </c>
      <c r="K224" s="223">
        <v>91</v>
      </c>
      <c r="L224" s="197">
        <v>2.8999999999999998E-3</v>
      </c>
      <c r="M224" s="197">
        <v>0.161</v>
      </c>
      <c r="N224" s="13" t="s">
        <v>23</v>
      </c>
      <c r="O224" s="81">
        <v>384260167.18000001</v>
      </c>
      <c r="P224" s="24">
        <f t="shared" si="175"/>
        <v>2.605530334102055E-3</v>
      </c>
      <c r="Q224" s="13" t="s">
        <v>23</v>
      </c>
      <c r="R224" s="105">
        <v>127.39</v>
      </c>
      <c r="S224" s="13" t="s">
        <v>23</v>
      </c>
      <c r="T224" s="105">
        <v>127.39</v>
      </c>
      <c r="U224" s="25">
        <v>90</v>
      </c>
      <c r="V224" s="56">
        <v>2.8E-3</v>
      </c>
      <c r="W224" s="56">
        <v>0.16089999999999999</v>
      </c>
      <c r="X224" s="20">
        <f t="shared" ref="X224:X243" si="179">((O224-E224)/E224)</f>
        <v>-3.851999368851626E-2</v>
      </c>
      <c r="Y224" s="20">
        <f t="shared" ref="Y224:Y242" si="180">((T224-J224)/J224)</f>
        <v>8.3064104744091108E-2</v>
      </c>
      <c r="Z224" s="20">
        <f t="shared" ref="Z224:Z242" si="181">((U224-K224)/K224)</f>
        <v>-1.098901098901099E-2</v>
      </c>
      <c r="AA224" s="20">
        <f t="shared" ref="AA224:AA242" si="182">V224-L224</f>
        <v>-9.9999999999999829E-5</v>
      </c>
      <c r="AB224" s="21">
        <f t="shared" ref="AB224:AB242" si="183">W224-M224</f>
        <v>-1.0000000000001674E-4</v>
      </c>
    </row>
    <row r="225" spans="1:32">
      <c r="A225" s="201">
        <v>193</v>
      </c>
      <c r="B225" s="207" t="s">
        <v>285</v>
      </c>
      <c r="C225" s="12" t="s">
        <v>286</v>
      </c>
      <c r="D225" s="13" t="s">
        <v>23</v>
      </c>
      <c r="E225" s="81">
        <v>55800693.713905402</v>
      </c>
      <c r="F225" s="24">
        <v>0</v>
      </c>
      <c r="G225" s="13" t="s">
        <v>23</v>
      </c>
      <c r="H225" s="225">
        <v>109.52</v>
      </c>
      <c r="I225" s="13" t="s">
        <v>23</v>
      </c>
      <c r="J225" s="225">
        <v>109.52</v>
      </c>
      <c r="K225" s="223">
        <v>11</v>
      </c>
      <c r="L225" s="197">
        <v>2.3E-3</v>
      </c>
      <c r="M225" s="197">
        <v>9.5200000000000007E-2</v>
      </c>
      <c r="N225" s="13" t="s">
        <v>23</v>
      </c>
      <c r="O225" s="36">
        <v>55957164.808530137</v>
      </c>
      <c r="P225" s="24">
        <f t="shared" si="175"/>
        <v>3.7942545902936825E-4</v>
      </c>
      <c r="Q225" s="13" t="s">
        <v>23</v>
      </c>
      <c r="R225" s="102">
        <v>109.82868292825276</v>
      </c>
      <c r="S225" s="13" t="s">
        <v>23</v>
      </c>
      <c r="T225" s="105">
        <v>109.83</v>
      </c>
      <c r="U225" s="25">
        <v>11</v>
      </c>
      <c r="V225" s="26">
        <v>3.0999999999999999E-3</v>
      </c>
      <c r="W225" s="26">
        <v>9.8299999999999998E-2</v>
      </c>
      <c r="X225" s="20">
        <f t="shared" si="179"/>
        <v>2.8041066196591601E-3</v>
      </c>
      <c r="Y225" s="20">
        <f t="shared" si="180"/>
        <v>2.8305332359386624E-3</v>
      </c>
      <c r="Z225" s="20">
        <f t="shared" si="181"/>
        <v>0</v>
      </c>
      <c r="AA225" s="20">
        <f t="shared" si="182"/>
        <v>7.9999999999999993E-4</v>
      </c>
      <c r="AB225" s="21">
        <f t="shared" si="183"/>
        <v>3.0999999999999917E-3</v>
      </c>
    </row>
    <row r="226" spans="1:32">
      <c r="A226" s="201">
        <v>194</v>
      </c>
      <c r="B226" s="207" t="s">
        <v>287</v>
      </c>
      <c r="C226" s="12" t="s">
        <v>88</v>
      </c>
      <c r="D226" s="13" t="s">
        <v>23</v>
      </c>
      <c r="E226" s="55">
        <v>232117713.61000001</v>
      </c>
      <c r="F226" s="24">
        <f>(E226/$E$242)</f>
        <v>1.5706412225088486E-3</v>
      </c>
      <c r="G226" s="13" t="s">
        <v>23</v>
      </c>
      <c r="H226" s="225">
        <v>105.11</v>
      </c>
      <c r="I226" s="13" t="s">
        <v>23</v>
      </c>
      <c r="J226" s="225">
        <v>105.11</v>
      </c>
      <c r="K226" s="223">
        <v>20</v>
      </c>
      <c r="L226" s="197">
        <v>-7.1000000000000004E-3</v>
      </c>
      <c r="M226" s="197">
        <v>8.2100000000000006E-2</v>
      </c>
      <c r="N226" s="13" t="s">
        <v>23</v>
      </c>
      <c r="O226" s="55">
        <v>231385803.99000001</v>
      </c>
      <c r="P226" s="24">
        <f t="shared" si="175"/>
        <v>1.5689441234592691E-3</v>
      </c>
      <c r="Q226" s="13" t="s">
        <v>23</v>
      </c>
      <c r="R226" s="105">
        <v>104.78</v>
      </c>
      <c r="S226" s="13" t="s">
        <v>23</v>
      </c>
      <c r="T226" s="105">
        <v>104.78</v>
      </c>
      <c r="U226" s="25">
        <v>20</v>
      </c>
      <c r="V226" s="56">
        <v>-3.3999999999999998E-3</v>
      </c>
      <c r="W226" s="56">
        <v>7.8700000000000006E-2</v>
      </c>
      <c r="X226" s="20">
        <f t="shared" si="179"/>
        <v>-3.153182963148371E-3</v>
      </c>
      <c r="Y226" s="20">
        <f t="shared" si="180"/>
        <v>-3.1395680715440803E-3</v>
      </c>
      <c r="Z226" s="20">
        <f t="shared" si="181"/>
        <v>0</v>
      </c>
      <c r="AA226" s="20">
        <f t="shared" si="182"/>
        <v>3.7000000000000006E-3</v>
      </c>
      <c r="AB226" s="21">
        <f t="shared" si="183"/>
        <v>-3.4000000000000002E-3</v>
      </c>
    </row>
    <row r="227" spans="1:32">
      <c r="A227" s="201">
        <v>195</v>
      </c>
      <c r="B227" s="207" t="s">
        <v>288</v>
      </c>
      <c r="C227" s="12" t="s">
        <v>91</v>
      </c>
      <c r="D227" s="13" t="s">
        <v>23</v>
      </c>
      <c r="E227" s="55">
        <v>364900943.01999998</v>
      </c>
      <c r="F227" s="24">
        <v>0</v>
      </c>
      <c r="G227" s="13" t="s">
        <v>23</v>
      </c>
      <c r="H227" s="225">
        <v>1.25</v>
      </c>
      <c r="I227" s="13" t="s">
        <v>23</v>
      </c>
      <c r="J227" s="225">
        <v>1.25</v>
      </c>
      <c r="K227" s="223">
        <v>58</v>
      </c>
      <c r="L227" s="197">
        <v>1.7639999999999999E-3</v>
      </c>
      <c r="M227" s="197">
        <v>0.13833000000000001</v>
      </c>
      <c r="N227" s="13" t="s">
        <v>23</v>
      </c>
      <c r="O227" s="54">
        <v>366454892.31</v>
      </c>
      <c r="P227" s="24">
        <f t="shared" si="175"/>
        <v>2.4847991531387198E-3</v>
      </c>
      <c r="Q227" s="13" t="s">
        <v>23</v>
      </c>
      <c r="R227" s="102">
        <v>1.25</v>
      </c>
      <c r="S227" s="13" t="s">
        <v>23</v>
      </c>
      <c r="T227" s="105">
        <v>1.25</v>
      </c>
      <c r="U227" s="25">
        <v>57</v>
      </c>
      <c r="V227" s="26">
        <v>1.7639999999999999E-3</v>
      </c>
      <c r="W227" s="26">
        <v>0.13819999999999999</v>
      </c>
      <c r="X227" s="20">
        <f t="shared" ref="X227:X228" si="184">((O227-E227)/E227)</f>
        <v>4.2585510389181172E-3</v>
      </c>
      <c r="Y227" s="20">
        <f t="shared" ref="Y227:Y228" si="185">((T227-J227)/J227)</f>
        <v>0</v>
      </c>
      <c r="Z227" s="20">
        <f t="shared" ref="Z227" si="186">((U227-K227)/K227)</f>
        <v>-1.7241379310344827E-2</v>
      </c>
      <c r="AA227" s="20">
        <f t="shared" ref="AA227" si="187">V227-L227</f>
        <v>0</v>
      </c>
      <c r="AB227" s="21">
        <f t="shared" ref="AB227" si="188">W227-M227</f>
        <v>-1.3000000000001899E-4</v>
      </c>
    </row>
    <row r="228" spans="1:32">
      <c r="A228" s="201">
        <v>196</v>
      </c>
      <c r="B228" s="200" t="s">
        <v>289</v>
      </c>
      <c r="C228" s="12" t="s">
        <v>39</v>
      </c>
      <c r="D228" s="13" t="s">
        <v>23</v>
      </c>
      <c r="E228" s="81">
        <v>6292079358.8599997</v>
      </c>
      <c r="F228" s="24">
        <f t="shared" ref="F228:F235" si="189">(E228/$E$242)</f>
        <v>4.2575808035603548E-2</v>
      </c>
      <c r="G228" s="13" t="s">
        <v>23</v>
      </c>
      <c r="H228" s="225">
        <v>154.13</v>
      </c>
      <c r="I228" s="13" t="s">
        <v>23</v>
      </c>
      <c r="J228" s="225">
        <v>154.13</v>
      </c>
      <c r="K228" s="223">
        <v>1041</v>
      </c>
      <c r="L228" s="197">
        <v>2.5000000000000001E-3</v>
      </c>
      <c r="M228" s="197">
        <v>8.3199999999999996E-2</v>
      </c>
      <c r="N228" s="13" t="s">
        <v>23</v>
      </c>
      <c r="O228" s="81">
        <v>6294949262</v>
      </c>
      <c r="P228" s="24">
        <f t="shared" si="175"/>
        <v>4.2683792530833056E-2</v>
      </c>
      <c r="Q228" s="13" t="s">
        <v>23</v>
      </c>
      <c r="R228" s="105">
        <v>154.53</v>
      </c>
      <c r="S228" s="13" t="s">
        <v>23</v>
      </c>
      <c r="T228" s="105">
        <v>154.53</v>
      </c>
      <c r="U228" s="25">
        <v>1050</v>
      </c>
      <c r="V228" s="56">
        <v>2.5000000000000001E-3</v>
      </c>
      <c r="W228" s="56">
        <v>8.3199999999999996E-2</v>
      </c>
      <c r="X228" s="20">
        <f t="shared" si="184"/>
        <v>4.5611362735900282E-4</v>
      </c>
      <c r="Y228" s="20">
        <f t="shared" si="185"/>
        <v>2.5952118341660006E-3</v>
      </c>
      <c r="Z228" s="20">
        <f t="shared" si="181"/>
        <v>8.6455331412103754E-3</v>
      </c>
      <c r="AA228" s="20">
        <f t="shared" si="182"/>
        <v>0</v>
      </c>
      <c r="AB228" s="21">
        <f t="shared" si="183"/>
        <v>0</v>
      </c>
    </row>
    <row r="229" spans="1:32">
      <c r="A229" s="201">
        <v>197</v>
      </c>
      <c r="B229" s="200" t="s">
        <v>290</v>
      </c>
      <c r="C229" s="12" t="s">
        <v>81</v>
      </c>
      <c r="D229" s="13" t="s">
        <v>23</v>
      </c>
      <c r="E229" s="81">
        <v>1025556652.8168499</v>
      </c>
      <c r="F229" s="24">
        <f t="shared" si="189"/>
        <v>6.9395029353026714E-3</v>
      </c>
      <c r="G229" s="13" t="s">
        <v>23</v>
      </c>
      <c r="H229" s="205">
        <v>1425.6389428769801</v>
      </c>
      <c r="I229" s="13" t="s">
        <v>23</v>
      </c>
      <c r="J229" s="205">
        <v>1425.6389428769801</v>
      </c>
      <c r="K229" s="223">
        <v>334</v>
      </c>
      <c r="L229" s="197">
        <v>0.1259570081712616</v>
      </c>
      <c r="M229" s="197">
        <v>0.12678228091685217</v>
      </c>
      <c r="N229" s="13" t="s">
        <v>23</v>
      </c>
      <c r="O229" s="36">
        <v>1035100858.5159</v>
      </c>
      <c r="P229" s="24">
        <f t="shared" si="175"/>
        <v>7.0186475624336581E-3</v>
      </c>
      <c r="Q229" s="13" t="s">
        <v>23</v>
      </c>
      <c r="R229" s="35">
        <v>1429.0840782806299</v>
      </c>
      <c r="S229" s="13" t="s">
        <v>23</v>
      </c>
      <c r="T229" s="35">
        <v>1429.0840782806299</v>
      </c>
      <c r="U229" s="25">
        <v>333</v>
      </c>
      <c r="V229" s="26">
        <v>0.12600609999316897</v>
      </c>
      <c r="W229" s="26">
        <v>0.12705512677859473</v>
      </c>
      <c r="X229" s="20">
        <f t="shared" si="179"/>
        <v>9.306366130857259E-3</v>
      </c>
      <c r="Y229" s="20">
        <f t="shared" si="180"/>
        <v>2.4165553423347477E-3</v>
      </c>
      <c r="Z229" s="20">
        <f t="shared" si="181"/>
        <v>-2.9940119760479044E-3</v>
      </c>
      <c r="AA229" s="20">
        <f t="shared" si="182"/>
        <v>4.9091821907376598E-5</v>
      </c>
      <c r="AB229" s="21">
        <f t="shared" si="183"/>
        <v>2.7284586174255998E-4</v>
      </c>
    </row>
    <row r="230" spans="1:32">
      <c r="A230" s="201">
        <v>198</v>
      </c>
      <c r="B230" s="200" t="s">
        <v>291</v>
      </c>
      <c r="C230" s="12" t="s">
        <v>279</v>
      </c>
      <c r="D230" s="13" t="s">
        <v>23</v>
      </c>
      <c r="E230" s="81">
        <v>52710668234.639984</v>
      </c>
      <c r="F230" s="24">
        <f t="shared" si="189"/>
        <v>0.35667053198022958</v>
      </c>
      <c r="G230" s="13" t="s">
        <v>23</v>
      </c>
      <c r="H230" s="205">
        <v>1303.078</v>
      </c>
      <c r="I230" s="13" t="s">
        <v>23</v>
      </c>
      <c r="J230" s="205">
        <v>1303.078</v>
      </c>
      <c r="K230" s="223">
        <v>14288</v>
      </c>
      <c r="L230" s="197">
        <v>2.458607592180812E-3</v>
      </c>
      <c r="M230" s="197">
        <v>9.430503265462914E-2</v>
      </c>
      <c r="N230" s="13" t="s">
        <v>23</v>
      </c>
      <c r="O230" s="36">
        <v>53204194242.75</v>
      </c>
      <c r="P230" s="24">
        <f t="shared" si="175"/>
        <v>0.36075855329549811</v>
      </c>
      <c r="Q230" s="13" t="s">
        <v>23</v>
      </c>
      <c r="R230" s="35">
        <v>1306.3124</v>
      </c>
      <c r="S230" s="13" t="s">
        <v>23</v>
      </c>
      <c r="T230" s="35">
        <v>1306.3124</v>
      </c>
      <c r="U230" s="25">
        <v>14366</v>
      </c>
      <c r="V230" s="26">
        <v>2.4821230962383299E-3</v>
      </c>
      <c r="W230" s="26">
        <v>9.6790165194006822E-2</v>
      </c>
      <c r="X230" s="20">
        <f t="shared" si="179"/>
        <v>9.3629245205752165E-3</v>
      </c>
      <c r="Y230" s="20">
        <f t="shared" si="180"/>
        <v>2.4821230962383299E-3</v>
      </c>
      <c r="Z230" s="20">
        <f t="shared" si="181"/>
        <v>5.4591265397536393E-3</v>
      </c>
      <c r="AA230" s="20">
        <f t="shared" si="182"/>
        <v>2.3515504057517941E-5</v>
      </c>
      <c r="AB230" s="21">
        <f t="shared" si="183"/>
        <v>2.4851325393776824E-3</v>
      </c>
    </row>
    <row r="231" spans="1:32">
      <c r="A231" s="201">
        <v>199</v>
      </c>
      <c r="B231" s="200" t="s">
        <v>292</v>
      </c>
      <c r="C231" s="12" t="s">
        <v>293</v>
      </c>
      <c r="D231" s="13" t="s">
        <v>23</v>
      </c>
      <c r="E231" s="194">
        <v>508000887.40474421</v>
      </c>
      <c r="F231" s="24">
        <f t="shared" si="189"/>
        <v>3.4374245826389745E-3</v>
      </c>
      <c r="G231" s="13" t="s">
        <v>23</v>
      </c>
      <c r="H231" s="226">
        <v>142.35</v>
      </c>
      <c r="I231" s="13" t="s">
        <v>23</v>
      </c>
      <c r="J231" s="226">
        <v>142.85</v>
      </c>
      <c r="K231" s="227">
        <v>144</v>
      </c>
      <c r="L231" s="197">
        <v>1.2999999999999999E-3</v>
      </c>
      <c r="M231" s="197">
        <v>0.17100000000000001</v>
      </c>
      <c r="N231" s="13" t="s">
        <v>23</v>
      </c>
      <c r="O231" s="194">
        <v>498003505.43001002</v>
      </c>
      <c r="P231" s="24">
        <f t="shared" si="175"/>
        <v>3.3767831035144157E-3</v>
      </c>
      <c r="Q231" s="13" t="s">
        <v>23</v>
      </c>
      <c r="R231" s="103">
        <v>141.37347706746601</v>
      </c>
      <c r="S231" s="13" t="s">
        <v>23</v>
      </c>
      <c r="T231" s="103">
        <v>141.87613958312301</v>
      </c>
      <c r="U231" s="61">
        <v>144</v>
      </c>
      <c r="V231" s="56">
        <v>-6.7999999999999996E-3</v>
      </c>
      <c r="W231" s="56">
        <v>0.16300000000000001</v>
      </c>
      <c r="X231" s="20">
        <f>((O231-E231)/E231)</f>
        <v>-1.9679851399095848E-2</v>
      </c>
      <c r="Y231" s="20">
        <f t="shared" si="180"/>
        <v>-6.8173637863282342E-3</v>
      </c>
      <c r="Z231" s="20">
        <f t="shared" si="181"/>
        <v>0</v>
      </c>
      <c r="AA231" s="20">
        <f t="shared" si="182"/>
        <v>-8.0999999999999996E-3</v>
      </c>
      <c r="AB231" s="21">
        <f t="shared" si="183"/>
        <v>-8.0000000000000071E-3</v>
      </c>
    </row>
    <row r="232" spans="1:32">
      <c r="A232" s="201">
        <v>200</v>
      </c>
      <c r="B232" s="200" t="s">
        <v>294</v>
      </c>
      <c r="C232" s="12" t="s">
        <v>293</v>
      </c>
      <c r="D232" s="13" t="s">
        <v>23</v>
      </c>
      <c r="E232" s="194">
        <v>1188027235.1571283</v>
      </c>
      <c r="F232" s="24">
        <f t="shared" si="189"/>
        <v>8.0388718292140303E-3</v>
      </c>
      <c r="G232" s="13" t="s">
        <v>23</v>
      </c>
      <c r="H232" s="226">
        <v>154.57</v>
      </c>
      <c r="I232" s="13" t="s">
        <v>23</v>
      </c>
      <c r="J232" s="226">
        <v>154.57</v>
      </c>
      <c r="K232" s="227">
        <v>157</v>
      </c>
      <c r="L232" s="197">
        <v>4.7000000000000002E-3</v>
      </c>
      <c r="M232" s="197">
        <v>0.13980000000000001</v>
      </c>
      <c r="N232" s="13" t="s">
        <v>23</v>
      </c>
      <c r="O232" s="194">
        <v>1233728377.54249</v>
      </c>
      <c r="P232" s="24">
        <f t="shared" si="175"/>
        <v>8.3654695081202251E-3</v>
      </c>
      <c r="Q232" s="13" t="s">
        <v>23</v>
      </c>
      <c r="R232" s="103">
        <v>155.27195776232401</v>
      </c>
      <c r="S232" s="13" t="s">
        <v>23</v>
      </c>
      <c r="T232" s="103">
        <v>155.27195776232401</v>
      </c>
      <c r="U232" s="61">
        <v>157</v>
      </c>
      <c r="V232" s="56">
        <v>4.4999999999999997E-3</v>
      </c>
      <c r="W232" s="56">
        <v>0.1449</v>
      </c>
      <c r="X232" s="20">
        <f t="shared" si="179"/>
        <v>3.8468093182491093E-2</v>
      </c>
      <c r="Y232" s="20">
        <f t="shared" si="180"/>
        <v>4.5413583640034538E-3</v>
      </c>
      <c r="Z232" s="20">
        <f t="shared" si="181"/>
        <v>0</v>
      </c>
      <c r="AA232" s="20">
        <f t="shared" si="182"/>
        <v>-2.0000000000000052E-4</v>
      </c>
      <c r="AB232" s="21">
        <f t="shared" si="183"/>
        <v>5.0999999999999934E-3</v>
      </c>
    </row>
    <row r="233" spans="1:32" ht="13.5" customHeight="1">
      <c r="A233" s="201">
        <v>201</v>
      </c>
      <c r="B233" s="200" t="s">
        <v>295</v>
      </c>
      <c r="C233" s="12" t="s">
        <v>114</v>
      </c>
      <c r="D233" s="13" t="s">
        <v>23</v>
      </c>
      <c r="E233" s="81">
        <v>4565957209.96</v>
      </c>
      <c r="F233" s="24">
        <f t="shared" si="189"/>
        <v>3.0895878227648138E-2</v>
      </c>
      <c r="G233" s="13" t="s">
        <v>23</v>
      </c>
      <c r="H233" s="228">
        <v>107.38</v>
      </c>
      <c r="I233" s="13" t="s">
        <v>23</v>
      </c>
      <c r="J233" s="228">
        <v>107.38</v>
      </c>
      <c r="K233" s="223">
        <v>1082</v>
      </c>
      <c r="L233" s="197">
        <v>3.8289677865649364E-3</v>
      </c>
      <c r="M233" s="197">
        <v>0.18283197664768774</v>
      </c>
      <c r="N233" s="13" t="s">
        <v>23</v>
      </c>
      <c r="O233" s="81">
        <v>4725487439</v>
      </c>
      <c r="P233" s="24">
        <f t="shared" si="175"/>
        <v>3.2041834978865258E-2</v>
      </c>
      <c r="Q233" s="13" t="s">
        <v>23</v>
      </c>
      <c r="R233" s="67">
        <v>107.7</v>
      </c>
      <c r="S233" s="13" t="s">
        <v>23</v>
      </c>
      <c r="T233" s="67">
        <v>107.7</v>
      </c>
      <c r="U233" s="25">
        <v>1101</v>
      </c>
      <c r="V233" s="56">
        <v>3.0000000000000001E-3</v>
      </c>
      <c r="W233" s="56">
        <v>0.18210000000000001</v>
      </c>
      <c r="X233" s="20">
        <f t="shared" si="179"/>
        <v>3.4939054770817164E-2</v>
      </c>
      <c r="Y233" s="20">
        <f t="shared" si="180"/>
        <v>2.9800707766810151E-3</v>
      </c>
      <c r="Z233" s="20">
        <f t="shared" si="181"/>
        <v>1.756007393715342E-2</v>
      </c>
      <c r="AA233" s="20">
        <f t="shared" si="182"/>
        <v>-8.2896778656493635E-4</v>
      </c>
      <c r="AB233" s="21">
        <f t="shared" si="183"/>
        <v>-7.3197664768773207E-4</v>
      </c>
    </row>
    <row r="234" spans="1:32" ht="15.75" customHeight="1">
      <c r="A234" s="201">
        <v>202</v>
      </c>
      <c r="B234" s="200" t="s">
        <v>296</v>
      </c>
      <c r="C234" s="193" t="s">
        <v>55</v>
      </c>
      <c r="D234" s="13" t="s">
        <v>23</v>
      </c>
      <c r="E234" s="81">
        <v>2756806896.0599999</v>
      </c>
      <c r="F234" s="24">
        <f t="shared" si="189"/>
        <v>1.8654132362873492E-2</v>
      </c>
      <c r="G234" s="13" t="s">
        <v>23</v>
      </c>
      <c r="H234" s="228">
        <v>157.96</v>
      </c>
      <c r="I234" s="13" t="s">
        <v>23</v>
      </c>
      <c r="J234" s="228">
        <v>157.96</v>
      </c>
      <c r="K234" s="223">
        <v>3916</v>
      </c>
      <c r="L234" s="197">
        <v>4.2596477843472999E-3</v>
      </c>
      <c r="M234" s="197">
        <v>0.15629999999999999</v>
      </c>
      <c r="N234" s="13" t="s">
        <v>23</v>
      </c>
      <c r="O234" s="81">
        <v>2805896206.96</v>
      </c>
      <c r="P234" s="24">
        <f t="shared" si="175"/>
        <v>1.9025775518781624E-2</v>
      </c>
      <c r="Q234" s="13" t="s">
        <v>23</v>
      </c>
      <c r="R234" s="67">
        <v>158.22</v>
      </c>
      <c r="S234" s="13" t="s">
        <v>23</v>
      </c>
      <c r="T234" s="67">
        <v>158.22</v>
      </c>
      <c r="U234" s="25">
        <v>3984</v>
      </c>
      <c r="V234" s="56">
        <v>1.6000000000000001E-3</v>
      </c>
      <c r="W234" s="56">
        <v>0.15429999999999999</v>
      </c>
      <c r="X234" s="20">
        <f t="shared" si="179"/>
        <v>1.7806583032768105E-2</v>
      </c>
      <c r="Y234" s="20">
        <f t="shared" si="180"/>
        <v>1.6459863256520061E-3</v>
      </c>
      <c r="Z234" s="20">
        <f t="shared" si="181"/>
        <v>1.7364657814096015E-2</v>
      </c>
      <c r="AA234" s="20">
        <f t="shared" si="182"/>
        <v>-2.6596477843473E-3</v>
      </c>
      <c r="AB234" s="21">
        <f t="shared" si="183"/>
        <v>-2.0000000000000018E-3</v>
      </c>
    </row>
    <row r="235" spans="1:32">
      <c r="A235" s="201">
        <v>203</v>
      </c>
      <c r="B235" s="200" t="s">
        <v>297</v>
      </c>
      <c r="C235" s="12" t="s">
        <v>58</v>
      </c>
      <c r="D235" s="13" t="s">
        <v>23</v>
      </c>
      <c r="E235" s="81">
        <v>4164748234.9400001</v>
      </c>
      <c r="F235" s="24">
        <f t="shared" si="189"/>
        <v>2.8181068809588341E-2</v>
      </c>
      <c r="G235" s="13" t="s">
        <v>23</v>
      </c>
      <c r="H235" s="228">
        <v>1.1700900000000001</v>
      </c>
      <c r="I235" s="13" t="s">
        <v>23</v>
      </c>
      <c r="J235" s="228">
        <v>1.1700900000000001</v>
      </c>
      <c r="K235" s="223">
        <v>2425</v>
      </c>
      <c r="L235" s="197">
        <v>2.0999999999999999E-3</v>
      </c>
      <c r="M235" s="197">
        <v>0.12189999999999999</v>
      </c>
      <c r="N235" s="13" t="s">
        <v>23</v>
      </c>
      <c r="O235" s="81">
        <v>4169390494.04</v>
      </c>
      <c r="P235" s="24">
        <f t="shared" si="175"/>
        <v>2.8271141103858335E-2</v>
      </c>
      <c r="Q235" s="13" t="s">
        <v>23</v>
      </c>
      <c r="R235" s="67">
        <v>1.17265</v>
      </c>
      <c r="S235" s="13" t="s">
        <v>23</v>
      </c>
      <c r="T235" s="67">
        <v>1.17265</v>
      </c>
      <c r="U235" s="25">
        <v>2431</v>
      </c>
      <c r="V235" s="56">
        <v>1.1726500000000001E-2</v>
      </c>
      <c r="W235" s="56">
        <v>1.1726500000000001E-2</v>
      </c>
      <c r="X235" s="20">
        <f t="shared" si="179"/>
        <v>1.1146553976669814E-3</v>
      </c>
      <c r="Y235" s="20">
        <f t="shared" si="180"/>
        <v>2.1878658906578944E-3</v>
      </c>
      <c r="Z235" s="20">
        <f t="shared" si="181"/>
        <v>2.4742268041237111E-3</v>
      </c>
      <c r="AA235" s="20">
        <f t="shared" si="182"/>
        <v>9.6265000000000014E-3</v>
      </c>
      <c r="AB235" s="21">
        <f t="shared" si="183"/>
        <v>-0.11017349999999999</v>
      </c>
    </row>
    <row r="236" spans="1:32" ht="4.95" customHeight="1">
      <c r="B236" s="259"/>
      <c r="C236" s="259"/>
      <c r="D236" s="259"/>
      <c r="E236" s="259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</row>
    <row r="237" spans="1:32">
      <c r="A237" s="74"/>
      <c r="B237" s="263" t="s">
        <v>298</v>
      </c>
      <c r="C237" s="263"/>
      <c r="D237" s="263"/>
      <c r="E237" s="263"/>
      <c r="F237" s="263"/>
      <c r="G237" s="263"/>
      <c r="H237" s="263"/>
      <c r="I237" s="263"/>
      <c r="J237" s="263"/>
      <c r="K237" s="263"/>
      <c r="L237" s="263"/>
      <c r="M237" s="263"/>
      <c r="N237" s="263"/>
      <c r="O237" s="263"/>
      <c r="P237" s="263"/>
      <c r="Q237" s="263"/>
      <c r="R237" s="263"/>
      <c r="S237" s="263"/>
      <c r="T237" s="263"/>
      <c r="U237" s="263"/>
      <c r="V237" s="263"/>
      <c r="W237" s="263"/>
      <c r="X237" s="263"/>
      <c r="Y237" s="263"/>
      <c r="Z237" s="263"/>
      <c r="AA237" s="263"/>
      <c r="AB237" s="263"/>
    </row>
    <row r="238" spans="1:32">
      <c r="A238" s="201">
        <v>204</v>
      </c>
      <c r="B238" s="200" t="s">
        <v>299</v>
      </c>
      <c r="C238" s="12" t="s">
        <v>22</v>
      </c>
      <c r="D238" s="13" t="s">
        <v>23</v>
      </c>
      <c r="E238" s="101">
        <v>648204818.58000004</v>
      </c>
      <c r="F238" s="24">
        <f>(E238/$E$213)</f>
        <v>3.2973427628681495E-2</v>
      </c>
      <c r="G238" s="13" t="s">
        <v>23</v>
      </c>
      <c r="H238" s="225">
        <v>118.7423</v>
      </c>
      <c r="I238" s="13" t="s">
        <v>23</v>
      </c>
      <c r="J238" s="225">
        <v>118.7423</v>
      </c>
      <c r="K238" s="18">
        <v>105</v>
      </c>
      <c r="L238" s="19">
        <v>-8.0999999999999996E-3</v>
      </c>
      <c r="M238" s="19">
        <v>0.13220000000000001</v>
      </c>
      <c r="N238" s="13" t="s">
        <v>23</v>
      </c>
      <c r="O238" s="101">
        <v>658789204.24000001</v>
      </c>
      <c r="P238" s="64">
        <f>(O238/O239)</f>
        <v>3.7685355470625161E-2</v>
      </c>
      <c r="Q238" s="13" t="s">
        <v>23</v>
      </c>
      <c r="R238" s="105">
        <v>118.69029999999999</v>
      </c>
      <c r="S238" s="13" t="s">
        <v>23</v>
      </c>
      <c r="T238" s="105">
        <v>118.69029999999999</v>
      </c>
      <c r="U238" s="16">
        <v>105</v>
      </c>
      <c r="V238" s="19">
        <v>-4.0000000000000002E-4</v>
      </c>
      <c r="W238" s="19">
        <v>0.13170000000000001</v>
      </c>
      <c r="X238" s="20">
        <f>((O238-E238)/E238)</f>
        <v>1.6328767322629313E-2</v>
      </c>
      <c r="Y238" s="20">
        <f t="shared" ref="Y238" si="190">((T238-J238)/J238)</f>
        <v>-4.3792313270002946E-4</v>
      </c>
      <c r="Z238" s="20">
        <f t="shared" ref="Z238" si="191">((U238-K238)/K238)</f>
        <v>0</v>
      </c>
      <c r="AA238" s="20">
        <f t="shared" ref="AA238" si="192">V238-L238</f>
        <v>7.6999999999999994E-3</v>
      </c>
      <c r="AB238" s="21">
        <f t="shared" ref="AB238" si="193">W238-M238</f>
        <v>-5.0000000000000044E-4</v>
      </c>
      <c r="AD238" s="106"/>
      <c r="AE238" s="107"/>
    </row>
    <row r="239" spans="1:32">
      <c r="A239" s="201">
        <v>205</v>
      </c>
      <c r="B239" s="200" t="s">
        <v>300</v>
      </c>
      <c r="C239" s="12" t="s">
        <v>27</v>
      </c>
      <c r="D239" s="13" t="s">
        <v>23</v>
      </c>
      <c r="E239" s="101">
        <v>17666564259.66</v>
      </c>
      <c r="F239" s="24">
        <f>(E239/$E$213)</f>
        <v>0.89867764226046987</v>
      </c>
      <c r="G239" s="13" t="s">
        <v>23</v>
      </c>
      <c r="H239" s="225">
        <v>147.36269999999999</v>
      </c>
      <c r="I239" s="13" t="s">
        <v>23</v>
      </c>
      <c r="J239" s="225">
        <v>151.79111889999999</v>
      </c>
      <c r="K239" s="18">
        <v>8224</v>
      </c>
      <c r="L239" s="19">
        <v>-8.3400000000000002E-2</v>
      </c>
      <c r="M239" s="19">
        <v>0.69169999999999998</v>
      </c>
      <c r="N239" s="13" t="s">
        <v>23</v>
      </c>
      <c r="O239" s="101">
        <v>17481305297.849998</v>
      </c>
      <c r="P239" s="64">
        <f>(O239/$O$213)</f>
        <v>0.90980902164107047</v>
      </c>
      <c r="Q239" s="13" t="s">
        <v>23</v>
      </c>
      <c r="R239" s="105">
        <v>146.33359999999999</v>
      </c>
      <c r="S239" s="13" t="s">
        <v>23</v>
      </c>
      <c r="T239" s="105">
        <v>150.73091890000001</v>
      </c>
      <c r="U239" s="18">
        <v>8294</v>
      </c>
      <c r="V239" s="19">
        <v>-7.0000000000000001E-3</v>
      </c>
      <c r="W239" s="19">
        <v>-0.36420000000000002</v>
      </c>
      <c r="X239" s="20">
        <f>((O239-E239)/E239)</f>
        <v>-1.0486417114674835E-2</v>
      </c>
      <c r="Y239" s="20">
        <f t="shared" ref="Y239" si="194">((T239-J239)/J239)</f>
        <v>-6.984598359133517E-3</v>
      </c>
      <c r="Z239" s="20">
        <f t="shared" ref="Z239" si="195">((U239-K239)/K239)</f>
        <v>8.511673151750972E-3</v>
      </c>
      <c r="AA239" s="20">
        <f t="shared" ref="AA239" si="196">V239-L239</f>
        <v>7.6399999999999996E-2</v>
      </c>
      <c r="AB239" s="21">
        <f t="shared" ref="AB239" si="197">W239-M239</f>
        <v>-1.0559000000000001</v>
      </c>
      <c r="AC239" s="31"/>
      <c r="AD239" s="31"/>
      <c r="AE239" s="31"/>
      <c r="AF239" s="9"/>
    </row>
    <row r="240" spans="1:32">
      <c r="A240" s="201">
        <v>206</v>
      </c>
      <c r="B240" s="200" t="s">
        <v>301</v>
      </c>
      <c r="C240" s="12" t="s">
        <v>279</v>
      </c>
      <c r="D240" s="13" t="s">
        <v>23</v>
      </c>
      <c r="E240" s="81">
        <v>407351551.46000004</v>
      </c>
      <c r="F240" s="24">
        <f t="shared" ref="F240" si="198">(E240/$E$242)</f>
        <v>2.7563736038301507E-3</v>
      </c>
      <c r="G240" s="13" t="s">
        <v>23</v>
      </c>
      <c r="H240" s="205">
        <v>1589.1139049570336</v>
      </c>
      <c r="I240" s="13" t="s">
        <v>23</v>
      </c>
      <c r="J240" s="205">
        <v>1589.1139049570336</v>
      </c>
      <c r="K240" s="223">
        <v>183</v>
      </c>
      <c r="L240" s="197">
        <v>-5.3906708789636442E-3</v>
      </c>
      <c r="M240" s="197">
        <v>0.2732804796944851</v>
      </c>
      <c r="N240" s="13" t="s">
        <v>23</v>
      </c>
      <c r="O240" s="36">
        <v>406915363.39000005</v>
      </c>
      <c r="P240" s="24">
        <f t="shared" ref="P240" si="199">(O240/$O$242)</f>
        <v>2.7591470916842639E-3</v>
      </c>
      <c r="Q240" s="13" t="s">
        <v>23</v>
      </c>
      <c r="R240" s="35">
        <v>1586.849833946666</v>
      </c>
      <c r="S240" s="13" t="s">
        <v>23</v>
      </c>
      <c r="T240" s="35">
        <v>1586.849833946666</v>
      </c>
      <c r="U240" s="25">
        <v>183</v>
      </c>
      <c r="V240" s="26">
        <v>-1.4247380274662134E-3</v>
      </c>
      <c r="W240" s="26">
        <v>0.27146638857543393</v>
      </c>
      <c r="X240" s="20">
        <f t="shared" ref="X240" si="200">((O240-E240)/E240)</f>
        <v>-1.0707902509187433E-3</v>
      </c>
      <c r="Y240" s="20">
        <f t="shared" ref="Y240" si="201">((T240-J240)/J240)</f>
        <v>-1.4247380274662134E-3</v>
      </c>
      <c r="Z240" s="20">
        <f t="shared" ref="Z240" si="202">((U240-K240)/K240)</f>
        <v>0</v>
      </c>
      <c r="AA240" s="20">
        <f t="shared" ref="AA240" si="203">V240-L240</f>
        <v>3.9659328514974309E-3</v>
      </c>
      <c r="AB240" s="21">
        <f t="shared" ref="AB240" si="204">W240-M240</f>
        <v>-1.8140911190511755E-3</v>
      </c>
      <c r="AD240" s="108"/>
    </row>
    <row r="241" spans="1:33">
      <c r="A241" s="206">
        <v>207</v>
      </c>
      <c r="B241" s="207" t="s">
        <v>302</v>
      </c>
      <c r="C241" s="193" t="s">
        <v>303</v>
      </c>
      <c r="D241" s="13" t="s">
        <v>23</v>
      </c>
      <c r="E241" s="81">
        <v>206233660.50999999</v>
      </c>
      <c r="F241" s="24">
        <f t="shared" ref="F241" si="205">(E241/$E$242)</f>
        <v>1.3954949134564725E-3</v>
      </c>
      <c r="G241" s="13" t="s">
        <v>23</v>
      </c>
      <c r="H241" s="205">
        <v>137.88</v>
      </c>
      <c r="I241" s="13" t="s">
        <v>23</v>
      </c>
      <c r="J241" s="205">
        <v>140.72</v>
      </c>
      <c r="K241" s="223">
        <v>353</v>
      </c>
      <c r="L241" s="197">
        <v>4.0000000000000002E-4</v>
      </c>
      <c r="M241" s="197">
        <v>0.23150000000000001</v>
      </c>
      <c r="N241" s="13" t="s">
        <v>23</v>
      </c>
      <c r="O241" s="36">
        <v>209539022.19</v>
      </c>
      <c r="P241" s="24">
        <f t="shared" ref="P241" si="206">(O241/$O$242)</f>
        <v>1.4208089339595353E-3</v>
      </c>
      <c r="Q241" s="13" t="s">
        <v>23</v>
      </c>
      <c r="R241" s="35">
        <v>138.28</v>
      </c>
      <c r="S241" s="13" t="s">
        <v>23</v>
      </c>
      <c r="T241" s="35">
        <v>141.13</v>
      </c>
      <c r="U241" s="25">
        <v>353</v>
      </c>
      <c r="V241" s="26">
        <v>2.8999999999999998E-3</v>
      </c>
      <c r="W241" s="26">
        <v>0.23039999999999999</v>
      </c>
      <c r="X241" s="20">
        <f t="shared" ref="X241" si="207">((O241-E241)/E241)</f>
        <v>1.6027265732597201E-2</v>
      </c>
      <c r="Y241" s="20">
        <f t="shared" ref="Y241" si="208">((T241-J241)/J241)</f>
        <v>2.9135872654917324E-3</v>
      </c>
      <c r="Z241" s="20">
        <f t="shared" ref="Z241" si="209">((U241-K241)/K241)</f>
        <v>0</v>
      </c>
      <c r="AA241" s="20">
        <f t="shared" ref="AA241" si="210">V241-L241</f>
        <v>2.4999999999999996E-3</v>
      </c>
      <c r="AB241" s="21">
        <f t="shared" ref="AB241" si="211">W241-M241</f>
        <v>-1.1000000000000176E-3</v>
      </c>
    </row>
    <row r="242" spans="1:33">
      <c r="A242" s="109"/>
      <c r="B242" s="94"/>
      <c r="C242" s="90" t="s">
        <v>63</v>
      </c>
      <c r="D242" s="46" t="s">
        <v>23</v>
      </c>
      <c r="E242" s="65">
        <f>SUM(E217:E241)</f>
        <v>147785318686.10263</v>
      </c>
      <c r="F242" s="48">
        <f>(E242/$E$243)</f>
        <v>1.565396792664777E-2</v>
      </c>
      <c r="G242" s="46" t="s">
        <v>23</v>
      </c>
      <c r="H242" s="49"/>
      <c r="I242" s="46" t="s">
        <v>23</v>
      </c>
      <c r="J242" s="95"/>
      <c r="K242" s="110">
        <f>SUM(K217:K241)</f>
        <v>62056</v>
      </c>
      <c r="L242" s="96"/>
      <c r="M242" s="96"/>
      <c r="N242" s="13" t="s">
        <v>23</v>
      </c>
      <c r="O242" s="65">
        <f>SUM(O217:O241)</f>
        <v>147478677239.20694</v>
      </c>
      <c r="P242" s="48">
        <f>(O242/$O$243)</f>
        <v>1.5588274588857818E-2</v>
      </c>
      <c r="Q242" s="13" t="s">
        <v>23</v>
      </c>
      <c r="R242" s="49"/>
      <c r="S242" s="13" t="s">
        <v>23</v>
      </c>
      <c r="T242" s="95"/>
      <c r="U242" s="51">
        <f>SUM(U217:U241)</f>
        <v>62486</v>
      </c>
      <c r="V242" s="96"/>
      <c r="W242" s="96"/>
      <c r="X242" s="20">
        <f t="shared" si="179"/>
        <v>-2.0749114297814665E-3</v>
      </c>
      <c r="Y242" s="20" t="e">
        <f t="shared" si="180"/>
        <v>#DIV/0!</v>
      </c>
      <c r="Z242" s="20">
        <f t="shared" si="181"/>
        <v>6.9292252159339953E-3</v>
      </c>
      <c r="AA242" s="20">
        <f t="shared" si="182"/>
        <v>0</v>
      </c>
      <c r="AB242" s="21">
        <f t="shared" si="183"/>
        <v>0</v>
      </c>
    </row>
    <row r="243" spans="1:33">
      <c r="A243" s="111"/>
      <c r="B243" s="112"/>
      <c r="C243" s="113" t="s">
        <v>304</v>
      </c>
      <c r="D243" s="113"/>
      <c r="E243" s="114">
        <f>SUM(E28,E79,E120,E164,E173,E207,E213,E242)</f>
        <v>9440757728558.2324</v>
      </c>
      <c r="F243" s="115"/>
      <c r="G243" s="115"/>
      <c r="H243" s="115"/>
      <c r="I243" s="115"/>
      <c r="J243" s="116"/>
      <c r="K243" s="114">
        <f>SUM(K28,K79,K120,K164,K173,K207,K213,K242)</f>
        <v>1504867</v>
      </c>
      <c r="L243" s="117"/>
      <c r="M243" s="117"/>
      <c r="N243" s="117"/>
      <c r="O243" s="114">
        <f>SUM(O28,O79,O120,O164,O173,O207,O213,O242)</f>
        <v>9460872426806.0879</v>
      </c>
      <c r="P243" s="115"/>
      <c r="Q243" s="115"/>
      <c r="R243" s="115"/>
      <c r="S243" s="115"/>
      <c r="T243" s="116"/>
      <c r="U243" s="114">
        <f>SUM(U28,U79,U120,U164,U173,U207,U213,U242)</f>
        <v>1518243</v>
      </c>
      <c r="V243" s="118"/>
      <c r="W243" s="114"/>
      <c r="X243" s="119">
        <f t="shared" si="179"/>
        <v>2.1306232853543772E-3</v>
      </c>
      <c r="Y243" s="119"/>
      <c r="Z243" s="119"/>
      <c r="AA243" s="119"/>
      <c r="AB243" s="119"/>
    </row>
    <row r="244" spans="1:33" ht="6.75" customHeight="1">
      <c r="B244" s="259"/>
      <c r="C244" s="259"/>
      <c r="D244" s="259"/>
      <c r="E244" s="259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44"/>
    </row>
    <row r="245" spans="1:33" ht="14.4" customHeight="1">
      <c r="A245" s="11"/>
      <c r="B245" s="262" t="s">
        <v>305</v>
      </c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Q245" s="262"/>
      <c r="R245" s="262"/>
      <c r="S245" s="262"/>
      <c r="T245" s="262"/>
      <c r="U245" s="262"/>
      <c r="V245" s="262"/>
      <c r="W245" s="262"/>
      <c r="X245" s="262"/>
      <c r="Y245" s="262"/>
      <c r="Z245" s="262"/>
      <c r="AA245" s="262"/>
      <c r="AB245" s="262"/>
    </row>
    <row r="246" spans="1:33" ht="14.4" customHeight="1">
      <c r="A246" s="206">
        <v>1</v>
      </c>
      <c r="B246" s="207" t="s">
        <v>306</v>
      </c>
      <c r="C246" s="12" t="s">
        <v>27</v>
      </c>
      <c r="D246" s="78">
        <v>2026026.35</v>
      </c>
      <c r="E246" s="36">
        <v>2765951433.2835002</v>
      </c>
      <c r="F246" s="24">
        <f t="shared" ref="F246" si="212">(E246/$E$242)</f>
        <v>1.8716009532438106E-2</v>
      </c>
      <c r="G246" s="79">
        <v>1.064536111</v>
      </c>
      <c r="H246" s="35">
        <v>1453.3153440983101</v>
      </c>
      <c r="I246" s="79">
        <v>1.0631361109999999</v>
      </c>
      <c r="J246" s="35">
        <v>1451.4040500983099</v>
      </c>
      <c r="K246" s="25">
        <v>67</v>
      </c>
      <c r="L246" s="56">
        <v>4.4900000000000002E-2</v>
      </c>
      <c r="M246" s="56">
        <v>6.8699999999999997E-2</v>
      </c>
      <c r="N246" s="79">
        <v>2034384.46</v>
      </c>
      <c r="O246" s="36">
        <f>2034384.46*1359.63</f>
        <v>2766010143.3498001</v>
      </c>
      <c r="P246" s="24">
        <f t="shared" ref="P246:P251" si="213">(O246/$O$252)</f>
        <v>5.2055021797760066E-2</v>
      </c>
      <c r="Q246" s="79">
        <v>1.0657361110000001</v>
      </c>
      <c r="R246" s="35">
        <f>1.065736111*1359.63</f>
        <v>1449.0067885989301</v>
      </c>
      <c r="S246" s="79">
        <v>1.0657361110000001</v>
      </c>
      <c r="T246" s="35">
        <f>1.065736111*1359.63</f>
        <v>1449.0067885989301</v>
      </c>
      <c r="U246" s="25">
        <v>69</v>
      </c>
      <c r="V246" s="56">
        <v>4.5400000000000003E-2</v>
      </c>
      <c r="W246" s="56">
        <v>5.8799999999999998E-2</v>
      </c>
      <c r="X246" s="20">
        <f t="shared" ref="X246" si="214">((O246-E246)/E246)</f>
        <v>2.1225993194761108E-5</v>
      </c>
      <c r="Y246" s="20">
        <f t="shared" ref="Y246" si="215">((T246-J246)/J246)</f>
        <v>-1.6516844494249283E-3</v>
      </c>
      <c r="Z246" s="20">
        <f t="shared" ref="Z246" si="216">((U246-K246)/K246)</f>
        <v>2.9850746268656716E-2</v>
      </c>
      <c r="AA246" s="20">
        <f t="shared" ref="AA246" si="217">V246-L246</f>
        <v>5.0000000000000044E-4</v>
      </c>
      <c r="AB246" s="21">
        <f t="shared" ref="AB246" si="218">W246-M246</f>
        <v>-9.8999999999999991E-3</v>
      </c>
    </row>
    <row r="247" spans="1:33" ht="14.4" customHeight="1">
      <c r="A247" s="201">
        <v>2</v>
      </c>
      <c r="B247" s="200" t="s">
        <v>307</v>
      </c>
      <c r="C247" s="12" t="s">
        <v>228</v>
      </c>
      <c r="D247" s="120" t="s">
        <v>23</v>
      </c>
      <c r="E247" s="36">
        <v>15621139056.25</v>
      </c>
      <c r="F247" s="24">
        <f t="shared" ref="F247" si="219">(E247/$E$242)</f>
        <v>0.10570156220611766</v>
      </c>
      <c r="G247" s="120" t="s">
        <v>23</v>
      </c>
      <c r="H247" s="35">
        <v>123.2</v>
      </c>
      <c r="I247" s="120" t="s">
        <v>23</v>
      </c>
      <c r="J247" s="35">
        <v>123.2</v>
      </c>
      <c r="K247" s="25">
        <v>11</v>
      </c>
      <c r="L247" s="56">
        <v>3.5999999999999999E-3</v>
      </c>
      <c r="M247" s="56">
        <v>2.7976000000000001</v>
      </c>
      <c r="N247" s="120" t="s">
        <v>23</v>
      </c>
      <c r="O247" s="36">
        <v>15677853486.200001</v>
      </c>
      <c r="P247" s="24">
        <f t="shared" si="213"/>
        <v>0.29504989594068209</v>
      </c>
      <c r="Q247" s="120" t="s">
        <v>23</v>
      </c>
      <c r="R247" s="35">
        <v>123.2</v>
      </c>
      <c r="S247" s="120" t="s">
        <v>23</v>
      </c>
      <c r="T247" s="35">
        <v>123.2</v>
      </c>
      <c r="U247" s="25">
        <v>11</v>
      </c>
      <c r="V247" s="26">
        <v>3.630620644613581E-3</v>
      </c>
      <c r="W247" s="26">
        <v>2.8113836549800451</v>
      </c>
      <c r="X247" s="20">
        <f t="shared" ref="X247" si="220">((O247-E247)/E247)</f>
        <v>3.630620644613581E-3</v>
      </c>
      <c r="Y247" s="20">
        <f t="shared" ref="Y247" si="221">((T247-J247)/J247)</f>
        <v>0</v>
      </c>
      <c r="Z247" s="20">
        <f t="shared" ref="Z247" si="222">((U247-K247)/K247)</f>
        <v>0</v>
      </c>
      <c r="AA247" s="20">
        <f t="shared" ref="AA247" si="223">V247-L247</f>
        <v>3.0620644613581129E-5</v>
      </c>
      <c r="AB247" s="21">
        <f t="shared" ref="AB247" si="224">W247-M247</f>
        <v>1.3783654980044968E-2</v>
      </c>
      <c r="AD247" s="10"/>
      <c r="AE247" s="121"/>
      <c r="AG247" s="10"/>
    </row>
    <row r="248" spans="1:33" ht="14.4" customHeight="1">
      <c r="A248" s="201">
        <v>3</v>
      </c>
      <c r="B248" s="200" t="s">
        <v>308</v>
      </c>
      <c r="C248" s="12" t="s">
        <v>37</v>
      </c>
      <c r="D248" s="120" t="s">
        <v>23</v>
      </c>
      <c r="E248" s="36">
        <v>11271527852.1</v>
      </c>
      <c r="F248" s="24">
        <f>(E248/$E$242)</f>
        <v>7.6269604804526145E-2</v>
      </c>
      <c r="G248" s="120" t="s">
        <v>23</v>
      </c>
      <c r="H248" s="35">
        <v>1.081</v>
      </c>
      <c r="I248" s="120" t="s">
        <v>23</v>
      </c>
      <c r="J248" s="35">
        <v>1.081</v>
      </c>
      <c r="K248" s="25">
        <v>16</v>
      </c>
      <c r="L248" s="56">
        <v>1.9199999999999998E-2</v>
      </c>
      <c r="M248" s="56">
        <v>0.29170000000000001</v>
      </c>
      <c r="N248" s="120" t="s">
        <v>23</v>
      </c>
      <c r="O248" s="81">
        <v>32072655915.189999</v>
      </c>
      <c r="P248" s="24">
        <f t="shared" si="213"/>
        <v>0.60359243685034347</v>
      </c>
      <c r="Q248" s="120" t="s">
        <v>23</v>
      </c>
      <c r="R248" s="35">
        <v>1.1100000000000001</v>
      </c>
      <c r="S248" s="120" t="s">
        <v>23</v>
      </c>
      <c r="T248" s="35">
        <v>1.1100000000000001</v>
      </c>
      <c r="U248" s="25">
        <v>57</v>
      </c>
      <c r="V248" s="56">
        <v>4.6699999999999998E-2</v>
      </c>
      <c r="W248" s="56">
        <v>0.12089999999999999</v>
      </c>
      <c r="X248" s="20">
        <f>((O248-E248)/E248)</f>
        <v>1.845457717536894</v>
      </c>
      <c r="Y248" s="20">
        <f>((T248-J248)/J248)</f>
        <v>2.6827012025902069E-2</v>
      </c>
      <c r="Z248" s="20">
        <f>((U248-K248)/K248)</f>
        <v>2.5625</v>
      </c>
      <c r="AA248" s="20">
        <f>V248-L248</f>
        <v>2.75E-2</v>
      </c>
      <c r="AB248" s="21">
        <f>W248-M248</f>
        <v>-0.17080000000000001</v>
      </c>
      <c r="AD248" s="97"/>
      <c r="AE248" s="121"/>
      <c r="AG248" s="97"/>
    </row>
    <row r="249" spans="1:33" ht="14.4" customHeight="1">
      <c r="A249" s="201">
        <v>4</v>
      </c>
      <c r="B249" s="200" t="s">
        <v>309</v>
      </c>
      <c r="C249" s="12" t="s">
        <v>39</v>
      </c>
      <c r="D249" s="78">
        <v>927402.5</v>
      </c>
      <c r="E249" s="36">
        <v>1267833409.7</v>
      </c>
      <c r="F249" s="24">
        <f>(E249/$E$242)</f>
        <v>8.578886055609419E-3</v>
      </c>
      <c r="G249" s="35">
        <v>113.18</v>
      </c>
      <c r="H249" s="35">
        <v>154726.11439999999</v>
      </c>
      <c r="I249" s="35">
        <v>113.18</v>
      </c>
      <c r="J249" s="35">
        <v>154726.11439999999</v>
      </c>
      <c r="K249" s="25">
        <v>18</v>
      </c>
      <c r="L249" s="56">
        <v>7.7000000000000002E-3</v>
      </c>
      <c r="M249" s="62">
        <v>1.24E-2</v>
      </c>
      <c r="N249" s="79">
        <v>932641.59</v>
      </c>
      <c r="O249" s="36">
        <f>932641.59*1358.63</f>
        <v>1267114843.4217</v>
      </c>
      <c r="P249" s="24">
        <f t="shared" si="213"/>
        <v>2.3846510813839924E-2</v>
      </c>
      <c r="Q249" s="35">
        <v>113.82</v>
      </c>
      <c r="R249" s="35">
        <f>113.82*1358.63</f>
        <v>154639.2666</v>
      </c>
      <c r="S249" s="35">
        <v>113.82</v>
      </c>
      <c r="T249" s="35">
        <f>113.82*1358.82</f>
        <v>154660.89239999998</v>
      </c>
      <c r="U249" s="25">
        <v>18</v>
      </c>
      <c r="V249" s="56">
        <v>5.7000000000000002E-3</v>
      </c>
      <c r="W249" s="62">
        <v>1.8200000000000001E-2</v>
      </c>
      <c r="X249" s="20">
        <f t="shared" ref="X249" si="225">((O249-E249)/E249)</f>
        <v>-5.6676711057021046E-4</v>
      </c>
      <c r="Y249" s="20">
        <f t="shared" ref="Y249" si="226">((T249-J249)/J249)</f>
        <v>-4.2153194535342672E-4</v>
      </c>
      <c r="Z249" s="20">
        <f t="shared" ref="Z249" si="227">((U249-K249)/K249)</f>
        <v>0</v>
      </c>
      <c r="AA249" s="20">
        <f t="shared" ref="AA249" si="228">V249-L249</f>
        <v>-2E-3</v>
      </c>
      <c r="AB249" s="21">
        <f t="shared" ref="AB249" si="229">W249-M249</f>
        <v>5.8000000000000013E-3</v>
      </c>
      <c r="AD249" s="31"/>
    </row>
    <row r="250" spans="1:33" ht="14.4" customHeight="1">
      <c r="A250" s="204">
        <v>5</v>
      </c>
      <c r="B250" s="200" t="s">
        <v>310</v>
      </c>
      <c r="C250" s="12" t="s">
        <v>58</v>
      </c>
      <c r="D250" s="120" t="s">
        <v>23</v>
      </c>
      <c r="E250" s="36">
        <v>486872899.87</v>
      </c>
      <c r="F250" s="24">
        <f t="shared" ref="F250" si="230">(E250/$E$242)</f>
        <v>3.2944605336888877E-3</v>
      </c>
      <c r="G250" s="120" t="s">
        <v>23</v>
      </c>
      <c r="H250" s="35">
        <v>1.48746</v>
      </c>
      <c r="I250" s="120" t="s">
        <v>23</v>
      </c>
      <c r="J250" s="35">
        <v>1.48746</v>
      </c>
      <c r="K250" s="25">
        <v>61</v>
      </c>
      <c r="L250" s="56">
        <v>1.5E-3</v>
      </c>
      <c r="M250" s="56">
        <v>0.39689999999999998</v>
      </c>
      <c r="N250" s="120" t="s">
        <v>23</v>
      </c>
      <c r="O250" s="81">
        <v>488604879.23000002</v>
      </c>
      <c r="P250" s="24">
        <f t="shared" si="213"/>
        <v>9.1953161126181217E-3</v>
      </c>
      <c r="Q250" s="120" t="s">
        <v>23</v>
      </c>
      <c r="R250" s="35">
        <v>1.4745299999999999</v>
      </c>
      <c r="S250" s="120" t="s">
        <v>23</v>
      </c>
      <c r="T250" s="35">
        <v>1.4745299999999999</v>
      </c>
      <c r="U250" s="25">
        <v>61</v>
      </c>
      <c r="V250" s="56">
        <v>-8.8999999999999999E-3</v>
      </c>
      <c r="W250" s="56">
        <v>0.38500000000000001</v>
      </c>
      <c r="X250" s="20">
        <f t="shared" ref="X250:X252" si="231">((O250-E250)/E250)</f>
        <v>3.5573542098204076E-3</v>
      </c>
      <c r="Y250" s="20">
        <f t="shared" ref="Y250" si="232">((T250-J250)/J250)</f>
        <v>-8.6926707272801332E-3</v>
      </c>
      <c r="Z250" s="20">
        <f t="shared" ref="Z250" si="233">((U250-K250)/K250)</f>
        <v>0</v>
      </c>
      <c r="AA250" s="20">
        <f t="shared" ref="AA250" si="234">V250-L250</f>
        <v>-1.04E-2</v>
      </c>
      <c r="AB250" s="21">
        <f t="shared" ref="AB250" si="235">W250-M250</f>
        <v>-1.1899999999999966E-2</v>
      </c>
      <c r="AD250" s="104"/>
    </row>
    <row r="251" spans="1:33" ht="14.4" customHeight="1">
      <c r="A251" s="206">
        <v>6</v>
      </c>
      <c r="B251" s="207" t="s">
        <v>311</v>
      </c>
      <c r="C251" s="12" t="s">
        <v>135</v>
      </c>
      <c r="D251" s="78">
        <v>635701.02</v>
      </c>
      <c r="E251" s="36">
        <v>868167728.919312</v>
      </c>
      <c r="F251" s="24">
        <v>0</v>
      </c>
      <c r="G251" s="79">
        <v>9.9867000000000008</v>
      </c>
      <c r="H251" s="35">
        <v>13638.692381520001</v>
      </c>
      <c r="I251" s="79">
        <v>9.9867000000000008</v>
      </c>
      <c r="J251" s="35">
        <v>13638.692381520001</v>
      </c>
      <c r="K251" s="25">
        <v>13</v>
      </c>
      <c r="L251" s="56">
        <v>2.2000000000000001E-3</v>
      </c>
      <c r="M251" s="56">
        <v>-1.2999999999999999E-3</v>
      </c>
      <c r="N251" s="79">
        <v>636442.09</v>
      </c>
      <c r="O251" s="36">
        <f>636442.09*C274</f>
        <v>864039382.07439196</v>
      </c>
      <c r="P251" s="24">
        <f t="shared" si="213"/>
        <v>1.6260818484756214E-2</v>
      </c>
      <c r="Q251" s="79">
        <v>9.9983000000000004</v>
      </c>
      <c r="R251" s="35">
        <f>9.9983*C274</f>
        <v>13573.78006504</v>
      </c>
      <c r="S251" s="79">
        <v>9.9983000000000004</v>
      </c>
      <c r="T251" s="35">
        <f>9.9983*C274</f>
        <v>13573.78006504</v>
      </c>
      <c r="U251" s="25">
        <v>13</v>
      </c>
      <c r="V251" s="56">
        <v>1.1999999999999999E-3</v>
      </c>
      <c r="W251" s="56">
        <v>-2.0000000000000001E-4</v>
      </c>
      <c r="X251" s="20">
        <f t="shared" ref="X251" si="236">((O251-E251)/E251)</f>
        <v>-4.755241075430172E-3</v>
      </c>
      <c r="Y251" s="20">
        <f t="shared" ref="Y251" si="237">((T251-J251)/J251)</f>
        <v>-4.759423752965823E-3</v>
      </c>
      <c r="Z251" s="20">
        <f t="shared" ref="Z251" si="238">((U251-K251)/K251)</f>
        <v>0</v>
      </c>
      <c r="AA251" s="20">
        <f t="shared" ref="AA251" si="239">V251-L251</f>
        <v>-1.0000000000000002E-3</v>
      </c>
      <c r="AB251" s="21">
        <f t="shared" ref="AB251" si="240">W251-M251</f>
        <v>1.0999999999999998E-3</v>
      </c>
    </row>
    <row r="252" spans="1:33" ht="14.4" customHeight="1">
      <c r="A252" s="111"/>
      <c r="B252" s="122"/>
      <c r="C252" s="122" t="s">
        <v>63</v>
      </c>
      <c r="D252" s="122"/>
      <c r="E252" s="122">
        <f>SUM(E246:E251)</f>
        <v>32281492380.12281</v>
      </c>
      <c r="F252" s="122"/>
      <c r="G252" s="122"/>
      <c r="H252" s="122"/>
      <c r="I252" s="122"/>
      <c r="J252" s="122"/>
      <c r="K252" s="122">
        <f>SUM(K246:K251)</f>
        <v>186</v>
      </c>
      <c r="L252" s="122"/>
      <c r="M252" s="122"/>
      <c r="N252" s="122"/>
      <c r="O252" s="122">
        <f>SUM(O246:O251)</f>
        <v>53136278649.465897</v>
      </c>
      <c r="P252" s="122"/>
      <c r="Q252" s="122"/>
      <c r="R252" s="122"/>
      <c r="S252" s="122"/>
      <c r="T252" s="122"/>
      <c r="U252" s="122">
        <f>SUM(U246:U251)</f>
        <v>229</v>
      </c>
      <c r="V252" s="122"/>
      <c r="W252" s="122"/>
      <c r="X252" s="119">
        <f t="shared" si="231"/>
        <v>0.64602918674801824</v>
      </c>
      <c r="Y252" s="122"/>
      <c r="Z252" s="122"/>
      <c r="AA252" s="122"/>
      <c r="AB252" s="122"/>
    </row>
    <row r="253" spans="1:33" ht="6" customHeight="1">
      <c r="B253" s="46"/>
      <c r="C253" s="90"/>
      <c r="D253" s="90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4"/>
    </row>
    <row r="254" spans="1:33" ht="15.6">
      <c r="A254" s="11"/>
      <c r="B254" s="262"/>
      <c r="C254" s="262"/>
      <c r="D254" s="262"/>
      <c r="E254" s="262"/>
      <c r="F254" s="262"/>
      <c r="G254" s="262"/>
      <c r="H254" s="262"/>
      <c r="I254" s="262"/>
      <c r="J254" s="262"/>
      <c r="K254" s="262"/>
      <c r="L254" s="262"/>
      <c r="M254" s="262"/>
      <c r="N254" s="262"/>
      <c r="O254" s="262"/>
      <c r="P254" s="262"/>
      <c r="Q254" s="262"/>
      <c r="R254" s="262"/>
      <c r="S254" s="262"/>
      <c r="T254" s="262"/>
      <c r="U254" s="262"/>
      <c r="V254" s="262"/>
      <c r="W254" s="262"/>
      <c r="X254" s="262"/>
      <c r="Y254" s="262"/>
      <c r="Z254" s="262"/>
      <c r="AA254" s="262"/>
      <c r="AB254" s="262"/>
    </row>
    <row r="255" spans="1:33">
      <c r="A255" s="201">
        <v>1</v>
      </c>
      <c r="B255" s="200" t="s">
        <v>312</v>
      </c>
      <c r="C255" s="12" t="s">
        <v>313</v>
      </c>
      <c r="D255" s="120" t="s">
        <v>23</v>
      </c>
      <c r="E255" s="81">
        <v>132435862471.06</v>
      </c>
      <c r="F255" s="24">
        <f>(E255/$E$257)</f>
        <v>0.90752118631298395</v>
      </c>
      <c r="G255" s="215" t="s">
        <v>23</v>
      </c>
      <c r="H255" s="213">
        <v>163.30000000000001</v>
      </c>
      <c r="I255" s="215" t="s">
        <v>23</v>
      </c>
      <c r="J255" s="222">
        <v>163.30000000000001</v>
      </c>
      <c r="K255" s="223">
        <v>8504</v>
      </c>
      <c r="L255" s="197" t="s">
        <v>314</v>
      </c>
      <c r="M255" s="197">
        <v>0.60460000000000003</v>
      </c>
      <c r="N255" s="120" t="s">
        <v>23</v>
      </c>
      <c r="O255" s="36">
        <v>132435862471.06</v>
      </c>
      <c r="P255" s="24">
        <f>(O255/$O$257)</f>
        <v>0.90718469058701057</v>
      </c>
      <c r="Q255" s="120" t="s">
        <v>23</v>
      </c>
      <c r="R255" s="63">
        <v>147.69999999999999</v>
      </c>
      <c r="S255" s="120" t="s">
        <v>23</v>
      </c>
      <c r="T255" s="63">
        <v>147.69999999999999</v>
      </c>
      <c r="U255" s="25">
        <v>9001</v>
      </c>
      <c r="V255" s="26" t="s">
        <v>314</v>
      </c>
      <c r="W255" s="26">
        <v>0.45129999999999998</v>
      </c>
      <c r="X255" s="20">
        <f>((O255-E255)/E255)</f>
        <v>0</v>
      </c>
      <c r="Y255" s="20">
        <f>((T255-J255)/J255)</f>
        <v>-9.5529699938763146E-2</v>
      </c>
      <c r="Z255" s="20">
        <f>((U255-K255)/K255)</f>
        <v>5.8443085606773283E-2</v>
      </c>
      <c r="AA255" s="20" t="e">
        <f>V255-L255</f>
        <v>#VALUE!</v>
      </c>
      <c r="AB255" s="21">
        <f>W255-M255</f>
        <v>-0.15330000000000005</v>
      </c>
    </row>
    <row r="256" spans="1:33" ht="14.4" customHeight="1">
      <c r="A256" s="201">
        <v>2</v>
      </c>
      <c r="B256" s="200" t="s">
        <v>315</v>
      </c>
      <c r="C256" s="12" t="s">
        <v>58</v>
      </c>
      <c r="D256" s="120" t="s">
        <v>23</v>
      </c>
      <c r="E256" s="81">
        <v>13495565321.950001</v>
      </c>
      <c r="F256" s="24">
        <f>(E256/$E$257)</f>
        <v>9.2478813687015993E-2</v>
      </c>
      <c r="G256" s="215" t="s">
        <v>23</v>
      </c>
      <c r="H256" s="221">
        <v>1000000</v>
      </c>
      <c r="I256" s="215" t="s">
        <v>23</v>
      </c>
      <c r="J256" s="221">
        <v>1000000</v>
      </c>
      <c r="K256" s="223">
        <v>26</v>
      </c>
      <c r="L256" s="197">
        <v>0.18049999999999999</v>
      </c>
      <c r="M256" s="197">
        <v>0.18049999999999999</v>
      </c>
      <c r="N256" s="120" t="s">
        <v>23</v>
      </c>
      <c r="O256" s="81">
        <v>13549694654.43</v>
      </c>
      <c r="P256" s="24">
        <f>(O256/$O$257)</f>
        <v>9.2815309412989447E-2</v>
      </c>
      <c r="Q256" s="120" t="s">
        <v>23</v>
      </c>
      <c r="R256" s="38">
        <v>1000000</v>
      </c>
      <c r="S256" s="120" t="s">
        <v>23</v>
      </c>
      <c r="T256" s="38">
        <v>1000000</v>
      </c>
      <c r="U256" s="25">
        <v>26</v>
      </c>
      <c r="V256" s="56">
        <v>0.18190000000000001</v>
      </c>
      <c r="W256" s="56">
        <v>0.18190000000000001</v>
      </c>
      <c r="X256" s="20">
        <f>((O256-E256)/E256)</f>
        <v>4.0108977422353941E-3</v>
      </c>
      <c r="Y256" s="20">
        <f>((T256-J256)/J256)</f>
        <v>0</v>
      </c>
      <c r="Z256" s="20">
        <f>((U256-K256)/K256)</f>
        <v>0</v>
      </c>
      <c r="AA256" s="20">
        <f>V256-L256</f>
        <v>1.4000000000000123E-3</v>
      </c>
      <c r="AB256" s="21">
        <f>W256-M256</f>
        <v>1.4000000000000123E-3</v>
      </c>
    </row>
    <row r="257" spans="1:32" ht="15" customHeight="1">
      <c r="A257" s="111"/>
      <c r="B257" s="112"/>
      <c r="C257" s="113" t="s">
        <v>316</v>
      </c>
      <c r="D257" s="113"/>
      <c r="E257" s="122">
        <f>SUM(E255:E256)</f>
        <v>145931427793.01001</v>
      </c>
      <c r="F257" s="123"/>
      <c r="G257" s="123"/>
      <c r="H257" s="124"/>
      <c r="I257" s="124"/>
      <c r="J257" s="124"/>
      <c r="K257" s="122">
        <f>SUM(K255:K256)</f>
        <v>8530</v>
      </c>
      <c r="L257" s="125"/>
      <c r="M257" s="125"/>
      <c r="N257" s="125"/>
      <c r="O257" s="122">
        <f>SUM(O255:O256)</f>
        <v>145985557125.48999</v>
      </c>
      <c r="P257" s="123"/>
      <c r="Q257" s="123"/>
      <c r="R257" s="124"/>
      <c r="S257" s="124"/>
      <c r="T257" s="124"/>
      <c r="U257" s="122">
        <f>SUM(U255:U256)</f>
        <v>9027</v>
      </c>
      <c r="V257" s="125"/>
      <c r="W257" s="122"/>
      <c r="X257" s="119">
        <f>((O257-E257)/E257)</f>
        <v>3.7092306502172943E-4</v>
      </c>
      <c r="Y257" s="126"/>
      <c r="Z257" s="126"/>
      <c r="AA257" s="119"/>
      <c r="AB257" s="127"/>
    </row>
    <row r="258" spans="1:32" ht="4.5" customHeight="1">
      <c r="B258" s="264"/>
      <c r="C258" s="264"/>
      <c r="D258" s="264"/>
      <c r="E258" s="264"/>
      <c r="F258" s="264"/>
      <c r="G258" s="264"/>
      <c r="H258" s="264"/>
      <c r="I258" s="264"/>
      <c r="J258" s="264"/>
      <c r="K258" s="264"/>
      <c r="L258" s="264"/>
      <c r="M258" s="264"/>
      <c r="N258" s="264"/>
      <c r="O258" s="264"/>
      <c r="P258" s="264"/>
      <c r="Q258" s="264"/>
      <c r="R258" s="264"/>
      <c r="S258" s="264"/>
      <c r="T258" s="264"/>
      <c r="U258" s="264"/>
      <c r="V258" s="264"/>
      <c r="W258" s="264"/>
      <c r="X258" s="264"/>
      <c r="Y258" s="264"/>
      <c r="Z258" s="264"/>
      <c r="AA258" s="264"/>
      <c r="AB258" s="264"/>
    </row>
    <row r="259" spans="1:32" ht="15.6">
      <c r="A259" s="11"/>
      <c r="B259" s="262"/>
      <c r="C259" s="262"/>
      <c r="D259" s="262"/>
      <c r="E259" s="262"/>
      <c r="F259" s="262"/>
      <c r="G259" s="262"/>
      <c r="H259" s="262"/>
      <c r="I259" s="262"/>
      <c r="J259" s="262"/>
      <c r="K259" s="262"/>
      <c r="L259" s="262"/>
      <c r="M259" s="262"/>
      <c r="N259" s="262"/>
      <c r="O259" s="262"/>
      <c r="P259" s="262"/>
      <c r="Q259" s="262"/>
      <c r="R259" s="262"/>
      <c r="S259" s="262"/>
      <c r="T259" s="262"/>
      <c r="U259" s="262"/>
      <c r="V259" s="262"/>
      <c r="W259" s="262"/>
      <c r="X259" s="262"/>
      <c r="Y259" s="262"/>
      <c r="Z259" s="262"/>
      <c r="AA259" s="262"/>
      <c r="AB259" s="262"/>
      <c r="AD259" s="268"/>
      <c r="AE259" s="269"/>
      <c r="AF259" s="128"/>
    </row>
    <row r="260" spans="1:32">
      <c r="A260" s="201">
        <v>1</v>
      </c>
      <c r="B260" s="200" t="s">
        <v>317</v>
      </c>
      <c r="C260" s="12" t="s">
        <v>103</v>
      </c>
      <c r="D260" s="120" t="s">
        <v>23</v>
      </c>
      <c r="E260" s="216">
        <v>2392349616.1500001</v>
      </c>
      <c r="F260" s="130">
        <f t="shared" ref="F260:F271" si="241">(E260/$E$272)</f>
        <v>7.4844548730987143E-2</v>
      </c>
      <c r="G260" s="215" t="s">
        <v>23</v>
      </c>
      <c r="H260" s="218">
        <v>584.55252865</v>
      </c>
      <c r="I260" s="215" t="s">
        <v>23</v>
      </c>
      <c r="J260" s="218">
        <v>584.55252865</v>
      </c>
      <c r="K260" s="219">
        <v>2478</v>
      </c>
      <c r="L260" s="220">
        <v>2.7000000000000001E-3</v>
      </c>
      <c r="M260" s="220">
        <v>0.65629999999999999</v>
      </c>
      <c r="N260" s="120" t="s">
        <v>23</v>
      </c>
      <c r="O260" s="129">
        <v>2363614781.46</v>
      </c>
      <c r="P260" s="130">
        <f t="shared" ref="P260:P271" si="242">(O260/$O$272)</f>
        <v>7.4571056096164198E-2</v>
      </c>
      <c r="Q260" s="120" t="s">
        <v>23</v>
      </c>
      <c r="R260" s="131">
        <v>577.49484260999998</v>
      </c>
      <c r="S260" s="120" t="s">
        <v>23</v>
      </c>
      <c r="T260" s="131">
        <v>577.49484260999998</v>
      </c>
      <c r="U260" s="132">
        <v>2475</v>
      </c>
      <c r="V260" s="52">
        <v>-1.21E-2</v>
      </c>
      <c r="W260" s="52">
        <v>0.63629999999999998</v>
      </c>
      <c r="X260" s="20">
        <f>((O260-E260)/E260)</f>
        <v>-1.2011135201987294E-2</v>
      </c>
      <c r="Y260" s="20">
        <f>((T260-J260)/J260)</f>
        <v>-1.2073655820631649E-2</v>
      </c>
      <c r="Z260" s="20">
        <f>((U260-K260)/K260)</f>
        <v>-1.2106537530266344E-3</v>
      </c>
      <c r="AA260" s="20">
        <f>V260-L260</f>
        <v>-1.4800000000000001E-2</v>
      </c>
      <c r="AB260" s="21">
        <f>W260-M260</f>
        <v>-2.0000000000000018E-2</v>
      </c>
      <c r="AD260" s="270"/>
      <c r="AE260" s="133"/>
      <c r="AF260" s="267"/>
    </row>
    <row r="261" spans="1:32">
      <c r="A261" s="204">
        <v>2</v>
      </c>
      <c r="B261" s="200" t="s">
        <v>318</v>
      </c>
      <c r="C261" s="12" t="s">
        <v>279</v>
      </c>
      <c r="D261" s="120" t="s">
        <v>23</v>
      </c>
      <c r="E261" s="216">
        <v>3425121576.5299997</v>
      </c>
      <c r="F261" s="130">
        <f t="shared" si="241"/>
        <v>0.10715477245198841</v>
      </c>
      <c r="G261" s="215" t="s">
        <v>23</v>
      </c>
      <c r="H261" s="221">
        <v>97.421122685733522</v>
      </c>
      <c r="I261" s="215" t="s">
        <v>23</v>
      </c>
      <c r="J261" s="221">
        <v>107.67597770528444</v>
      </c>
      <c r="K261" s="219">
        <v>3606</v>
      </c>
      <c r="L261" s="220">
        <v>-1.3102730872082864E-2</v>
      </c>
      <c r="M261" s="220">
        <v>0.66142781957900687</v>
      </c>
      <c r="N261" s="120" t="s">
        <v>23</v>
      </c>
      <c r="O261" s="129">
        <v>3343792855.4299998</v>
      </c>
      <c r="P261" s="130">
        <f t="shared" si="242"/>
        <v>0.10549526367498874</v>
      </c>
      <c r="Q261" s="120" t="s">
        <v>23</v>
      </c>
      <c r="R261" s="38">
        <v>95.107880618517953</v>
      </c>
      <c r="S261" s="120" t="s">
        <v>23</v>
      </c>
      <c r="T261" s="38">
        <v>105.11923647309879</v>
      </c>
      <c r="U261" s="132">
        <v>3606</v>
      </c>
      <c r="V261" s="52">
        <v>-2.3699999999999999E-2</v>
      </c>
      <c r="W261" s="52">
        <v>0.622</v>
      </c>
      <c r="X261" s="20">
        <f t="shared" ref="X261:X272" si="243">((O261-E261)/E261)</f>
        <v>-2.3744769136748209E-2</v>
      </c>
      <c r="Y261" s="20">
        <f t="shared" ref="Y261:Y272" si="244">((T261-J261)/J261)</f>
        <v>-2.3744769136748372E-2</v>
      </c>
      <c r="Z261" s="20">
        <f t="shared" ref="Z261:Z272" si="245">((U261-K261)/K261)</f>
        <v>0</v>
      </c>
      <c r="AA261" s="20">
        <f t="shared" ref="AA261:AA272" si="246">V261-L261</f>
        <v>-1.0597269127917135E-2</v>
      </c>
      <c r="AB261" s="21">
        <f t="shared" ref="AB261:AB272" si="247">W261-M261</f>
        <v>-3.9427819579006873E-2</v>
      </c>
      <c r="AD261" s="270"/>
      <c r="AE261" s="133"/>
    </row>
    <row r="262" spans="1:32">
      <c r="A262" s="208">
        <v>3</v>
      </c>
      <c r="B262" s="207" t="s">
        <v>319</v>
      </c>
      <c r="C262" s="12" t="s">
        <v>49</v>
      </c>
      <c r="D262" s="120" t="s">
        <v>23</v>
      </c>
      <c r="E262" s="216">
        <v>820373604.57000005</v>
      </c>
      <c r="F262" s="130">
        <f t="shared" si="241"/>
        <v>2.5665350837670017E-2</v>
      </c>
      <c r="G262" s="215" t="s">
        <v>23</v>
      </c>
      <c r="H262" s="221">
        <v>60.757164000000003</v>
      </c>
      <c r="I262" s="215" t="s">
        <v>23</v>
      </c>
      <c r="J262" s="221">
        <v>61.017268000000001</v>
      </c>
      <c r="K262" s="219">
        <v>1831</v>
      </c>
      <c r="L262" s="220">
        <v>-1.8100000000000002E-2</v>
      </c>
      <c r="M262" s="220">
        <v>0.69059999999999999</v>
      </c>
      <c r="N262" s="120" t="s">
        <v>23</v>
      </c>
      <c r="O262" s="129">
        <v>836862167.99000001</v>
      </c>
      <c r="P262" s="130">
        <f t="shared" si="242"/>
        <v>2.6402650788717782E-2</v>
      </c>
      <c r="Q262" s="120" t="s">
        <v>23</v>
      </c>
      <c r="R262" s="38">
        <v>61.978313</v>
      </c>
      <c r="S262" s="120" t="s">
        <v>23</v>
      </c>
      <c r="T262" s="38">
        <v>62.265473999999998</v>
      </c>
      <c r="U262" s="132">
        <v>1831</v>
      </c>
      <c r="V262" s="52">
        <v>2.01E-2</v>
      </c>
      <c r="W262" s="52">
        <v>0.52639999999999998</v>
      </c>
      <c r="X262" s="20">
        <f t="shared" si="243"/>
        <v>2.0098846828016194E-2</v>
      </c>
      <c r="Y262" s="20">
        <f t="shared" si="244"/>
        <v>2.0456602547331292E-2</v>
      </c>
      <c r="Z262" s="20">
        <f t="shared" si="245"/>
        <v>0</v>
      </c>
      <c r="AA262" s="20">
        <f t="shared" si="246"/>
        <v>3.8199999999999998E-2</v>
      </c>
      <c r="AB262" s="21">
        <f t="shared" si="247"/>
        <v>-0.16420000000000001</v>
      </c>
      <c r="AD262" s="270"/>
      <c r="AE262" s="133"/>
    </row>
    <row r="263" spans="1:32">
      <c r="A263" s="208">
        <v>4</v>
      </c>
      <c r="B263" s="207" t="s">
        <v>320</v>
      </c>
      <c r="C263" s="12" t="s">
        <v>49</v>
      </c>
      <c r="D263" s="120" t="s">
        <v>23</v>
      </c>
      <c r="E263" s="216">
        <v>1511447115.5699999</v>
      </c>
      <c r="F263" s="130">
        <f t="shared" si="241"/>
        <v>4.7285554139715663E-2</v>
      </c>
      <c r="G263" s="215" t="s">
        <v>23</v>
      </c>
      <c r="H263" s="221">
        <v>128.34869900000001</v>
      </c>
      <c r="I263" s="215" t="s">
        <v>23</v>
      </c>
      <c r="J263" s="221">
        <v>128.862979</v>
      </c>
      <c r="K263" s="219">
        <v>1469</v>
      </c>
      <c r="L263" s="220">
        <v>2.7000000000000001E-3</v>
      </c>
      <c r="M263" s="220">
        <v>0.54069999999999996</v>
      </c>
      <c r="N263" s="120" t="s">
        <v>23</v>
      </c>
      <c r="O263" s="129">
        <v>1496381862.5599999</v>
      </c>
      <c r="P263" s="130">
        <f t="shared" si="242"/>
        <v>4.7210220840350939E-2</v>
      </c>
      <c r="Q263" s="120" t="s">
        <v>23</v>
      </c>
      <c r="R263" s="38">
        <v>127.06939199999999</v>
      </c>
      <c r="S263" s="120" t="s">
        <v>23</v>
      </c>
      <c r="T263" s="38">
        <v>127.621903</v>
      </c>
      <c r="U263" s="132">
        <v>1469</v>
      </c>
      <c r="V263" s="52">
        <v>-0.01</v>
      </c>
      <c r="W263" s="52">
        <v>0.52529999999999999</v>
      </c>
      <c r="X263" s="20">
        <f t="shared" si="243"/>
        <v>-9.9674364089930804E-3</v>
      </c>
      <c r="Y263" s="20">
        <f t="shared" si="244"/>
        <v>-9.6309739975822886E-3</v>
      </c>
      <c r="Z263" s="20">
        <f t="shared" si="245"/>
        <v>0</v>
      </c>
      <c r="AA263" s="20">
        <f t="shared" si="246"/>
        <v>-1.2699999999999999E-2</v>
      </c>
      <c r="AB263" s="21">
        <f t="shared" si="247"/>
        <v>-1.5399999999999969E-2</v>
      </c>
      <c r="AD263" s="270"/>
      <c r="AE263" s="133"/>
    </row>
    <row r="264" spans="1:32">
      <c r="A264" s="204">
        <v>5</v>
      </c>
      <c r="B264" s="200" t="s">
        <v>321</v>
      </c>
      <c r="C264" s="12" t="s">
        <v>322</v>
      </c>
      <c r="D264" s="120" t="s">
        <v>23</v>
      </c>
      <c r="E264" s="216">
        <v>1962144759.4200001</v>
      </c>
      <c r="F264" s="130">
        <f t="shared" si="241"/>
        <v>6.1385609390986855E-2</v>
      </c>
      <c r="G264" s="215" t="s">
        <v>23</v>
      </c>
      <c r="H264" s="221">
        <v>53550</v>
      </c>
      <c r="I264" s="215" t="s">
        <v>23</v>
      </c>
      <c r="J264" s="221">
        <v>58950</v>
      </c>
      <c r="K264" s="219">
        <v>1234</v>
      </c>
      <c r="L264" s="220">
        <v>7.0000000000000007E-2</v>
      </c>
      <c r="M264" s="220">
        <v>-0.06</v>
      </c>
      <c r="N264" s="120" t="s">
        <v>23</v>
      </c>
      <c r="O264" s="129">
        <v>1962144759.4200001</v>
      </c>
      <c r="P264" s="130">
        <f t="shared" si="242"/>
        <v>6.1904845100487292E-2</v>
      </c>
      <c r="Q264" s="120" t="s">
        <v>23</v>
      </c>
      <c r="R264" s="38">
        <v>53850</v>
      </c>
      <c r="S264" s="120" t="s">
        <v>23</v>
      </c>
      <c r="T264" s="38">
        <v>59500</v>
      </c>
      <c r="U264" s="132">
        <v>1234</v>
      </c>
      <c r="V264" s="52">
        <v>7.0000000000000007E-2</v>
      </c>
      <c r="W264" s="52">
        <v>-0.06</v>
      </c>
      <c r="X264" s="20">
        <f t="shared" si="243"/>
        <v>0</v>
      </c>
      <c r="Y264" s="20">
        <f t="shared" si="244"/>
        <v>9.3299406276505514E-3</v>
      </c>
      <c r="Z264" s="20">
        <f t="shared" si="245"/>
        <v>0</v>
      </c>
      <c r="AA264" s="20">
        <f t="shared" si="246"/>
        <v>0</v>
      </c>
      <c r="AB264" s="21">
        <f t="shared" si="247"/>
        <v>0</v>
      </c>
      <c r="AD264" s="270"/>
      <c r="AE264" s="133"/>
    </row>
    <row r="265" spans="1:32">
      <c r="A265" s="204">
        <v>6</v>
      </c>
      <c r="B265" s="200" t="s">
        <v>323</v>
      </c>
      <c r="C265" s="12" t="s">
        <v>324</v>
      </c>
      <c r="D265" s="120" t="s">
        <v>23</v>
      </c>
      <c r="E265" s="216">
        <v>1804971698.0899999</v>
      </c>
      <c r="F265" s="130">
        <f t="shared" si="241"/>
        <v>5.6468457329055928E-2</v>
      </c>
      <c r="G265" s="215" t="s">
        <v>23</v>
      </c>
      <c r="H265" s="221">
        <v>2640.87</v>
      </c>
      <c r="I265" s="215" t="s">
        <v>23</v>
      </c>
      <c r="J265" s="221">
        <v>2640.87</v>
      </c>
      <c r="K265" s="219">
        <v>2048</v>
      </c>
      <c r="L265" s="220">
        <v>7.3654212203172796E-3</v>
      </c>
      <c r="M265" s="220">
        <v>0.69830315769833196</v>
      </c>
      <c r="N265" s="120" t="s">
        <v>23</v>
      </c>
      <c r="O265" s="129">
        <v>1815853311.5899999</v>
      </c>
      <c r="P265" s="130">
        <f t="shared" si="242"/>
        <v>5.7289411211644596E-2</v>
      </c>
      <c r="Q265" s="120" t="s">
        <v>23</v>
      </c>
      <c r="R265" s="38">
        <v>2860</v>
      </c>
      <c r="S265" s="120" t="s">
        <v>23</v>
      </c>
      <c r="T265" s="38">
        <v>2860</v>
      </c>
      <c r="U265" s="132">
        <v>2048</v>
      </c>
      <c r="V265" s="52">
        <v>-3.8E-3</v>
      </c>
      <c r="W265" s="52">
        <v>0.4637</v>
      </c>
      <c r="X265" s="20">
        <f t="shared" si="243"/>
        <v>6.0286892650531845E-3</v>
      </c>
      <c r="Y265" s="20">
        <f t="shared" si="244"/>
        <v>8.2976443369041308E-2</v>
      </c>
      <c r="Z265" s="20">
        <f t="shared" si="245"/>
        <v>0</v>
      </c>
      <c r="AA265" s="20">
        <f t="shared" si="246"/>
        <v>-1.116542122031728E-2</v>
      </c>
      <c r="AB265" s="21">
        <f t="shared" si="247"/>
        <v>-0.23460315769833195</v>
      </c>
      <c r="AD265" s="270"/>
      <c r="AE265" s="133"/>
    </row>
    <row r="266" spans="1:32">
      <c r="A266" s="204">
        <v>7</v>
      </c>
      <c r="B266" s="200" t="s">
        <v>325</v>
      </c>
      <c r="C266" s="12" t="s">
        <v>324</v>
      </c>
      <c r="D266" s="120" t="s">
        <v>23</v>
      </c>
      <c r="E266" s="216">
        <v>1941474036.8699999</v>
      </c>
      <c r="F266" s="130">
        <f t="shared" si="241"/>
        <v>6.0738926777896246E-2</v>
      </c>
      <c r="G266" s="215" t="s">
        <v>23</v>
      </c>
      <c r="H266" s="221">
        <v>2250</v>
      </c>
      <c r="I266" s="215" t="s">
        <v>23</v>
      </c>
      <c r="J266" s="221">
        <v>2250</v>
      </c>
      <c r="K266" s="219">
        <v>9811</v>
      </c>
      <c r="L266" s="220">
        <v>3.41010529189893E-3</v>
      </c>
      <c r="M266" s="220">
        <v>0.57898144536150697</v>
      </c>
      <c r="N266" s="120" t="s">
        <v>23</v>
      </c>
      <c r="O266" s="129">
        <v>2003038088.1700001</v>
      </c>
      <c r="P266" s="130">
        <f t="shared" si="242"/>
        <v>6.3195012489900684E-2</v>
      </c>
      <c r="Q266" s="120" t="s">
        <v>23</v>
      </c>
      <c r="R266" s="38">
        <v>2480</v>
      </c>
      <c r="S266" s="120" t="s">
        <v>23</v>
      </c>
      <c r="T266" s="38">
        <v>2480</v>
      </c>
      <c r="U266" s="132">
        <v>9811</v>
      </c>
      <c r="V266" s="52">
        <v>-8.8000000000000005E-3</v>
      </c>
      <c r="W266" s="52">
        <v>0.56510000000000005</v>
      </c>
      <c r="X266" s="20">
        <f t="shared" si="243"/>
        <v>3.1709953432729053E-2</v>
      </c>
      <c r="Y266" s="20">
        <f t="shared" si="244"/>
        <v>0.10222222222222223</v>
      </c>
      <c r="Z266" s="20">
        <f t="shared" si="245"/>
        <v>0</v>
      </c>
      <c r="AA266" s="20">
        <f t="shared" si="246"/>
        <v>-1.2210105291898931E-2</v>
      </c>
      <c r="AB266" s="21">
        <f t="shared" si="247"/>
        <v>-1.3881445361506928E-2</v>
      </c>
      <c r="AD266" s="270"/>
      <c r="AE266" s="133"/>
      <c r="AF266" s="135"/>
    </row>
    <row r="267" spans="1:32">
      <c r="A267" s="204">
        <v>8</v>
      </c>
      <c r="B267" s="200" t="s">
        <v>326</v>
      </c>
      <c r="C267" s="12" t="s">
        <v>327</v>
      </c>
      <c r="D267" s="120" t="s">
        <v>23</v>
      </c>
      <c r="E267" s="216">
        <v>658980507.53999996</v>
      </c>
      <c r="F267" s="130">
        <f t="shared" si="241"/>
        <v>2.0616175151155557E-2</v>
      </c>
      <c r="G267" s="215" t="s">
        <v>23</v>
      </c>
      <c r="H267" s="221">
        <v>43.24</v>
      </c>
      <c r="I267" s="215" t="s">
        <v>23</v>
      </c>
      <c r="J267" s="221">
        <v>43.34</v>
      </c>
      <c r="K267" s="219">
        <v>4818</v>
      </c>
      <c r="L267" s="220">
        <v>-4.9799999999999997E-2</v>
      </c>
      <c r="M267" s="220">
        <v>0.41310000000000002</v>
      </c>
      <c r="N267" s="120" t="s">
        <v>23</v>
      </c>
      <c r="O267" s="129">
        <v>614900255.57000005</v>
      </c>
      <c r="P267" s="130">
        <f t="shared" si="242"/>
        <v>1.9399845444921612E-2</v>
      </c>
      <c r="Q267" s="120" t="s">
        <v>23</v>
      </c>
      <c r="R267" s="38">
        <v>40.33</v>
      </c>
      <c r="S267" s="120" t="s">
        <v>23</v>
      </c>
      <c r="T267" s="38">
        <v>40.43</v>
      </c>
      <c r="U267" s="132">
        <v>4850</v>
      </c>
      <c r="V267" s="52">
        <v>-5.4399999999999997E-2</v>
      </c>
      <c r="W267" s="52">
        <v>0.3362</v>
      </c>
      <c r="X267" s="20">
        <f t="shared" si="243"/>
        <v>-6.6891587028200902E-2</v>
      </c>
      <c r="Y267" s="20">
        <f t="shared" si="244"/>
        <v>-6.7143516382095147E-2</v>
      </c>
      <c r="Z267" s="20">
        <f t="shared" si="245"/>
        <v>6.6417600664176006E-3</v>
      </c>
      <c r="AA267" s="20">
        <f t="shared" si="246"/>
        <v>-4.5999999999999999E-3</v>
      </c>
      <c r="AB267" s="21">
        <f t="shared" si="247"/>
        <v>-7.6900000000000024E-2</v>
      </c>
      <c r="AD267" s="270"/>
      <c r="AE267" s="133"/>
      <c r="AF267" s="135"/>
    </row>
    <row r="268" spans="1:32">
      <c r="A268" s="204">
        <v>9</v>
      </c>
      <c r="B268" s="200" t="s">
        <v>328</v>
      </c>
      <c r="C268" s="12" t="s">
        <v>327</v>
      </c>
      <c r="D268" s="120" t="s">
        <v>23</v>
      </c>
      <c r="E268" s="217">
        <v>2280140060.9899998</v>
      </c>
      <c r="F268" s="130">
        <f t="shared" si="241"/>
        <v>7.1334077910768845E-2</v>
      </c>
      <c r="G268" s="215" t="s">
        <v>23</v>
      </c>
      <c r="H268" s="221">
        <v>25.81</v>
      </c>
      <c r="I268" s="215" t="s">
        <v>23</v>
      </c>
      <c r="J268" s="221">
        <v>25.91</v>
      </c>
      <c r="K268" s="219">
        <v>6128</v>
      </c>
      <c r="L268" s="220">
        <v>1.4500000000000001E-2</v>
      </c>
      <c r="M268" s="220">
        <v>0.66520000000000001</v>
      </c>
      <c r="N268" s="120" t="s">
        <v>23</v>
      </c>
      <c r="O268" s="134">
        <v>2246088283.2399998</v>
      </c>
      <c r="P268" s="130">
        <f t="shared" si="242"/>
        <v>7.0863144316167706E-2</v>
      </c>
      <c r="Q268" s="120" t="s">
        <v>23</v>
      </c>
      <c r="R268" s="38">
        <v>25.43</v>
      </c>
      <c r="S268" s="120" t="s">
        <v>23</v>
      </c>
      <c r="T268" s="38">
        <v>25.53</v>
      </c>
      <c r="U268" s="132">
        <v>6178</v>
      </c>
      <c r="V268" s="52">
        <v>9.4600000000000004E-2</v>
      </c>
      <c r="W268" s="52">
        <v>0.64070000000000005</v>
      </c>
      <c r="X268" s="20">
        <f t="shared" si="243"/>
        <v>-1.493407283726916E-2</v>
      </c>
      <c r="Y268" s="20">
        <f t="shared" si="244"/>
        <v>-1.4666152064839792E-2</v>
      </c>
      <c r="Z268" s="20">
        <f t="shared" si="245"/>
        <v>8.1592689295039173E-3</v>
      </c>
      <c r="AA268" s="20">
        <f t="shared" si="246"/>
        <v>8.0100000000000005E-2</v>
      </c>
      <c r="AB268" s="21">
        <f t="shared" si="247"/>
        <v>-2.4499999999999966E-2</v>
      </c>
      <c r="AD268" s="270"/>
      <c r="AE268" s="133"/>
      <c r="AF268" s="135"/>
    </row>
    <row r="269" spans="1:32" ht="15" customHeight="1">
      <c r="A269" s="204">
        <v>10</v>
      </c>
      <c r="B269" s="200" t="s">
        <v>329</v>
      </c>
      <c r="C269" s="12" t="s">
        <v>327</v>
      </c>
      <c r="D269" s="120" t="s">
        <v>23</v>
      </c>
      <c r="E269" s="216">
        <v>447883762.55000001</v>
      </c>
      <c r="F269" s="130">
        <f t="shared" si="241"/>
        <v>1.4012023103018545E-2</v>
      </c>
      <c r="G269" s="215" t="s">
        <v>23</v>
      </c>
      <c r="H269" s="221">
        <v>144.74</v>
      </c>
      <c r="I269" s="215" t="s">
        <v>23</v>
      </c>
      <c r="J269" s="221">
        <v>146.74</v>
      </c>
      <c r="K269" s="219">
        <v>2588</v>
      </c>
      <c r="L269" s="220">
        <v>3.5999999999999999E-3</v>
      </c>
      <c r="M269" s="220">
        <v>0.1542</v>
      </c>
      <c r="N269" s="120" t="s">
        <v>23</v>
      </c>
      <c r="O269" s="129">
        <v>448478076.99000001</v>
      </c>
      <c r="P269" s="130">
        <f t="shared" si="242"/>
        <v>1.4149295434877576E-2</v>
      </c>
      <c r="Q269" s="120" t="s">
        <v>23</v>
      </c>
      <c r="R269" s="38">
        <v>144.93</v>
      </c>
      <c r="S269" s="120" t="s">
        <v>23</v>
      </c>
      <c r="T269" s="38">
        <v>146.93</v>
      </c>
      <c r="U269" s="132">
        <v>2608</v>
      </c>
      <c r="V269" s="52">
        <v>-8.3599999999999994E-2</v>
      </c>
      <c r="W269" s="52">
        <v>5.7700000000000001E-2</v>
      </c>
      <c r="X269" s="20">
        <f t="shared" si="243"/>
        <v>1.3269390178744214E-3</v>
      </c>
      <c r="Y269" s="20">
        <f t="shared" si="244"/>
        <v>1.294807141883588E-3</v>
      </c>
      <c r="Z269" s="20">
        <f t="shared" si="245"/>
        <v>7.7279752704791345E-3</v>
      </c>
      <c r="AA269" s="20">
        <f t="shared" si="246"/>
        <v>-8.72E-2</v>
      </c>
      <c r="AB269" s="21">
        <f t="shared" si="247"/>
        <v>-9.6500000000000002E-2</v>
      </c>
      <c r="AD269" s="270"/>
      <c r="AE269" s="271"/>
      <c r="AF269" s="136"/>
    </row>
    <row r="270" spans="1:32">
      <c r="A270" s="201">
        <v>11</v>
      </c>
      <c r="B270" s="200" t="s">
        <v>330</v>
      </c>
      <c r="C270" s="12" t="s">
        <v>327</v>
      </c>
      <c r="D270" s="120" t="s">
        <v>23</v>
      </c>
      <c r="E270" s="216">
        <v>14107721480.16</v>
      </c>
      <c r="F270" s="130">
        <f t="shared" si="241"/>
        <v>0.44135942367163833</v>
      </c>
      <c r="G270" s="215" t="s">
        <v>23</v>
      </c>
      <c r="H270" s="221">
        <v>90.26</v>
      </c>
      <c r="I270" s="215" t="s">
        <v>23</v>
      </c>
      <c r="J270" s="221">
        <v>90.46</v>
      </c>
      <c r="K270" s="219">
        <v>8266</v>
      </c>
      <c r="L270" s="220">
        <v>3.7699999999999997E-2</v>
      </c>
      <c r="M270" s="220">
        <v>0.57430000000000003</v>
      </c>
      <c r="N270" s="120" t="s">
        <v>23</v>
      </c>
      <c r="O270" s="129">
        <v>13953349102.440001</v>
      </c>
      <c r="P270" s="130">
        <f t="shared" si="242"/>
        <v>0.44022231829363118</v>
      </c>
      <c r="Q270" s="120" t="s">
        <v>23</v>
      </c>
      <c r="R270" s="38">
        <v>89.17</v>
      </c>
      <c r="S270" s="120" t="s">
        <v>23</v>
      </c>
      <c r="T270" s="38">
        <v>89.37</v>
      </c>
      <c r="U270" s="132">
        <v>8311</v>
      </c>
      <c r="V270" s="52">
        <v>-5.45E-2</v>
      </c>
      <c r="W270" s="52">
        <v>0.55530000000000002</v>
      </c>
      <c r="X270" s="20">
        <f t="shared" si="243"/>
        <v>-1.0942403274483169E-2</v>
      </c>
      <c r="Y270" s="20">
        <f t="shared" si="244"/>
        <v>-1.2049524651779674E-2</v>
      </c>
      <c r="Z270" s="20">
        <f t="shared" si="245"/>
        <v>5.4439874183401888E-3</v>
      </c>
      <c r="AA270" s="20">
        <f t="shared" si="246"/>
        <v>-9.2200000000000004E-2</v>
      </c>
      <c r="AB270" s="21">
        <f t="shared" si="247"/>
        <v>-1.9000000000000017E-2</v>
      </c>
      <c r="AD270" s="270"/>
      <c r="AE270" s="271"/>
      <c r="AF270" s="135"/>
    </row>
    <row r="271" spans="1:32">
      <c r="A271" s="201">
        <v>12</v>
      </c>
      <c r="B271" s="200" t="s">
        <v>331</v>
      </c>
      <c r="C271" s="12" t="s">
        <v>327</v>
      </c>
      <c r="D271" s="120" t="s">
        <v>23</v>
      </c>
      <c r="E271" s="217">
        <v>611638432.96000004</v>
      </c>
      <c r="F271" s="130">
        <f t="shared" si="241"/>
        <v>1.9135080505118394E-2</v>
      </c>
      <c r="G271" s="215" t="s">
        <v>23</v>
      </c>
      <c r="H271" s="221">
        <v>104.97</v>
      </c>
      <c r="I271" s="215" t="s">
        <v>23</v>
      </c>
      <c r="J271" s="221">
        <v>105.17</v>
      </c>
      <c r="K271" s="219">
        <v>4234</v>
      </c>
      <c r="L271" s="220">
        <v>-7.7000000000000002E-3</v>
      </c>
      <c r="M271" s="220">
        <v>0.84930000000000005</v>
      </c>
      <c r="N271" s="120" t="s">
        <v>23</v>
      </c>
      <c r="O271" s="134">
        <v>611638432.96000004</v>
      </c>
      <c r="P271" s="130">
        <f t="shared" si="242"/>
        <v>1.9296936308147727E-2</v>
      </c>
      <c r="Q271" s="120" t="s">
        <v>23</v>
      </c>
      <c r="R271" s="38">
        <v>104.97</v>
      </c>
      <c r="S271" s="120" t="s">
        <v>23</v>
      </c>
      <c r="T271" s="38">
        <v>105.17</v>
      </c>
      <c r="U271" s="132">
        <v>4234</v>
      </c>
      <c r="V271" s="52">
        <v>-7.7000000000000002E-3</v>
      </c>
      <c r="W271" s="52">
        <v>0.84930000000000005</v>
      </c>
      <c r="X271" s="20">
        <f t="shared" si="243"/>
        <v>0</v>
      </c>
      <c r="Y271" s="20">
        <f t="shared" si="244"/>
        <v>0</v>
      </c>
      <c r="Z271" s="20">
        <f t="shared" si="245"/>
        <v>0</v>
      </c>
      <c r="AA271" s="20">
        <f t="shared" si="246"/>
        <v>0</v>
      </c>
      <c r="AB271" s="21">
        <f t="shared" si="247"/>
        <v>0</v>
      </c>
      <c r="AD271" s="270"/>
      <c r="AE271" s="133"/>
      <c r="AF271" s="136"/>
    </row>
    <row r="272" spans="1:32">
      <c r="A272" s="137"/>
      <c r="B272" s="137"/>
      <c r="C272" s="138" t="s">
        <v>332</v>
      </c>
      <c r="D272" s="139"/>
      <c r="E272" s="122">
        <f>SUM(E260:E271)</f>
        <v>31964246651.400002</v>
      </c>
      <c r="F272" s="123"/>
      <c r="G272" s="123"/>
      <c r="H272" s="123"/>
      <c r="I272" s="123"/>
      <c r="J272" s="124"/>
      <c r="K272" s="122">
        <f>SUM(K260:K271)</f>
        <v>48511</v>
      </c>
      <c r="L272" s="125"/>
      <c r="M272" s="125"/>
      <c r="N272" s="125"/>
      <c r="O272" s="122">
        <f>SUM(O260:O271)</f>
        <v>31696141977.82</v>
      </c>
      <c r="P272" s="123"/>
      <c r="Q272" s="123"/>
      <c r="R272" s="123"/>
      <c r="S272" s="123"/>
      <c r="T272" s="124"/>
      <c r="U272" s="122">
        <f>SUM(U260:U271)</f>
        <v>48655</v>
      </c>
      <c r="V272" s="125"/>
      <c r="W272" s="125"/>
      <c r="X272" s="20">
        <f t="shared" si="243"/>
        <v>-8.3876424964409134E-3</v>
      </c>
      <c r="Y272" s="20" t="e">
        <f t="shared" si="244"/>
        <v>#DIV/0!</v>
      </c>
      <c r="Z272" s="20">
        <f t="shared" si="245"/>
        <v>2.9683989198326152E-3</v>
      </c>
      <c r="AA272" s="20">
        <f t="shared" si="246"/>
        <v>0</v>
      </c>
      <c r="AB272" s="21">
        <f t="shared" si="247"/>
        <v>0</v>
      </c>
      <c r="AD272" s="272"/>
      <c r="AE272" s="272"/>
      <c r="AF272" s="75"/>
    </row>
    <row r="273" spans="1:32">
      <c r="A273" s="140"/>
      <c r="B273" s="140"/>
      <c r="C273" s="141" t="s">
        <v>333</v>
      </c>
      <c r="D273" s="142"/>
      <c r="E273" s="143">
        <f>SUM(E243,E252,E257,E272)</f>
        <v>9650934895382.7656</v>
      </c>
      <c r="F273" s="144"/>
      <c r="G273" s="144"/>
      <c r="H273" s="144"/>
      <c r="I273" s="144"/>
      <c r="J273" s="145"/>
      <c r="K273" s="143">
        <f>SUM(K243,K252,K257,K272)</f>
        <v>1562094</v>
      </c>
      <c r="L273" s="146"/>
      <c r="M273" s="146"/>
      <c r="N273" s="146"/>
      <c r="O273" s="143">
        <f>SUM(O243,O252,O257,O272)</f>
        <v>9691690404558.8652</v>
      </c>
      <c r="P273" s="144"/>
      <c r="Q273" s="144"/>
      <c r="R273" s="144"/>
      <c r="S273" s="144"/>
      <c r="T273" s="143"/>
      <c r="U273" s="143">
        <f>SUM(U243,U252,U257,U272)</f>
        <v>1576154</v>
      </c>
      <c r="V273" s="147"/>
      <c r="W273" s="143"/>
      <c r="X273" s="148"/>
      <c r="Y273" s="149"/>
      <c r="Z273" s="149"/>
      <c r="AA273" s="150"/>
      <c r="AB273" s="150"/>
      <c r="AF273" s="75"/>
    </row>
    <row r="274" spans="1:32">
      <c r="A274" s="151"/>
      <c r="B274" s="151" t="s">
        <v>349</v>
      </c>
      <c r="C274" s="152">
        <v>1357.6088</v>
      </c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</row>
    <row r="275" spans="1:32">
      <c r="B275" s="88"/>
    </row>
    <row r="276" spans="1:32">
      <c r="B276" s="88"/>
      <c r="D276" s="154"/>
      <c r="E276" s="121"/>
      <c r="O276" s="121"/>
    </row>
    <row r="277" spans="1:32" ht="15">
      <c r="B277" s="155"/>
      <c r="C277" s="156"/>
      <c r="D277" s="156"/>
      <c r="E277" s="157"/>
      <c r="H277" s="158"/>
      <c r="I277" s="158"/>
      <c r="J277" s="158"/>
      <c r="L277" s="159"/>
      <c r="M277" s="160"/>
      <c r="N277" s="160"/>
    </row>
    <row r="278" spans="1:32">
      <c r="C278" s="88"/>
      <c r="D278" s="88"/>
    </row>
    <row r="279" spans="1:32">
      <c r="O279" s="104"/>
    </row>
    <row r="280" spans="1:32">
      <c r="B280" s="154"/>
    </row>
    <row r="281" spans="1:32">
      <c r="O281" s="31"/>
    </row>
  </sheetData>
  <sheetProtection algorithmName="SHA-512" hashValue="zM03t81cNzWm3OaXlwEvVib26HQCrJlBjLOn2WF39UGGsIKc2rQSwuqpPEYCMZpBuQP7q+zdQg+4aW3JS0tKiA==" saltValue="TxL4G8nofdsnVuDQyuiI6g==" spinCount="100000" sheet="1" objects="1" scenarios="1"/>
  <mergeCells count="34">
    <mergeCell ref="B245:AB245"/>
    <mergeCell ref="B254:AB254"/>
    <mergeCell ref="B258:AB258"/>
    <mergeCell ref="B259:AB259"/>
    <mergeCell ref="B219:AB219"/>
    <mergeCell ref="B220:AB220"/>
    <mergeCell ref="B236:AB236"/>
    <mergeCell ref="B237:AB237"/>
    <mergeCell ref="B244:AA244"/>
    <mergeCell ref="B208:AB208"/>
    <mergeCell ref="B209:AB209"/>
    <mergeCell ref="B214:AB214"/>
    <mergeCell ref="B215:AB215"/>
    <mergeCell ref="B216:AB216"/>
    <mergeCell ref="B143:AB143"/>
    <mergeCell ref="B165:AB165"/>
    <mergeCell ref="B166:AB166"/>
    <mergeCell ref="B174:AB174"/>
    <mergeCell ref="B175:AB175"/>
    <mergeCell ref="B81:AB81"/>
    <mergeCell ref="B121:AB121"/>
    <mergeCell ref="B122:AB122"/>
    <mergeCell ref="B123:AB123"/>
    <mergeCell ref="B142:AB142"/>
    <mergeCell ref="B4:AB4"/>
    <mergeCell ref="B5:AB5"/>
    <mergeCell ref="B29:AB29"/>
    <mergeCell ref="B30:AB30"/>
    <mergeCell ref="B80:AB80"/>
    <mergeCell ref="A1:AB1"/>
    <mergeCell ref="D2:M2"/>
    <mergeCell ref="N2:W2"/>
    <mergeCell ref="X2:Z2"/>
    <mergeCell ref="AA2:AB2"/>
  </mergeCells>
  <pageMargins left="0.7" right="0.7" top="0.75" bottom="0.75" header="0.3" footer="0.3"/>
  <pageSetup paperSize="9" orientation="portrait" horizontalDpi="300" verticalDpi="300" r:id="rId1"/>
  <ignoredErrors>
    <ignoredError sqref="F106 F86 P56 F39 P149 F149" formula="1"/>
    <ignoredError sqref="Y173 Y28 Y79 Y120 Y164 Y207 Y213 Y242 Y272 Z255:Z256 X57:Z57 X149 X136:Z136 X52:Z5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K9" sqref="K9"/>
    </sheetView>
  </sheetViews>
  <sheetFormatPr defaultColWidth="9" defaultRowHeight="14.4"/>
  <cols>
    <col min="1" max="1" width="34" style="161" customWidth="1"/>
    <col min="2" max="2" width="15.6640625" style="161" customWidth="1"/>
    <col min="3" max="3" width="16.109375" style="161" customWidth="1"/>
    <col min="4" max="5" width="9" style="161"/>
  </cols>
  <sheetData>
    <row r="1" spans="1:8">
      <c r="A1" s="162"/>
      <c r="B1" s="162"/>
      <c r="C1" s="162"/>
      <c r="D1" s="162"/>
      <c r="F1" s="161"/>
      <c r="G1" s="163"/>
      <c r="H1" s="161"/>
    </row>
    <row r="2" spans="1:8" ht="27.6">
      <c r="A2" s="233" t="s">
        <v>334</v>
      </c>
      <c r="B2" s="234" t="s">
        <v>354</v>
      </c>
      <c r="C2" s="234" t="s">
        <v>355</v>
      </c>
      <c r="D2" s="235"/>
      <c r="F2" s="161"/>
      <c r="G2" s="163"/>
      <c r="H2" s="161"/>
    </row>
    <row r="3" spans="1:8">
      <c r="A3" s="236" t="s">
        <v>20</v>
      </c>
      <c r="B3" s="237">
        <f t="shared" ref="B3:C10" si="0">B13</f>
        <v>240.4180215446487</v>
      </c>
      <c r="C3" s="237">
        <f t="shared" si="0"/>
        <v>235.54647724746704</v>
      </c>
      <c r="D3" s="235"/>
      <c r="F3" s="161"/>
      <c r="G3" s="163"/>
      <c r="H3" s="161"/>
    </row>
    <row r="4" spans="1:8" ht="15.6" customHeight="1">
      <c r="A4" s="233" t="s">
        <v>335</v>
      </c>
      <c r="B4" s="238">
        <f t="shared" si="0"/>
        <v>6317.6958735711487</v>
      </c>
      <c r="C4" s="238">
        <f t="shared" si="0"/>
        <v>6366.4190322589529</v>
      </c>
      <c r="D4" s="235"/>
      <c r="F4" s="161"/>
      <c r="G4" s="163"/>
      <c r="H4" s="161"/>
    </row>
    <row r="5" spans="1:8" ht="16.2" customHeight="1">
      <c r="A5" s="233" t="s">
        <v>336</v>
      </c>
      <c r="B5" s="237">
        <f t="shared" si="0"/>
        <v>233.6309006173162</v>
      </c>
      <c r="C5" s="237">
        <f t="shared" si="0"/>
        <v>232.80855704747901</v>
      </c>
      <c r="D5" s="235"/>
      <c r="F5" s="161"/>
      <c r="G5" s="163"/>
      <c r="H5" s="161"/>
    </row>
    <row r="6" spans="1:8">
      <c r="A6" s="233" t="s">
        <v>184</v>
      </c>
      <c r="B6" s="238">
        <f t="shared" si="0"/>
        <v>1807.3676245681486</v>
      </c>
      <c r="C6" s="238">
        <f t="shared" si="0"/>
        <v>1787.9910956869765</v>
      </c>
      <c r="D6" s="235"/>
      <c r="F6" s="161"/>
      <c r="G6" s="163"/>
      <c r="H6" s="161"/>
    </row>
    <row r="7" spans="1:8">
      <c r="A7" s="233" t="s">
        <v>337</v>
      </c>
      <c r="B7" s="237">
        <f t="shared" si="0"/>
        <v>516.1729719836386</v>
      </c>
      <c r="C7" s="237">
        <f t="shared" si="0"/>
        <v>515.35787245855443</v>
      </c>
      <c r="D7" s="235"/>
      <c r="F7" s="161"/>
      <c r="G7" s="163"/>
      <c r="H7" s="161"/>
    </row>
    <row r="8" spans="1:8">
      <c r="A8" s="233" t="s">
        <v>234</v>
      </c>
      <c r="B8" s="239">
        <f t="shared" si="0"/>
        <v>158.02861792433822</v>
      </c>
      <c r="C8" s="239">
        <f t="shared" si="0"/>
        <v>156.05645683963124</v>
      </c>
      <c r="D8" s="235"/>
      <c r="F8" s="161"/>
      <c r="G8" s="163"/>
      <c r="H8" s="161"/>
    </row>
    <row r="9" spans="1:8">
      <c r="A9" s="233" t="s">
        <v>271</v>
      </c>
      <c r="B9" s="237">
        <f t="shared" si="0"/>
        <v>19.658399662889998</v>
      </c>
      <c r="C9" s="237">
        <f t="shared" si="0"/>
        <v>19.214258027819998</v>
      </c>
      <c r="D9" s="235"/>
      <c r="F9" s="161"/>
      <c r="G9" s="163"/>
      <c r="H9" s="161"/>
    </row>
    <row r="10" spans="1:8">
      <c r="A10" s="233" t="s">
        <v>338</v>
      </c>
      <c r="B10" s="237">
        <f t="shared" si="0"/>
        <v>147.78531868610264</v>
      </c>
      <c r="C10" s="237">
        <f t="shared" si="0"/>
        <v>147.47867723920695</v>
      </c>
      <c r="D10" s="235"/>
      <c r="F10" s="161"/>
      <c r="G10" s="163"/>
      <c r="H10" s="161"/>
    </row>
    <row r="11" spans="1:8">
      <c r="A11" s="233" t="s">
        <v>305</v>
      </c>
      <c r="B11" s="237">
        <f>B21</f>
        <v>32.281492380122813</v>
      </c>
      <c r="C11" s="237">
        <f>C21</f>
        <v>53.136278649465893</v>
      </c>
      <c r="D11" s="235"/>
      <c r="F11" s="161"/>
      <c r="G11" s="163"/>
      <c r="H11" s="161"/>
    </row>
    <row r="12" spans="1:8">
      <c r="A12" s="162"/>
      <c r="B12" s="162"/>
      <c r="C12" s="162"/>
      <c r="D12" s="162"/>
      <c r="F12" s="161"/>
      <c r="G12" s="163"/>
      <c r="H12" s="161"/>
    </row>
    <row r="13" spans="1:8">
      <c r="A13" s="240" t="s">
        <v>20</v>
      </c>
      <c r="B13" s="164">
        <f>'Weekly Valuation'!E28/1000000000</f>
        <v>240.4180215446487</v>
      </c>
      <c r="C13" s="165">
        <f>'Weekly Valuation'!O28/1000000000</f>
        <v>235.54647724746704</v>
      </c>
      <c r="D13" s="162"/>
      <c r="F13" s="161"/>
      <c r="G13" s="163"/>
      <c r="H13" s="161"/>
    </row>
    <row r="14" spans="1:8">
      <c r="A14" s="166" t="s">
        <v>335</v>
      </c>
      <c r="B14" s="164">
        <f>'Weekly Valuation'!E79/1000000000</f>
        <v>6317.6958735711487</v>
      </c>
      <c r="C14" s="241">
        <f>'Weekly Valuation'!O79/1000000000</f>
        <v>6366.4190322589529</v>
      </c>
      <c r="D14" s="162"/>
      <c r="F14" s="161"/>
      <c r="G14" s="163"/>
      <c r="H14" s="161"/>
    </row>
    <row r="15" spans="1:8">
      <c r="A15" s="166" t="s">
        <v>336</v>
      </c>
      <c r="B15" s="164">
        <f>'Weekly Valuation'!E120/1000000000</f>
        <v>233.6309006173162</v>
      </c>
      <c r="C15" s="165">
        <f>'Weekly Valuation'!O120/1000000000</f>
        <v>232.80855704747901</v>
      </c>
      <c r="D15" s="162"/>
      <c r="F15" s="161"/>
      <c r="G15" s="163"/>
      <c r="H15" s="161"/>
    </row>
    <row r="16" spans="1:8">
      <c r="A16" s="166" t="s">
        <v>184</v>
      </c>
      <c r="B16" s="164">
        <f>'Weekly Valuation'!E164/1000000000</f>
        <v>1807.3676245681486</v>
      </c>
      <c r="C16" s="241">
        <f>'Weekly Valuation'!O164/1000000000</f>
        <v>1787.9910956869765</v>
      </c>
      <c r="D16" s="162"/>
      <c r="F16" s="161"/>
      <c r="G16" s="163"/>
      <c r="H16" s="161"/>
    </row>
    <row r="17" spans="1:8">
      <c r="A17" s="166" t="s">
        <v>337</v>
      </c>
      <c r="B17" s="164">
        <f>'Weekly Valuation'!E173/1000000000</f>
        <v>516.1729719836386</v>
      </c>
      <c r="C17" s="165">
        <f>'Weekly Valuation'!O173/1000000000</f>
        <v>515.35787245855443</v>
      </c>
      <c r="D17" s="162"/>
      <c r="F17" s="161"/>
      <c r="G17" s="163"/>
      <c r="H17" s="161"/>
    </row>
    <row r="18" spans="1:8">
      <c r="A18" s="166" t="s">
        <v>234</v>
      </c>
      <c r="B18" s="164">
        <f>'Weekly Valuation'!E207/1000000000</f>
        <v>158.02861792433822</v>
      </c>
      <c r="C18" s="242">
        <f>'Weekly Valuation'!O207/1000000000</f>
        <v>156.05645683963124</v>
      </c>
      <c r="D18" s="162"/>
      <c r="F18" s="161"/>
      <c r="G18" s="163"/>
      <c r="H18" s="161"/>
    </row>
    <row r="19" spans="1:8">
      <c r="A19" s="166" t="s">
        <v>271</v>
      </c>
      <c r="B19" s="164">
        <f>'Weekly Valuation'!E213/1000000000</f>
        <v>19.658399662889998</v>
      </c>
      <c r="C19" s="165">
        <f>'Weekly Valuation'!O213/1000000000</f>
        <v>19.214258027819998</v>
      </c>
      <c r="D19" s="162"/>
      <c r="F19" s="161"/>
      <c r="G19" s="163"/>
      <c r="H19" s="161"/>
    </row>
    <row r="20" spans="1:8">
      <c r="A20" s="166" t="s">
        <v>338</v>
      </c>
      <c r="B20" s="164">
        <f>'Weekly Valuation'!E242/1000000000</f>
        <v>147.78531868610264</v>
      </c>
      <c r="C20" s="165">
        <f>'Weekly Valuation'!O242/1000000000</f>
        <v>147.47867723920695</v>
      </c>
      <c r="D20" s="162"/>
      <c r="F20" s="161"/>
      <c r="G20" s="163"/>
      <c r="H20" s="161"/>
    </row>
    <row r="21" spans="1:8">
      <c r="A21" s="166" t="s">
        <v>305</v>
      </c>
      <c r="B21" s="164">
        <f>'Weekly Valuation'!E252/1000000000</f>
        <v>32.281492380122813</v>
      </c>
      <c r="C21" s="165">
        <f>'Weekly Valuation'!O252/1000000000</f>
        <v>53.136278649465893</v>
      </c>
      <c r="D21" s="162"/>
      <c r="F21" s="161"/>
      <c r="G21" s="163"/>
      <c r="H21" s="161"/>
    </row>
    <row r="22" spans="1:8">
      <c r="A22" s="167"/>
      <c r="B22" s="162"/>
      <c r="C22" s="168"/>
      <c r="D22" s="162"/>
      <c r="F22" s="161"/>
      <c r="G22" s="163"/>
      <c r="H22" s="161"/>
    </row>
    <row r="23" spans="1:8">
      <c r="A23" s="169"/>
      <c r="B23" s="168"/>
      <c r="C23" s="170"/>
      <c r="F23" s="161"/>
      <c r="G23" s="163"/>
      <c r="H23" s="161"/>
    </row>
    <row r="24" spans="1:8">
      <c r="A24" s="169"/>
      <c r="B24" s="168"/>
      <c r="C24" s="168"/>
      <c r="E24" s="163"/>
      <c r="F24" s="161"/>
      <c r="G24" s="163"/>
      <c r="H24" s="161"/>
    </row>
    <row r="25" spans="1:8">
      <c r="A25" s="169"/>
      <c r="B25" s="168"/>
      <c r="C25" s="168"/>
      <c r="E25" s="163"/>
      <c r="F25" s="161"/>
      <c r="G25" s="163"/>
      <c r="H25" s="161"/>
    </row>
    <row r="26" spans="1:8">
      <c r="A26" s="169"/>
      <c r="B26" s="168"/>
      <c r="C26" s="168"/>
      <c r="F26" s="161"/>
      <c r="G26" s="161"/>
      <c r="H26" s="161"/>
    </row>
    <row r="27" spans="1:8">
      <c r="A27" s="171"/>
      <c r="B27" s="172"/>
      <c r="C27" s="172"/>
      <c r="F27" s="161"/>
      <c r="G27" s="161"/>
      <c r="H27" s="161"/>
    </row>
    <row r="28" spans="1:8">
      <c r="A28" s="163"/>
      <c r="B28" s="163"/>
      <c r="C28" s="163"/>
      <c r="F28" s="161"/>
      <c r="G28" s="161"/>
      <c r="H28" s="161"/>
    </row>
    <row r="29" spans="1:8">
      <c r="A29" s="163"/>
      <c r="B29" s="163"/>
      <c r="C29" s="163"/>
      <c r="F29" s="161"/>
      <c r="G29" s="161"/>
      <c r="H29" s="161"/>
    </row>
    <row r="30" spans="1:8">
      <c r="A30" s="163"/>
      <c r="B30" s="163"/>
      <c r="C30" s="163"/>
      <c r="F30" s="161"/>
    </row>
    <row r="31" spans="1:8">
      <c r="A31" s="163"/>
      <c r="B31" s="163"/>
      <c r="C31" s="163"/>
      <c r="F31" s="161"/>
    </row>
    <row r="32" spans="1:8">
      <c r="A32" s="163"/>
      <c r="B32" s="163"/>
      <c r="C32" s="163"/>
      <c r="F32" s="161"/>
    </row>
    <row r="33" spans="1:6">
      <c r="A33" s="163"/>
      <c r="B33" s="163"/>
      <c r="C33" s="163"/>
      <c r="F33" s="161"/>
    </row>
    <row r="34" spans="1:6">
      <c r="F34" s="161"/>
    </row>
    <row r="35" spans="1:6">
      <c r="F35" s="161"/>
    </row>
    <row r="36" spans="1:6">
      <c r="F36" s="161"/>
    </row>
    <row r="37" spans="1:6">
      <c r="F37" s="161"/>
    </row>
    <row r="38" spans="1:6">
      <c r="F38" s="161"/>
    </row>
    <row r="39" spans="1:6">
      <c r="F39" s="161"/>
    </row>
    <row r="40" spans="1:6">
      <c r="F40" s="161"/>
    </row>
    <row r="41" spans="1:6">
      <c r="F41" s="161"/>
    </row>
    <row r="42" spans="1:6">
      <c r="F42" s="161"/>
    </row>
    <row r="43" spans="1:6">
      <c r="F43" s="161"/>
    </row>
    <row r="44" spans="1:6">
      <c r="F44" s="161"/>
    </row>
  </sheetData>
  <sheetProtection algorithmName="SHA-512" hashValue="EQypBQc5dqpHPHYUULVBaxuYhl9LClC7eITmm5+e4/N3GoFCJlHhYdc4EvGhvhwbTi4lVedutB3VZqfG+JImrQ==" saltValue="AufOZeiWj9luVX0OSIJfU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J14" sqref="J14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43" t="s">
        <v>334</v>
      </c>
      <c r="B1" s="244">
        <v>46248</v>
      </c>
      <c r="C1" s="162"/>
      <c r="D1" s="161"/>
      <c r="E1" s="161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>
      <c r="A2" s="167" t="s">
        <v>271</v>
      </c>
      <c r="B2" s="168">
        <f>'Weekly Valuation'!O213</f>
        <v>19214258027.82</v>
      </c>
      <c r="C2" s="162"/>
      <c r="D2" s="161"/>
      <c r="E2" s="161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>
      <c r="A3" s="167" t="s">
        <v>305</v>
      </c>
      <c r="B3" s="168">
        <f>'Weekly Valuation'!O252</f>
        <v>53136278649.465897</v>
      </c>
      <c r="C3" s="162"/>
      <c r="D3" s="161"/>
      <c r="E3" s="161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>
      <c r="A4" s="167" t="s">
        <v>338</v>
      </c>
      <c r="B4" s="168">
        <f>'Weekly Valuation'!O242</f>
        <v>147478677239.20694</v>
      </c>
      <c r="C4" s="162"/>
      <c r="D4" s="161"/>
      <c r="E4" s="161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>
      <c r="A5" s="167" t="s">
        <v>234</v>
      </c>
      <c r="B5" s="170">
        <f>'Weekly Valuation'!O207</f>
        <v>156056456839.63123</v>
      </c>
      <c r="C5" s="162"/>
      <c r="D5" s="161"/>
      <c r="E5" s="161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>
      <c r="A6" s="167" t="s">
        <v>20</v>
      </c>
      <c r="B6" s="168">
        <f>'Weekly Valuation'!O28</f>
        <v>235546477247.46704</v>
      </c>
      <c r="C6" s="162"/>
      <c r="D6" s="161"/>
      <c r="E6" s="161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>
      <c r="A7" s="167" t="s">
        <v>336</v>
      </c>
      <c r="B7" s="168">
        <f>'Weekly Valuation'!O120</f>
        <v>232808557047.479</v>
      </c>
      <c r="C7" s="162"/>
      <c r="D7" s="161"/>
      <c r="E7" s="161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>
      <c r="A8" s="167" t="s">
        <v>337</v>
      </c>
      <c r="B8" s="168">
        <f>'Weekly Valuation'!O173</f>
        <v>515357872458.55438</v>
      </c>
      <c r="C8" s="162"/>
      <c r="D8" s="161"/>
      <c r="E8" s="161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>
      <c r="A9" s="167" t="s">
        <v>184</v>
      </c>
      <c r="B9" s="245">
        <f>'Weekly Valuation'!O164</f>
        <v>1787991095686.9766</v>
      </c>
      <c r="C9" s="162"/>
      <c r="D9" s="161"/>
      <c r="E9" s="161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>
      <c r="A10" s="167" t="s">
        <v>335</v>
      </c>
      <c r="B10" s="245">
        <f>'Weekly Valuation'!O79</f>
        <v>6366419032258.9531</v>
      </c>
      <c r="C10" s="162"/>
      <c r="D10" s="161"/>
      <c r="E10" s="161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>
      <c r="A11" s="162"/>
      <c r="B11" s="162"/>
      <c r="C11" s="162"/>
      <c r="D11" s="161"/>
      <c r="E11" s="161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>
      <c r="A12" s="167"/>
      <c r="B12" s="246"/>
      <c r="C12" s="162"/>
      <c r="D12" s="161"/>
      <c r="E12" s="161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</row>
    <row r="13" spans="1:16">
      <c r="A13" s="167"/>
      <c r="B13" s="162"/>
      <c r="C13" s="162"/>
      <c r="D13" s="161"/>
      <c r="E13" s="161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</row>
    <row r="14" spans="1:16">
      <c r="A14" s="168"/>
      <c r="B14" s="168"/>
      <c r="C14" s="162"/>
      <c r="D14" s="161"/>
      <c r="E14" s="161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6">
      <c r="A15" s="168"/>
      <c r="B15" s="168"/>
      <c r="C15" s="161"/>
      <c r="D15" s="161"/>
      <c r="E15" s="161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</row>
    <row r="16" spans="1:16" ht="16.5" customHeight="1">
      <c r="A16" s="169"/>
      <c r="B16" s="170"/>
      <c r="C16" s="161"/>
      <c r="D16" s="161"/>
      <c r="E16" s="161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</row>
    <row r="17" spans="1:16">
      <c r="A17" s="168"/>
      <c r="B17" s="168"/>
      <c r="C17" s="161"/>
      <c r="D17" s="161"/>
      <c r="E17" s="161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6">
      <c r="A18" s="168"/>
      <c r="B18" s="168"/>
      <c r="C18" s="161"/>
      <c r="D18" s="161"/>
      <c r="E18" s="161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6">
      <c r="A19" s="245"/>
      <c r="B19" s="168"/>
      <c r="C19" s="161"/>
      <c r="D19" s="161"/>
      <c r="E19" s="161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</row>
    <row r="20" spans="1:16">
      <c r="A20" s="245"/>
      <c r="B20" s="245"/>
      <c r="C20" s="161"/>
      <c r="D20" s="161"/>
      <c r="E20" s="161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16">
      <c r="A21" s="196"/>
      <c r="B21" s="196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6">
      <c r="A22" s="171"/>
      <c r="B22" s="196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</row>
    <row r="23" spans="1:16">
      <c r="A23" s="163"/>
      <c r="B23" s="196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16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16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</row>
    <row r="26" spans="1:16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  <row r="27" spans="1:16">
      <c r="A27" s="161"/>
      <c r="B27" s="161"/>
      <c r="C27" s="161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16">
      <c r="A28" s="161"/>
      <c r="B28" s="161"/>
      <c r="C28" s="161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</row>
    <row r="29" spans="1:16">
      <c r="A29" s="161"/>
      <c r="B29" s="161"/>
      <c r="C29" s="161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>
      <c r="A30" s="161"/>
      <c r="B30" s="161"/>
      <c r="C30" s="161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>
      <c r="A31" s="161"/>
      <c r="B31" s="161"/>
      <c r="C31" s="161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</row>
    <row r="32" spans="1:16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</row>
    <row r="33" spans="1:17" ht="16.5" customHeight="1">
      <c r="A33" s="265"/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173"/>
    </row>
    <row r="34" spans="1:17" ht="15" customHeight="1">
      <c r="A34" s="265"/>
      <c r="B34" s="265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173"/>
    </row>
    <row r="35" spans="1:17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</row>
    <row r="36" spans="1:17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</row>
    <row r="37" spans="1:17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</row>
    <row r="38" spans="1:17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</row>
  </sheetData>
  <sheetProtection algorithmName="SHA-512" hashValue="MxKg996gzbmJ71DsOVJ8rMt1V1eAqz3PSjuZLtZ89qt87OVRs5AMUA4pNKUuiHp6q8jNouLZx7fbO7g6r6Y7vA==" saltValue="DYyiGfNIYBrcAg46PVdWOA==" spinCount="100000" sheet="1" selectLockedCells="1" selectUnlockedCells="1"/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E8" sqref="E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3"/>
      <c r="M1" s="163"/>
      <c r="N1" s="163"/>
      <c r="O1" s="163"/>
    </row>
    <row r="2" spans="1:15">
      <c r="A2" s="247" t="s">
        <v>339</v>
      </c>
      <c r="B2" s="248">
        <v>46199</v>
      </c>
      <c r="C2" s="248">
        <v>46206</v>
      </c>
      <c r="D2" s="248">
        <v>46213</v>
      </c>
      <c r="E2" s="248">
        <v>46220</v>
      </c>
      <c r="F2" s="248">
        <v>46227</v>
      </c>
      <c r="G2" s="248">
        <v>46234</v>
      </c>
      <c r="H2" s="248">
        <v>46241</v>
      </c>
      <c r="I2" s="248">
        <v>46248</v>
      </c>
      <c r="J2" s="161"/>
      <c r="K2" s="161"/>
      <c r="L2" s="163"/>
      <c r="M2" s="163"/>
      <c r="N2" s="163"/>
      <c r="O2" s="163"/>
    </row>
    <row r="3" spans="1:15">
      <c r="A3" s="247" t="s">
        <v>340</v>
      </c>
      <c r="B3" s="249">
        <f t="shared" ref="B3:I3" si="0">B4</f>
        <v>9145.8109795412729</v>
      </c>
      <c r="C3" s="249">
        <f t="shared" si="0"/>
        <v>9170.4865225909325</v>
      </c>
      <c r="D3" s="249">
        <f t="shared" si="0"/>
        <v>9322.9578326476822</v>
      </c>
      <c r="E3" s="249">
        <f t="shared" si="0"/>
        <v>9381.6721985894019</v>
      </c>
      <c r="F3" s="249">
        <f t="shared" si="0"/>
        <v>9403.97354604477</v>
      </c>
      <c r="G3" s="249">
        <f t="shared" si="0"/>
        <v>9322.9578326476822</v>
      </c>
      <c r="H3" s="249">
        <f t="shared" si="0"/>
        <v>9473.0392209383554</v>
      </c>
      <c r="I3" s="249">
        <f t="shared" si="0"/>
        <v>9514.0087054555552</v>
      </c>
      <c r="J3" s="161"/>
      <c r="K3" s="161"/>
      <c r="L3" s="163"/>
      <c r="M3" s="163"/>
      <c r="N3" s="163"/>
      <c r="O3" s="163"/>
    </row>
    <row r="4" spans="1:15">
      <c r="A4" s="161"/>
      <c r="B4" s="250">
        <f>'NAV Trend'!C11/1000000000</f>
        <v>9145.8109795412729</v>
      </c>
      <c r="C4" s="250">
        <f>'NAV Trend'!D11/1000000000</f>
        <v>9170.4865225909325</v>
      </c>
      <c r="D4" s="250">
        <f>'NAV Trend'!E11/1000000000</f>
        <v>9322.9578326476822</v>
      </c>
      <c r="E4" s="250">
        <f>'NAV Trend'!F11/1000000000</f>
        <v>9381.6721985894019</v>
      </c>
      <c r="F4" s="250">
        <f>'NAV Trend'!G11/1000000000</f>
        <v>9403.97354604477</v>
      </c>
      <c r="G4" s="250">
        <f>'NAV Trend'!H11/1000000000</f>
        <v>9322.9578326476822</v>
      </c>
      <c r="H4" s="251">
        <f>'NAV Trend'!I11/1000000000</f>
        <v>9473.0392209383554</v>
      </c>
      <c r="I4" s="251">
        <f>'NAV Trend'!J11/1000000000</f>
        <v>9514.0087054555552</v>
      </c>
      <c r="J4" s="161"/>
      <c r="K4" s="161"/>
      <c r="L4" s="163"/>
      <c r="M4" s="163"/>
      <c r="N4" s="163"/>
      <c r="O4" s="163"/>
    </row>
    <row r="5" spans="1:1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3"/>
      <c r="M5" s="163"/>
      <c r="N5" s="163"/>
      <c r="O5" s="163"/>
    </row>
    <row r="6" spans="1:15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3"/>
      <c r="M6" s="163"/>
      <c r="N6" s="163"/>
      <c r="O6" s="163"/>
    </row>
    <row r="7" spans="1:1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3"/>
      <c r="M7" s="163"/>
      <c r="N7" s="163"/>
      <c r="O7" s="163"/>
    </row>
    <row r="8" spans="1:15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3"/>
      <c r="M8" s="163"/>
      <c r="N8" s="163"/>
      <c r="O8" s="163"/>
    </row>
    <row r="9" spans="1:1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3"/>
      <c r="M9" s="163"/>
      <c r="N9" s="163"/>
      <c r="O9" s="163"/>
    </row>
    <row r="10" spans="1:15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3"/>
      <c r="M10" s="163"/>
      <c r="N10" s="163"/>
      <c r="O10" s="163"/>
    </row>
    <row r="11" spans="1:15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</row>
    <row r="12" spans="1:1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</row>
    <row r="13" spans="1:15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</row>
    <row r="14" spans="1:1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</row>
    <row r="15" spans="1: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</row>
    <row r="16" spans="1:1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</row>
    <row r="17" spans="1:15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</row>
    <row r="18" spans="1:15"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</row>
    <row r="19" spans="1:15"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</row>
    <row r="20" spans="1:15"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</row>
  </sheetData>
  <sheetProtection algorithmName="SHA-512" hashValue="UUESxZWUn03tap0ysiKeki/Y4YGa01wRf/+Mqx2oc+8csVyr2KapO4sG+hJuhonJTpjkZG8m3M5Cj/rC0EElJw==" saltValue="wIt0lO44eZK0rQS3bBlkMg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E8" sqref="E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3"/>
      <c r="O1" s="161"/>
      <c r="P1" s="163"/>
    </row>
    <row r="2" spans="1:16">
      <c r="A2" s="247" t="s">
        <v>339</v>
      </c>
      <c r="B2" s="248">
        <v>46199</v>
      </c>
      <c r="C2" s="248">
        <v>46206</v>
      </c>
      <c r="D2" s="248">
        <v>46213</v>
      </c>
      <c r="E2" s="248">
        <v>46220</v>
      </c>
      <c r="F2" s="248">
        <v>46227</v>
      </c>
      <c r="G2" s="248">
        <v>46234</v>
      </c>
      <c r="H2" s="248">
        <v>46241</v>
      </c>
      <c r="I2" s="248">
        <v>46248</v>
      </c>
      <c r="J2" s="161"/>
      <c r="K2" s="161"/>
      <c r="L2" s="161"/>
      <c r="M2" s="161"/>
      <c r="N2" s="163"/>
      <c r="O2" s="161"/>
      <c r="P2" s="163"/>
    </row>
    <row r="3" spans="1:16">
      <c r="A3" s="247" t="s">
        <v>341</v>
      </c>
      <c r="B3" s="249">
        <f t="shared" ref="B3:I3" si="0">B4</f>
        <v>29.959038932529999</v>
      </c>
      <c r="C3" s="249">
        <f t="shared" si="0"/>
        <v>29.355227401120001</v>
      </c>
      <c r="D3" s="249">
        <f t="shared" si="0"/>
        <v>31.056126253639995</v>
      </c>
      <c r="E3" s="249">
        <f t="shared" si="0"/>
        <v>31.336682253870002</v>
      </c>
      <c r="F3" s="249">
        <f t="shared" si="0"/>
        <v>31.945291834430002</v>
      </c>
      <c r="G3" s="249">
        <f t="shared" si="0"/>
        <v>31.056126253639995</v>
      </c>
      <c r="H3" s="249">
        <f t="shared" si="0"/>
        <v>31.9642466514</v>
      </c>
      <c r="I3" s="249">
        <f t="shared" si="0"/>
        <v>31.696141977819998</v>
      </c>
      <c r="J3" s="161"/>
      <c r="K3" s="161"/>
      <c r="L3" s="161"/>
      <c r="M3" s="161"/>
      <c r="N3" s="163"/>
      <c r="O3" s="161"/>
      <c r="P3" s="163"/>
    </row>
    <row r="4" spans="1:16">
      <c r="A4" s="161"/>
      <c r="B4" s="250">
        <f>'NAV Trend'!C17/1000000000</f>
        <v>29.959038932529999</v>
      </c>
      <c r="C4" s="250">
        <f>'NAV Trend'!D17/1000000000</f>
        <v>29.355227401120001</v>
      </c>
      <c r="D4" s="250">
        <f>'NAV Trend'!E17/1000000000</f>
        <v>31.056126253639995</v>
      </c>
      <c r="E4" s="250">
        <f>'NAV Trend'!F17/1000000000</f>
        <v>31.336682253870002</v>
      </c>
      <c r="F4" s="250">
        <f>'NAV Trend'!G17/1000000000</f>
        <v>31.945291834430002</v>
      </c>
      <c r="G4" s="250">
        <f>'NAV Trend'!H17/1000000000</f>
        <v>31.056126253639995</v>
      </c>
      <c r="H4" s="250">
        <f>'NAV Trend'!I17/1000000000</f>
        <v>31.9642466514</v>
      </c>
      <c r="I4" s="251">
        <f>'NAV Trend'!J17/1000000000</f>
        <v>31.696141977819998</v>
      </c>
      <c r="J4" s="161"/>
      <c r="K4" s="161"/>
      <c r="L4" s="161"/>
      <c r="M4" s="161"/>
      <c r="N4" s="163"/>
      <c r="O4" s="161"/>
      <c r="P4" s="163"/>
    </row>
    <row r="5" spans="1:16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3"/>
      <c r="O5" s="161"/>
      <c r="P5" s="163"/>
    </row>
    <row r="6" spans="1:16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3"/>
      <c r="O6" s="161"/>
    </row>
    <row r="7" spans="1:16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3"/>
      <c r="O7" s="161"/>
    </row>
    <row r="8" spans="1:16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3"/>
      <c r="O8" s="161"/>
    </row>
    <row r="9" spans="1:16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3"/>
      <c r="O9" s="161"/>
    </row>
    <row r="10" spans="1:16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3"/>
      <c r="O10" s="163"/>
    </row>
    <row r="11" spans="1:16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3"/>
      <c r="O11" s="163"/>
    </row>
    <row r="12" spans="1:16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3"/>
      <c r="O12" s="163"/>
    </row>
    <row r="13" spans="1:16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3"/>
      <c r="O13" s="163"/>
    </row>
    <row r="14" spans="1:16">
      <c r="A14" s="161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3"/>
      <c r="O14" s="163"/>
    </row>
    <row r="15" spans="1:16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</row>
    <row r="16" spans="1:16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</row>
    <row r="17" spans="1:15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</row>
    <row r="18" spans="1:1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</row>
    <row r="19" spans="1:1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</row>
    <row r="20" spans="1:1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</row>
  </sheetData>
  <sheetProtection algorithmName="SHA-512" hashValue="V2wnYK5RgfwugRi5arcsSSDVWKBlcRQusI1DueCY3XGet2T2SzDYt0PKZRX74Ecd1ujyYZiFnNgRhA67tShmeg==" saltValue="jdOo2LT4HZxfaKyag/unV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I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74" t="s">
        <v>334</v>
      </c>
      <c r="B1" s="175">
        <v>46192</v>
      </c>
      <c r="C1" s="175">
        <v>46199</v>
      </c>
      <c r="D1" s="175">
        <v>46206</v>
      </c>
      <c r="E1" s="175">
        <v>46213</v>
      </c>
      <c r="F1" s="175">
        <v>46220</v>
      </c>
      <c r="G1" s="175">
        <v>46227</v>
      </c>
      <c r="H1" s="175">
        <v>46234</v>
      </c>
      <c r="I1" s="175">
        <v>46241</v>
      </c>
      <c r="J1" s="175">
        <v>46248</v>
      </c>
    </row>
    <row r="2" spans="1:11">
      <c r="A2" s="176" t="s">
        <v>20</v>
      </c>
      <c r="B2" s="177">
        <v>242186700352.6647</v>
      </c>
      <c r="C2" s="177">
        <v>234859889140.22873</v>
      </c>
      <c r="D2" s="177">
        <v>219906762308.28189</v>
      </c>
      <c r="E2" s="177">
        <v>233624998694.32019</v>
      </c>
      <c r="F2" s="177">
        <v>236000007287.03455</v>
      </c>
      <c r="G2" s="177">
        <v>243584191406.27057</v>
      </c>
      <c r="H2" s="177">
        <v>233624998694.32019</v>
      </c>
      <c r="I2" s="177">
        <v>240418021544.64868</v>
      </c>
      <c r="J2" s="177">
        <v>235546477247.46704</v>
      </c>
    </row>
    <row r="3" spans="1:11">
      <c r="A3" s="176" t="s">
        <v>335</v>
      </c>
      <c r="B3" s="177">
        <v>5946340110063.4297</v>
      </c>
      <c r="C3" s="177">
        <v>5971554584271.5498</v>
      </c>
      <c r="D3" s="177">
        <v>6078870736633.8916</v>
      </c>
      <c r="E3" s="177">
        <v>6164179726414.5693</v>
      </c>
      <c r="F3" s="177">
        <v>6207558805093.9512</v>
      </c>
      <c r="G3" s="177">
        <v>6248357839213.2686</v>
      </c>
      <c r="H3" s="177">
        <v>6164179726414.5693</v>
      </c>
      <c r="I3" s="177">
        <v>6317695873571.1484</v>
      </c>
      <c r="J3" s="177">
        <v>6366419032258.9531</v>
      </c>
    </row>
    <row r="4" spans="1:11">
      <c r="A4" s="176" t="s">
        <v>336</v>
      </c>
      <c r="B4" s="178">
        <v>237211374820.86002</v>
      </c>
      <c r="C4" s="178">
        <v>236966322006.69998</v>
      </c>
      <c r="D4" s="178">
        <v>224778205687.13</v>
      </c>
      <c r="E4" s="178">
        <v>235470566797.78436</v>
      </c>
      <c r="F4" s="178">
        <v>232334352087.52002</v>
      </c>
      <c r="G4" s="178">
        <v>231519537257.32001</v>
      </c>
      <c r="H4" s="178">
        <v>235470566797.78436</v>
      </c>
      <c r="I4" s="178">
        <v>233630900617.31619</v>
      </c>
      <c r="J4" s="178">
        <v>232808557047.479</v>
      </c>
    </row>
    <row r="5" spans="1:11">
      <c r="A5" s="176" t="s">
        <v>184</v>
      </c>
      <c r="B5" s="177">
        <v>1831543622192.5051</v>
      </c>
      <c r="C5" s="177">
        <v>1853028825644.45</v>
      </c>
      <c r="D5" s="177">
        <v>1809497759289.1062</v>
      </c>
      <c r="E5" s="177">
        <v>1840983211609.0078</v>
      </c>
      <c r="F5" s="177">
        <v>1846186820822.3879</v>
      </c>
      <c r="G5" s="177">
        <v>1815332456606.916</v>
      </c>
      <c r="H5" s="177">
        <v>1840983211609.0078</v>
      </c>
      <c r="I5" s="177">
        <v>1807367624568.1487</v>
      </c>
      <c r="J5" s="177">
        <v>1787991095686.9766</v>
      </c>
    </row>
    <row r="6" spans="1:11">
      <c r="A6" s="176" t="s">
        <v>337</v>
      </c>
      <c r="B6" s="178">
        <v>509105404218.04999</v>
      </c>
      <c r="C6" s="178">
        <v>509492410633.63</v>
      </c>
      <c r="D6" s="178">
        <v>510574823049.37</v>
      </c>
      <c r="E6" s="178">
        <v>510399385098.47247</v>
      </c>
      <c r="F6" s="178">
        <v>514463159081.96002</v>
      </c>
      <c r="G6" s="178">
        <v>514799543384.96002</v>
      </c>
      <c r="H6" s="178">
        <v>510399385098.47247</v>
      </c>
      <c r="I6" s="178">
        <v>516172971983.63861</v>
      </c>
      <c r="J6" s="178">
        <v>515357872458.55438</v>
      </c>
    </row>
    <row r="7" spans="1:11">
      <c r="A7" s="176" t="s">
        <v>234</v>
      </c>
      <c r="B7" s="179">
        <v>153787085927.89999</v>
      </c>
      <c r="C7" s="179">
        <v>151120367802.87</v>
      </c>
      <c r="D7" s="179">
        <v>145960852012.67419</v>
      </c>
      <c r="E7" s="179">
        <v>151729930899.94</v>
      </c>
      <c r="F7" s="179">
        <v>154388918533.28998</v>
      </c>
      <c r="G7" s="179">
        <v>156906093941.63248</v>
      </c>
      <c r="H7" s="179">
        <v>151729930899.94</v>
      </c>
      <c r="I7" s="179">
        <v>158028617924.33823</v>
      </c>
      <c r="J7" s="179">
        <v>156056456839.63123</v>
      </c>
    </row>
    <row r="8" spans="1:11">
      <c r="A8" s="176" t="s">
        <v>271</v>
      </c>
      <c r="B8" s="180">
        <v>19841788312.09</v>
      </c>
      <c r="C8" s="180">
        <v>19223983706.759998</v>
      </c>
      <c r="D8" s="180">
        <v>17599717633.849998</v>
      </c>
      <c r="E8" s="180">
        <v>18942985724.459999</v>
      </c>
      <c r="F8" s="180">
        <v>19086490745.490002</v>
      </c>
      <c r="G8" s="180">
        <v>19528315351.420002</v>
      </c>
      <c r="H8" s="180">
        <v>18942985724.459999</v>
      </c>
      <c r="I8" s="180">
        <v>19658399662.889999</v>
      </c>
      <c r="J8" s="180">
        <v>19214258027.82</v>
      </c>
    </row>
    <row r="9" spans="1:11">
      <c r="A9" s="176" t="s">
        <v>338</v>
      </c>
      <c r="B9" s="180">
        <v>141495673383.96002</v>
      </c>
      <c r="C9" s="180">
        <v>138260851793.53003</v>
      </c>
      <c r="D9" s="180">
        <v>131921165339.61</v>
      </c>
      <c r="E9" s="180">
        <v>136086951484.06001</v>
      </c>
      <c r="F9" s="180">
        <v>139831898248.72</v>
      </c>
      <c r="G9" s="180">
        <v>141929775877.30997</v>
      </c>
      <c r="H9" s="180">
        <v>136086951484.06001</v>
      </c>
      <c r="I9" s="180">
        <v>147785318686.10263</v>
      </c>
      <c r="J9" s="180">
        <v>147478677239.20694</v>
      </c>
    </row>
    <row r="10" spans="1:11">
      <c r="A10" s="176" t="s">
        <v>305</v>
      </c>
      <c r="B10" s="180">
        <v>31106262396.983276</v>
      </c>
      <c r="C10" s="180">
        <v>31303744541.555901</v>
      </c>
      <c r="D10" s="180">
        <v>31376500637.018864</v>
      </c>
      <c r="E10" s="180">
        <v>31540075925.065651</v>
      </c>
      <c r="F10" s="180">
        <v>31821746689.049664</v>
      </c>
      <c r="G10" s="180">
        <v>32015793005.67083</v>
      </c>
      <c r="H10" s="180">
        <v>31540075925.065651</v>
      </c>
      <c r="I10" s="180">
        <v>32281492380.12281</v>
      </c>
      <c r="J10" s="180">
        <v>53136278649.465897</v>
      </c>
    </row>
    <row r="11" spans="1:11" ht="15.6">
      <c r="A11" s="181" t="s">
        <v>342</v>
      </c>
      <c r="B11" s="182">
        <f t="shared" ref="B11:J11" si="0">SUM(B2:B10)</f>
        <v>9112618021668.4434</v>
      </c>
      <c r="C11" s="182">
        <f t="shared" si="0"/>
        <v>9145810979541.2734</v>
      </c>
      <c r="D11" s="182">
        <f t="shared" si="0"/>
        <v>9170486522590.9316</v>
      </c>
      <c r="E11" s="182">
        <f t="shared" si="0"/>
        <v>9322957832647.6816</v>
      </c>
      <c r="F11" s="182">
        <f t="shared" si="0"/>
        <v>9381672198589.4023</v>
      </c>
      <c r="G11" s="182">
        <f t="shared" si="0"/>
        <v>9403973546044.7695</v>
      </c>
      <c r="H11" s="182">
        <f t="shared" si="0"/>
        <v>9322957832647.6816</v>
      </c>
      <c r="I11" s="182">
        <f t="shared" si="0"/>
        <v>9473039220938.3555</v>
      </c>
      <c r="J11" s="182">
        <f t="shared" si="0"/>
        <v>9514008705455.5547</v>
      </c>
    </row>
    <row r="12" spans="1:11">
      <c r="A12" s="183"/>
      <c r="B12" s="184"/>
      <c r="C12" s="184"/>
      <c r="D12" s="184"/>
      <c r="E12" s="184"/>
      <c r="F12" s="184"/>
      <c r="G12" s="184"/>
      <c r="H12" s="184"/>
      <c r="I12" s="183"/>
      <c r="J12" s="183"/>
    </row>
    <row r="13" spans="1:11" ht="15.6">
      <c r="A13" s="185" t="s">
        <v>343</v>
      </c>
      <c r="B13" s="186" t="s">
        <v>314</v>
      </c>
      <c r="C13" s="187">
        <f>(B11+C11)/2</f>
        <v>9129214500604.8594</v>
      </c>
      <c r="D13" s="188">
        <f t="shared" ref="D13:J13" si="1">(C11+D11)/2</f>
        <v>9158148751066.1016</v>
      </c>
      <c r="E13" s="188">
        <f t="shared" si="1"/>
        <v>9246722177619.3066</v>
      </c>
      <c r="F13" s="188">
        <f t="shared" si="1"/>
        <v>9352315015618.543</v>
      </c>
      <c r="G13" s="188">
        <f t="shared" si="1"/>
        <v>9392822872317.0859</v>
      </c>
      <c r="H13" s="188">
        <f t="shared" si="1"/>
        <v>9363465689346.2266</v>
      </c>
      <c r="I13" s="188">
        <f t="shared" si="1"/>
        <v>9397998526793.0195</v>
      </c>
      <c r="J13" s="188">
        <f t="shared" si="1"/>
        <v>9493523963196.9551</v>
      </c>
    </row>
    <row r="14" spans="1:11">
      <c r="C14" s="163"/>
      <c r="D14" s="163"/>
      <c r="E14" s="163"/>
      <c r="F14" s="163"/>
      <c r="G14" s="163"/>
      <c r="H14" s="163"/>
      <c r="I14" s="163"/>
      <c r="J14" s="163"/>
      <c r="K14" s="163"/>
    </row>
    <row r="15" spans="1:11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</row>
    <row r="16" spans="1:11" ht="15.6">
      <c r="A16" s="174" t="s">
        <v>3</v>
      </c>
      <c r="B16" s="175">
        <v>46192</v>
      </c>
      <c r="C16" s="175">
        <v>46199</v>
      </c>
      <c r="D16" s="175">
        <v>46206</v>
      </c>
      <c r="E16" s="175">
        <v>46213</v>
      </c>
      <c r="F16" s="175">
        <v>46220</v>
      </c>
      <c r="G16" s="175">
        <v>46227</v>
      </c>
      <c r="H16" s="175">
        <v>46234</v>
      </c>
      <c r="I16" s="175">
        <v>46241</v>
      </c>
      <c r="J16" s="175">
        <v>46248</v>
      </c>
      <c r="K16" s="163"/>
    </row>
    <row r="17" spans="1:11">
      <c r="A17" s="189" t="s">
        <v>344</v>
      </c>
      <c r="B17" s="190">
        <v>30175205285.199997</v>
      </c>
      <c r="C17" s="190">
        <v>29959038932.529999</v>
      </c>
      <c r="D17" s="190">
        <v>29355227401.119999</v>
      </c>
      <c r="E17" s="190">
        <v>31056126253.639996</v>
      </c>
      <c r="F17" s="190">
        <v>31336682253.870003</v>
      </c>
      <c r="G17" s="190">
        <v>31945291834.43</v>
      </c>
      <c r="H17" s="190">
        <v>31056126253.639996</v>
      </c>
      <c r="I17" s="190">
        <v>31964246651.400002</v>
      </c>
      <c r="J17" s="190">
        <v>31696141977.82</v>
      </c>
      <c r="K17" s="163"/>
    </row>
    <row r="18" spans="1:11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</row>
    <row r="19" spans="1:11">
      <c r="A19" s="163"/>
      <c r="B19" s="163"/>
      <c r="C19" s="191"/>
      <c r="D19" s="191"/>
      <c r="E19" s="191"/>
      <c r="F19" s="191"/>
      <c r="G19" s="191"/>
      <c r="H19" s="191"/>
      <c r="I19" s="191"/>
      <c r="J19" s="191"/>
      <c r="K19" s="163"/>
    </row>
    <row r="20" spans="1:11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</row>
    <row r="21" spans="1:11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</row>
    <row r="22" spans="1:11">
      <c r="B22" s="163"/>
      <c r="C22" s="163"/>
      <c r="D22" s="163"/>
      <c r="E22" s="163"/>
      <c r="F22" s="163"/>
      <c r="G22" s="163"/>
      <c r="H22" s="163"/>
      <c r="I22" s="163"/>
      <c r="J22" s="192"/>
      <c r="K22" s="163"/>
    </row>
    <row r="23" spans="1:11">
      <c r="B23" s="163"/>
      <c r="C23" s="163"/>
      <c r="D23" s="163"/>
      <c r="E23" s="163"/>
      <c r="F23" s="163"/>
      <c r="G23" s="163"/>
      <c r="H23" s="163"/>
      <c r="I23" s="163"/>
      <c r="J23" s="180"/>
      <c r="K23" s="161"/>
    </row>
  </sheetData>
  <sheetProtection algorithmName="SHA-512" hashValue="65HrRGioueNoHCdKl2vhSwQ2PDWD6PyoXfrzBlyERTpSX+w4FpQdxN6CcAAujoRBLmI3BVrfEtOfwBzuysYj7g==" saltValue="0iXehdhv9r+SPZ+gx1461g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C11 D11: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cp:lastPrinted>2026-08-13T11:22:50Z</cp:lastPrinted>
  <dcterms:created xsi:type="dcterms:W3CDTF">2023-10-09T09:40:00Z</dcterms:created>
  <dcterms:modified xsi:type="dcterms:W3CDTF">2026-08-28T14:13:18Z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