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2664" yWindow="2664" windowWidth="19200" windowHeight="997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Valuation'!$AC$141</definedName>
    <definedName name="NFEM_RATE" localSheetId="0">'Weekly Valuation'!$AC$141</definedName>
  </definedNames>
  <calcPr calcId="162913"/>
</workbook>
</file>

<file path=xl/calcChain.xml><?xml version="1.0" encoding="utf-8"?>
<calcChain xmlns="http://schemas.openxmlformats.org/spreadsheetml/2006/main">
  <c r="T245" i="1" l="1"/>
  <c r="R245" i="1"/>
  <c r="O245" i="1"/>
  <c r="T133" i="1"/>
  <c r="R133" i="1"/>
  <c r="O133" i="1"/>
  <c r="T132" i="1"/>
  <c r="R132" i="1"/>
  <c r="O132" i="1"/>
  <c r="V20" i="1" l="1"/>
  <c r="F11" i="1" l="1"/>
  <c r="T152" i="1" l="1"/>
  <c r="R152" i="1"/>
  <c r="O152" i="1"/>
  <c r="T155" i="1"/>
  <c r="R155" i="1"/>
  <c r="O155" i="1"/>
  <c r="T143" i="1"/>
  <c r="R143" i="1"/>
  <c r="O143" i="1"/>
  <c r="T157" i="1"/>
  <c r="R157" i="1"/>
  <c r="O157" i="1"/>
  <c r="O161" i="1"/>
  <c r="N150" i="1"/>
  <c r="T126" i="1"/>
  <c r="R126" i="1"/>
  <c r="O126" i="1"/>
  <c r="T130" i="1"/>
  <c r="R130" i="1"/>
  <c r="O130" i="1"/>
  <c r="O129" i="1"/>
  <c r="T139" i="1"/>
  <c r="R139" i="1"/>
  <c r="O139" i="1"/>
  <c r="T158" i="1"/>
  <c r="R158" i="1"/>
  <c r="O158" i="1"/>
  <c r="O151" i="1"/>
  <c r="T144" i="1"/>
  <c r="R144" i="1"/>
  <c r="O144" i="1"/>
  <c r="T247" i="1"/>
  <c r="R247" i="1"/>
  <c r="O247" i="1"/>
  <c r="T138" i="1"/>
  <c r="R138" i="1"/>
  <c r="O138" i="1"/>
  <c r="T131" i="1"/>
  <c r="R131" i="1"/>
  <c r="O131" i="1"/>
  <c r="T128" i="1"/>
  <c r="R128" i="1"/>
  <c r="O128" i="1"/>
  <c r="T156" i="1"/>
  <c r="R156" i="1"/>
  <c r="O156" i="1"/>
  <c r="T137" i="1"/>
  <c r="R137" i="1"/>
  <c r="O137" i="1"/>
  <c r="T123" i="1"/>
  <c r="R123" i="1"/>
  <c r="O123" i="1"/>
  <c r="O149" i="1"/>
  <c r="T154" i="1"/>
  <c r="R154" i="1"/>
  <c r="O154" i="1"/>
  <c r="O136" i="1"/>
  <c r="AB11" i="1"/>
  <c r="AA11" i="1"/>
  <c r="Z11" i="1"/>
  <c r="Y11" i="1"/>
  <c r="X11" i="1"/>
  <c r="O142" i="1"/>
  <c r="T242" i="1"/>
  <c r="R242" i="1"/>
  <c r="O242" i="1"/>
  <c r="T125" i="1"/>
  <c r="R125" i="1"/>
  <c r="O125" i="1"/>
  <c r="O124" i="1"/>
  <c r="R124" i="1"/>
  <c r="T124" i="1"/>
  <c r="N153" i="1" l="1"/>
  <c r="R151" i="1"/>
  <c r="X24" i="1"/>
  <c r="X25" i="1"/>
  <c r="R150" i="1"/>
  <c r="T150" i="1"/>
  <c r="T129" i="1"/>
  <c r="R129" i="1"/>
  <c r="R153" i="1"/>
  <c r="T149" i="1"/>
  <c r="R149" i="1"/>
  <c r="T136" i="1"/>
  <c r="T161" i="1" l="1"/>
  <c r="R161" i="1"/>
  <c r="X125" i="1"/>
  <c r="R136" i="1"/>
  <c r="AB202" i="1" l="1"/>
  <c r="AA202" i="1"/>
  <c r="Z202" i="1"/>
  <c r="Y202" i="1"/>
  <c r="X202" i="1"/>
  <c r="T151" i="1" l="1"/>
  <c r="T142" i="1"/>
  <c r="R142" i="1"/>
  <c r="X143" i="1" l="1"/>
  <c r="S148" i="1"/>
  <c r="X123" i="1"/>
  <c r="T160" i="1"/>
  <c r="R160" i="1"/>
  <c r="T153" i="1"/>
  <c r="Q148" i="1"/>
  <c r="T147" i="1"/>
  <c r="R147" i="1"/>
  <c r="T145" i="1"/>
  <c r="R145" i="1"/>
  <c r="O160" i="1"/>
  <c r="N148" i="1"/>
  <c r="O147" i="1"/>
  <c r="O145" i="1"/>
  <c r="T135" i="1"/>
  <c r="R135" i="1"/>
  <c r="T134" i="1"/>
  <c r="R134" i="1"/>
  <c r="T127" i="1"/>
  <c r="R127" i="1"/>
  <c r="T122" i="1"/>
  <c r="R122" i="1"/>
  <c r="O135" i="1"/>
  <c r="O134" i="1"/>
  <c r="O127" i="1"/>
  <c r="O122" i="1"/>
  <c r="O248" i="1" l="1"/>
  <c r="X159" i="1" l="1"/>
  <c r="X158" i="1"/>
  <c r="D162" i="1" l="1"/>
  <c r="N162" i="1" l="1"/>
  <c r="AB247" i="1" l="1"/>
  <c r="AA247" i="1"/>
  <c r="Z247" i="1"/>
  <c r="U248" i="1"/>
  <c r="Y247" i="1"/>
  <c r="X247" i="1"/>
  <c r="K248" i="1"/>
  <c r="E248" i="1" l="1"/>
  <c r="E238" i="1" l="1"/>
  <c r="AB136" i="1" l="1"/>
  <c r="AA136" i="1"/>
  <c r="Z136" i="1"/>
  <c r="Y136" i="1"/>
  <c r="X136" i="1"/>
  <c r="AB192" i="1"/>
  <c r="AA192" i="1"/>
  <c r="Z192" i="1"/>
  <c r="Y192" i="1"/>
  <c r="X192" i="1"/>
  <c r="AB60" i="1" l="1"/>
  <c r="AA60" i="1"/>
  <c r="Z60" i="1"/>
  <c r="Y60" i="1"/>
  <c r="X60" i="1"/>
  <c r="O204" i="1" l="1"/>
  <c r="P203" i="1" l="1"/>
  <c r="P202" i="1"/>
  <c r="P192" i="1"/>
  <c r="P190" i="1"/>
  <c r="B5" i="3"/>
  <c r="X262" i="1" l="1"/>
  <c r="X180" i="1"/>
  <c r="X89" i="1"/>
  <c r="O27" i="1" l="1"/>
  <c r="B6" i="3" l="1"/>
  <c r="P11" i="1"/>
  <c r="P10" i="1"/>
  <c r="P24" i="1"/>
  <c r="X227" i="1"/>
  <c r="AB32" i="1" l="1"/>
  <c r="AA32" i="1"/>
  <c r="Z32" i="1"/>
  <c r="Y32" i="1"/>
  <c r="X32" i="1"/>
  <c r="AB143" i="1" l="1"/>
  <c r="AA143" i="1"/>
  <c r="Z143" i="1"/>
  <c r="Y143" i="1"/>
  <c r="X34" i="1" l="1"/>
  <c r="Y34" i="1"/>
  <c r="Z34" i="1"/>
  <c r="AA34" i="1"/>
  <c r="AB34" i="1"/>
  <c r="O162" i="1" l="1"/>
  <c r="P136" i="1" s="1"/>
  <c r="P133" i="1" l="1"/>
  <c r="P143" i="1"/>
  <c r="P134" i="1"/>
  <c r="AB68" i="1" l="1"/>
  <c r="AA68" i="1"/>
  <c r="Z68" i="1"/>
  <c r="Y68" i="1"/>
  <c r="X68" i="1"/>
  <c r="K210" i="1" l="1"/>
  <c r="U210" i="1"/>
  <c r="O210" i="1"/>
  <c r="E210" i="1"/>
  <c r="AB207" i="1" l="1"/>
  <c r="AA207" i="1"/>
  <c r="Z207" i="1"/>
  <c r="Y207" i="1"/>
  <c r="X207" i="1"/>
  <c r="P207" i="1"/>
  <c r="Y198" i="1" l="1"/>
  <c r="Y86" i="1" l="1"/>
  <c r="I11" i="4" l="1"/>
  <c r="P234" i="1" l="1"/>
  <c r="X234" i="1"/>
  <c r="J11" i="4" l="1"/>
  <c r="P174" i="1"/>
  <c r="P183" i="1" l="1"/>
  <c r="P191" i="1"/>
  <c r="Y221" i="1"/>
  <c r="Y169" i="1"/>
  <c r="X38" i="1" l="1"/>
  <c r="AB25" i="1"/>
  <c r="AA25" i="1"/>
  <c r="Z25" i="1"/>
  <c r="Y25" i="1"/>
  <c r="P208" i="1" l="1"/>
  <c r="P235" i="1" l="1"/>
  <c r="AB196" i="1" l="1"/>
  <c r="AA196" i="1"/>
  <c r="Z196" i="1"/>
  <c r="Y196" i="1"/>
  <c r="X196" i="1"/>
  <c r="X149" i="1" l="1"/>
  <c r="Y137" i="1"/>
  <c r="Y133" i="1"/>
  <c r="Y132" i="1"/>
  <c r="Y245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4" i="5" s="1"/>
  <c r="B3" i="5" s="1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AB268" i="1"/>
  <c r="AA268" i="1"/>
  <c r="Y268" i="1"/>
  <c r="U268" i="1"/>
  <c r="O268" i="1"/>
  <c r="K268" i="1"/>
  <c r="E268" i="1"/>
  <c r="F266" i="1" s="1"/>
  <c r="AB267" i="1"/>
  <c r="AA267" i="1"/>
  <c r="Z267" i="1"/>
  <c r="Y267" i="1"/>
  <c r="X267" i="1"/>
  <c r="AB266" i="1"/>
  <c r="AA266" i="1"/>
  <c r="Z266" i="1"/>
  <c r="Y266" i="1"/>
  <c r="X266" i="1"/>
  <c r="AB265" i="1"/>
  <c r="AA265" i="1"/>
  <c r="Z265" i="1"/>
  <c r="Y265" i="1"/>
  <c r="X265" i="1"/>
  <c r="AB264" i="1"/>
  <c r="AA264" i="1"/>
  <c r="Z264" i="1"/>
  <c r="Y264" i="1"/>
  <c r="X264" i="1"/>
  <c r="AB263" i="1"/>
  <c r="AA263" i="1"/>
  <c r="Z263" i="1"/>
  <c r="Y263" i="1"/>
  <c r="X263" i="1"/>
  <c r="AB262" i="1"/>
  <c r="AA262" i="1"/>
  <c r="Z262" i="1"/>
  <c r="Y262" i="1"/>
  <c r="AB261" i="1"/>
  <c r="AA261" i="1"/>
  <c r="Z261" i="1"/>
  <c r="Y261" i="1"/>
  <c r="X261" i="1"/>
  <c r="AB260" i="1"/>
  <c r="AA260" i="1"/>
  <c r="Z260" i="1"/>
  <c r="Y260" i="1"/>
  <c r="X260" i="1"/>
  <c r="AB259" i="1"/>
  <c r="AA259" i="1"/>
  <c r="Z259" i="1"/>
  <c r="Y259" i="1"/>
  <c r="X259" i="1"/>
  <c r="AB258" i="1"/>
  <c r="AA258" i="1"/>
  <c r="Z258" i="1"/>
  <c r="Y258" i="1"/>
  <c r="X258" i="1"/>
  <c r="AB257" i="1"/>
  <c r="AA257" i="1"/>
  <c r="Z257" i="1"/>
  <c r="Y257" i="1"/>
  <c r="X257" i="1"/>
  <c r="AB256" i="1"/>
  <c r="AA256" i="1"/>
  <c r="Z256" i="1"/>
  <c r="Y256" i="1"/>
  <c r="X256" i="1"/>
  <c r="U253" i="1"/>
  <c r="O253" i="1"/>
  <c r="P252" i="1" s="1"/>
  <c r="K253" i="1"/>
  <c r="E253" i="1"/>
  <c r="F252" i="1" s="1"/>
  <c r="AB252" i="1"/>
  <c r="AA252" i="1"/>
  <c r="Z252" i="1"/>
  <c r="Y252" i="1"/>
  <c r="X252" i="1"/>
  <c r="AB251" i="1"/>
  <c r="AA251" i="1"/>
  <c r="Z251" i="1"/>
  <c r="Y251" i="1"/>
  <c r="X251" i="1"/>
  <c r="B21" i="2"/>
  <c r="B11" i="2" s="1"/>
  <c r="AB246" i="1"/>
  <c r="AA246" i="1"/>
  <c r="Z246" i="1"/>
  <c r="Y246" i="1"/>
  <c r="X246" i="1"/>
  <c r="AB244" i="1"/>
  <c r="AA244" i="1"/>
  <c r="Z244" i="1"/>
  <c r="Y244" i="1"/>
  <c r="X244" i="1"/>
  <c r="AB245" i="1"/>
  <c r="AA245" i="1"/>
  <c r="Z245" i="1"/>
  <c r="X245" i="1"/>
  <c r="AB243" i="1"/>
  <c r="AA243" i="1"/>
  <c r="Z243" i="1"/>
  <c r="Y243" i="1"/>
  <c r="X243" i="1"/>
  <c r="AB242" i="1"/>
  <c r="AA242" i="1"/>
  <c r="Z242" i="1"/>
  <c r="Y242" i="1"/>
  <c r="P247" i="1"/>
  <c r="AB238" i="1"/>
  <c r="AA238" i="1"/>
  <c r="Y238" i="1"/>
  <c r="U238" i="1"/>
  <c r="O238" i="1"/>
  <c r="P222" i="1" s="1"/>
  <c r="K238" i="1"/>
  <c r="AB237" i="1"/>
  <c r="AA237" i="1"/>
  <c r="Z237" i="1"/>
  <c r="Y237" i="1"/>
  <c r="X237" i="1"/>
  <c r="AB236" i="1"/>
  <c r="AA236" i="1"/>
  <c r="Z236" i="1"/>
  <c r="Y236" i="1"/>
  <c r="X236" i="1"/>
  <c r="AB235" i="1"/>
  <c r="AA235" i="1"/>
  <c r="Z235" i="1"/>
  <c r="Y235" i="1"/>
  <c r="X235" i="1"/>
  <c r="AB234" i="1"/>
  <c r="AA234" i="1"/>
  <c r="Z234" i="1"/>
  <c r="Y234" i="1"/>
  <c r="AB231" i="1"/>
  <c r="AA231" i="1"/>
  <c r="Z231" i="1"/>
  <c r="Y231" i="1"/>
  <c r="X231" i="1"/>
  <c r="AB230" i="1"/>
  <c r="AA230" i="1"/>
  <c r="Z230" i="1"/>
  <c r="Y230" i="1"/>
  <c r="X230" i="1"/>
  <c r="AB229" i="1"/>
  <c r="AA229" i="1"/>
  <c r="Z229" i="1"/>
  <c r="Y229" i="1"/>
  <c r="X229" i="1"/>
  <c r="AB228" i="1"/>
  <c r="AA228" i="1"/>
  <c r="Z228" i="1"/>
  <c r="Y228" i="1"/>
  <c r="X228" i="1"/>
  <c r="AB227" i="1"/>
  <c r="AA227" i="1"/>
  <c r="Z227" i="1"/>
  <c r="Y227" i="1"/>
  <c r="AB226" i="1"/>
  <c r="AA226" i="1"/>
  <c r="Z226" i="1"/>
  <c r="Y226" i="1"/>
  <c r="X226" i="1"/>
  <c r="AB225" i="1"/>
  <c r="AA225" i="1"/>
  <c r="Z225" i="1"/>
  <c r="Y225" i="1"/>
  <c r="X225" i="1"/>
  <c r="AB224" i="1"/>
  <c r="AA224" i="1"/>
  <c r="Z224" i="1"/>
  <c r="Y224" i="1"/>
  <c r="X224" i="1"/>
  <c r="AB223" i="1"/>
  <c r="AA223" i="1"/>
  <c r="Z223" i="1"/>
  <c r="Y223" i="1"/>
  <c r="X223" i="1"/>
  <c r="AB222" i="1"/>
  <c r="AA222" i="1"/>
  <c r="Z222" i="1"/>
  <c r="Y222" i="1"/>
  <c r="X222" i="1"/>
  <c r="AB221" i="1"/>
  <c r="AA221" i="1"/>
  <c r="Z221" i="1"/>
  <c r="X221" i="1"/>
  <c r="AB220" i="1"/>
  <c r="AA220" i="1"/>
  <c r="Z220" i="1"/>
  <c r="Y220" i="1"/>
  <c r="X220" i="1"/>
  <c r="AB219" i="1"/>
  <c r="AA219" i="1"/>
  <c r="Z219" i="1"/>
  <c r="Y219" i="1"/>
  <c r="X219" i="1"/>
  <c r="AB218" i="1"/>
  <c r="AA218" i="1"/>
  <c r="Z218" i="1"/>
  <c r="Y218" i="1"/>
  <c r="X218" i="1"/>
  <c r="AB215" i="1"/>
  <c r="AA215" i="1"/>
  <c r="Z215" i="1"/>
  <c r="Y215" i="1"/>
  <c r="X215" i="1"/>
  <c r="AB214" i="1"/>
  <c r="AA214" i="1"/>
  <c r="Z214" i="1"/>
  <c r="Y214" i="1"/>
  <c r="X214" i="1"/>
  <c r="AB210" i="1"/>
  <c r="AA210" i="1"/>
  <c r="Y210" i="1"/>
  <c r="B2" i="3"/>
  <c r="B19" i="2"/>
  <c r="B9" i="2" s="1"/>
  <c r="AB209" i="1"/>
  <c r="AA209" i="1"/>
  <c r="Z209" i="1"/>
  <c r="Y209" i="1"/>
  <c r="X209" i="1"/>
  <c r="AB208" i="1"/>
  <c r="AA208" i="1"/>
  <c r="Z208" i="1"/>
  <c r="Y208" i="1"/>
  <c r="X208" i="1"/>
  <c r="AB204" i="1"/>
  <c r="AA204" i="1"/>
  <c r="Y204" i="1"/>
  <c r="U204" i="1"/>
  <c r="K204" i="1"/>
  <c r="E204" i="1"/>
  <c r="F202" i="1" s="1"/>
  <c r="AB201" i="1"/>
  <c r="AA201" i="1"/>
  <c r="Z201" i="1"/>
  <c r="Y201" i="1"/>
  <c r="X201" i="1"/>
  <c r="AB200" i="1"/>
  <c r="AA200" i="1"/>
  <c r="Z200" i="1"/>
  <c r="Y200" i="1"/>
  <c r="X200" i="1"/>
  <c r="AB199" i="1"/>
  <c r="AA199" i="1"/>
  <c r="Z199" i="1"/>
  <c r="Y199" i="1"/>
  <c r="X199" i="1"/>
  <c r="AB198" i="1"/>
  <c r="AA198" i="1"/>
  <c r="Z198" i="1"/>
  <c r="X198" i="1"/>
  <c r="AB197" i="1"/>
  <c r="AA197" i="1"/>
  <c r="Z197" i="1"/>
  <c r="Y197" i="1"/>
  <c r="X197" i="1"/>
  <c r="AB195" i="1"/>
  <c r="AA195" i="1"/>
  <c r="Z195" i="1"/>
  <c r="Y195" i="1"/>
  <c r="X195" i="1"/>
  <c r="AB194" i="1"/>
  <c r="AA194" i="1"/>
  <c r="Z194" i="1"/>
  <c r="Y194" i="1"/>
  <c r="X194" i="1"/>
  <c r="AB193" i="1"/>
  <c r="AA193" i="1"/>
  <c r="Z193" i="1"/>
  <c r="Y193" i="1"/>
  <c r="X193" i="1"/>
  <c r="AB191" i="1"/>
  <c r="AA191" i="1"/>
  <c r="Z191" i="1"/>
  <c r="Y191" i="1"/>
  <c r="X191" i="1"/>
  <c r="AB190" i="1"/>
  <c r="AA190" i="1"/>
  <c r="Z190" i="1"/>
  <c r="Y190" i="1"/>
  <c r="X190" i="1"/>
  <c r="AB189" i="1"/>
  <c r="AA189" i="1"/>
  <c r="Z189" i="1"/>
  <c r="Y189" i="1"/>
  <c r="X189" i="1"/>
  <c r="AB188" i="1"/>
  <c r="AA188" i="1"/>
  <c r="Z188" i="1"/>
  <c r="Y188" i="1"/>
  <c r="X188" i="1"/>
  <c r="AB187" i="1"/>
  <c r="AA187" i="1"/>
  <c r="Z187" i="1"/>
  <c r="Y187" i="1"/>
  <c r="X187" i="1"/>
  <c r="AB186" i="1"/>
  <c r="AA186" i="1"/>
  <c r="Z186" i="1"/>
  <c r="Y186" i="1"/>
  <c r="X186" i="1"/>
  <c r="AB185" i="1"/>
  <c r="AA185" i="1"/>
  <c r="Z185" i="1"/>
  <c r="Y185" i="1"/>
  <c r="X185" i="1"/>
  <c r="AB184" i="1"/>
  <c r="AA184" i="1"/>
  <c r="Z184" i="1"/>
  <c r="Y184" i="1"/>
  <c r="X184" i="1"/>
  <c r="AB183" i="1"/>
  <c r="AA183" i="1"/>
  <c r="Z183" i="1"/>
  <c r="Y183" i="1"/>
  <c r="X183" i="1"/>
  <c r="AB182" i="1"/>
  <c r="AA182" i="1"/>
  <c r="Z182" i="1"/>
  <c r="Y182" i="1"/>
  <c r="X182" i="1"/>
  <c r="AB181" i="1"/>
  <c r="AA181" i="1"/>
  <c r="Z181" i="1"/>
  <c r="Y181" i="1"/>
  <c r="X181" i="1"/>
  <c r="AB180" i="1"/>
  <c r="AA180" i="1"/>
  <c r="Z180" i="1"/>
  <c r="Y180" i="1"/>
  <c r="AB179" i="1"/>
  <c r="AA179" i="1"/>
  <c r="Z179" i="1"/>
  <c r="Y179" i="1"/>
  <c r="X179" i="1"/>
  <c r="AB178" i="1"/>
  <c r="AA178" i="1"/>
  <c r="Z178" i="1"/>
  <c r="Y178" i="1"/>
  <c r="X178" i="1"/>
  <c r="AB177" i="1"/>
  <c r="AA177" i="1"/>
  <c r="Z177" i="1"/>
  <c r="Y177" i="1"/>
  <c r="X177" i="1"/>
  <c r="AB203" i="1"/>
  <c r="AA203" i="1"/>
  <c r="Z203" i="1"/>
  <c r="Y203" i="1"/>
  <c r="X203" i="1"/>
  <c r="AB176" i="1"/>
  <c r="AA176" i="1"/>
  <c r="Z176" i="1"/>
  <c r="Y176" i="1"/>
  <c r="X176" i="1"/>
  <c r="AB175" i="1"/>
  <c r="AA175" i="1"/>
  <c r="Z175" i="1"/>
  <c r="Y175" i="1"/>
  <c r="X175" i="1"/>
  <c r="AB174" i="1"/>
  <c r="AA174" i="1"/>
  <c r="Z174" i="1"/>
  <c r="Y174" i="1"/>
  <c r="X174" i="1"/>
  <c r="AB171" i="1"/>
  <c r="AA171" i="1"/>
  <c r="Y171" i="1"/>
  <c r="U171" i="1"/>
  <c r="O171" i="1"/>
  <c r="K171" i="1"/>
  <c r="E171" i="1"/>
  <c r="B17" i="2" s="1"/>
  <c r="B7" i="2" s="1"/>
  <c r="AB170" i="1"/>
  <c r="AA170" i="1"/>
  <c r="Z170" i="1"/>
  <c r="Y170" i="1"/>
  <c r="X170" i="1"/>
  <c r="AB169" i="1"/>
  <c r="AA169" i="1"/>
  <c r="Z169" i="1"/>
  <c r="X169" i="1"/>
  <c r="AB168" i="1"/>
  <c r="AA168" i="1"/>
  <c r="Z168" i="1"/>
  <c r="Y168" i="1"/>
  <c r="X168" i="1"/>
  <c r="AB167" i="1"/>
  <c r="AA167" i="1"/>
  <c r="Z167" i="1"/>
  <c r="Y167" i="1"/>
  <c r="X167" i="1"/>
  <c r="AB166" i="1"/>
  <c r="AA166" i="1"/>
  <c r="Z166" i="1"/>
  <c r="Y166" i="1"/>
  <c r="X166" i="1"/>
  <c r="AB165" i="1"/>
  <c r="AA165" i="1"/>
  <c r="Z165" i="1"/>
  <c r="Y165" i="1"/>
  <c r="X165" i="1"/>
  <c r="AB162" i="1"/>
  <c r="AA162" i="1"/>
  <c r="Y162" i="1"/>
  <c r="U162" i="1"/>
  <c r="K162" i="1"/>
  <c r="E162" i="1"/>
  <c r="F136" i="1" s="1"/>
  <c r="AB161" i="1"/>
  <c r="AA161" i="1"/>
  <c r="Z161" i="1"/>
  <c r="X161" i="1"/>
  <c r="Y161" i="1"/>
  <c r="AB160" i="1"/>
  <c r="AA160" i="1"/>
  <c r="Z160" i="1"/>
  <c r="X160" i="1"/>
  <c r="Y160" i="1"/>
  <c r="AB159" i="1"/>
  <c r="AA159" i="1"/>
  <c r="Z159" i="1"/>
  <c r="Y159" i="1"/>
  <c r="AB158" i="1"/>
  <c r="AA158" i="1"/>
  <c r="Z158" i="1"/>
  <c r="Y158" i="1"/>
  <c r="AB157" i="1"/>
  <c r="AA157" i="1"/>
  <c r="Z157" i="1"/>
  <c r="Y157" i="1"/>
  <c r="X157" i="1"/>
  <c r="AB156" i="1"/>
  <c r="AA156" i="1"/>
  <c r="Z156" i="1"/>
  <c r="Y156" i="1"/>
  <c r="X156" i="1"/>
  <c r="AB155" i="1"/>
  <c r="AA155" i="1"/>
  <c r="Z155" i="1"/>
  <c r="Y155" i="1"/>
  <c r="X155" i="1"/>
  <c r="AB154" i="1"/>
  <c r="AA154" i="1"/>
  <c r="Z154" i="1"/>
  <c r="Y154" i="1"/>
  <c r="X154" i="1"/>
  <c r="AB153" i="1"/>
  <c r="AA153" i="1"/>
  <c r="Z153" i="1"/>
  <c r="X153" i="1"/>
  <c r="Y153" i="1"/>
  <c r="AB152" i="1"/>
  <c r="AA152" i="1"/>
  <c r="Z152" i="1"/>
  <c r="Y152" i="1"/>
  <c r="X152" i="1"/>
  <c r="AB151" i="1"/>
  <c r="AA151" i="1"/>
  <c r="Z151" i="1"/>
  <c r="Y151" i="1"/>
  <c r="X151" i="1"/>
  <c r="AB150" i="1"/>
  <c r="AA150" i="1"/>
  <c r="Z150" i="1"/>
  <c r="X150" i="1"/>
  <c r="Y150" i="1"/>
  <c r="AB149" i="1"/>
  <c r="AA149" i="1"/>
  <c r="Z149" i="1"/>
  <c r="Y149" i="1"/>
  <c r="AB148" i="1"/>
  <c r="AA148" i="1"/>
  <c r="Z148" i="1"/>
  <c r="Y148" i="1"/>
  <c r="X148" i="1"/>
  <c r="AB147" i="1"/>
  <c r="AA147" i="1"/>
  <c r="Z147" i="1"/>
  <c r="Y147" i="1"/>
  <c r="X147" i="1"/>
  <c r="AB146" i="1"/>
  <c r="AA146" i="1"/>
  <c r="Z146" i="1"/>
  <c r="Y146" i="1"/>
  <c r="X146" i="1"/>
  <c r="AB145" i="1"/>
  <c r="AA145" i="1"/>
  <c r="Z145" i="1"/>
  <c r="Y145" i="1"/>
  <c r="AB144" i="1"/>
  <c r="AA144" i="1"/>
  <c r="Z144" i="1"/>
  <c r="Y144" i="1"/>
  <c r="X144" i="1"/>
  <c r="AB142" i="1"/>
  <c r="AA142" i="1"/>
  <c r="Z142" i="1"/>
  <c r="Y142" i="1"/>
  <c r="X142" i="1"/>
  <c r="AB139" i="1"/>
  <c r="AA139" i="1"/>
  <c r="Z139" i="1"/>
  <c r="Y139" i="1"/>
  <c r="X139" i="1"/>
  <c r="AB138" i="1"/>
  <c r="AA138" i="1"/>
  <c r="Z138" i="1"/>
  <c r="Y138" i="1"/>
  <c r="X138" i="1"/>
  <c r="AB137" i="1"/>
  <c r="AA137" i="1"/>
  <c r="Z137" i="1"/>
  <c r="X137" i="1"/>
  <c r="AB131" i="1"/>
  <c r="AA131" i="1"/>
  <c r="Z131" i="1"/>
  <c r="Y131" i="1"/>
  <c r="X131" i="1"/>
  <c r="AB135" i="1"/>
  <c r="AA135" i="1"/>
  <c r="Z135" i="1"/>
  <c r="Y135" i="1"/>
  <c r="X135" i="1"/>
  <c r="AB134" i="1"/>
  <c r="AA134" i="1"/>
  <c r="Z134" i="1"/>
  <c r="Y134" i="1"/>
  <c r="AB133" i="1"/>
  <c r="AA133" i="1"/>
  <c r="Z133" i="1"/>
  <c r="AB132" i="1"/>
  <c r="AA132" i="1"/>
  <c r="Z132" i="1"/>
  <c r="AB130" i="1"/>
  <c r="AA130" i="1"/>
  <c r="Z130" i="1"/>
  <c r="Y130" i="1"/>
  <c r="X130" i="1"/>
  <c r="AB129" i="1"/>
  <c r="AA129" i="1"/>
  <c r="Z129" i="1"/>
  <c r="Y129" i="1"/>
  <c r="X129" i="1"/>
  <c r="AB128" i="1"/>
  <c r="AA128" i="1"/>
  <c r="Z128" i="1"/>
  <c r="Y128" i="1"/>
  <c r="X128" i="1"/>
  <c r="AB127" i="1"/>
  <c r="AA127" i="1"/>
  <c r="Z127" i="1"/>
  <c r="Y127" i="1"/>
  <c r="X127" i="1"/>
  <c r="AB126" i="1"/>
  <c r="AA126" i="1"/>
  <c r="Z126" i="1"/>
  <c r="Y126" i="1"/>
  <c r="X126" i="1"/>
  <c r="AB125" i="1"/>
  <c r="AA125" i="1"/>
  <c r="Z125" i="1"/>
  <c r="Y125" i="1"/>
  <c r="AB124" i="1"/>
  <c r="AA124" i="1"/>
  <c r="Z124" i="1"/>
  <c r="Y124" i="1"/>
  <c r="AB123" i="1"/>
  <c r="AA123" i="1"/>
  <c r="Z123" i="1"/>
  <c r="Y123" i="1"/>
  <c r="AB122" i="1"/>
  <c r="AA122" i="1"/>
  <c r="Z122" i="1"/>
  <c r="Y122" i="1"/>
  <c r="AB118" i="1"/>
  <c r="AA118" i="1"/>
  <c r="Y118" i="1"/>
  <c r="U118" i="1"/>
  <c r="O118" i="1"/>
  <c r="P83" i="1" s="1"/>
  <c r="K118" i="1"/>
  <c r="E118" i="1"/>
  <c r="AB117" i="1"/>
  <c r="AA117" i="1"/>
  <c r="Z117" i="1"/>
  <c r="Y117" i="1"/>
  <c r="X117" i="1"/>
  <c r="AB116" i="1"/>
  <c r="AA116" i="1"/>
  <c r="Z116" i="1"/>
  <c r="Y116" i="1"/>
  <c r="X116" i="1"/>
  <c r="AB115" i="1"/>
  <c r="AA115" i="1"/>
  <c r="Z115" i="1"/>
  <c r="Y115" i="1"/>
  <c r="X115" i="1"/>
  <c r="AB114" i="1"/>
  <c r="AA114" i="1"/>
  <c r="Z114" i="1"/>
  <c r="Y114" i="1"/>
  <c r="X114" i="1"/>
  <c r="AB113" i="1"/>
  <c r="AA113" i="1"/>
  <c r="Z113" i="1"/>
  <c r="Y113" i="1"/>
  <c r="X113" i="1"/>
  <c r="AB112" i="1"/>
  <c r="AA112" i="1"/>
  <c r="Z112" i="1"/>
  <c r="Y112" i="1"/>
  <c r="X112" i="1"/>
  <c r="AB111" i="1"/>
  <c r="AA111" i="1"/>
  <c r="Z111" i="1"/>
  <c r="Y111" i="1"/>
  <c r="X111" i="1"/>
  <c r="AB110" i="1"/>
  <c r="AA110" i="1"/>
  <c r="Z110" i="1"/>
  <c r="Y110" i="1"/>
  <c r="X110" i="1"/>
  <c r="AB109" i="1"/>
  <c r="AA109" i="1"/>
  <c r="Z109" i="1"/>
  <c r="Y109" i="1"/>
  <c r="X109" i="1"/>
  <c r="AB108" i="1"/>
  <c r="AA108" i="1"/>
  <c r="Z108" i="1"/>
  <c r="Y108" i="1"/>
  <c r="X108" i="1"/>
  <c r="AB107" i="1"/>
  <c r="AA107" i="1"/>
  <c r="Z107" i="1"/>
  <c r="Y107" i="1"/>
  <c r="X107" i="1"/>
  <c r="AB106" i="1"/>
  <c r="AA106" i="1"/>
  <c r="Z106" i="1"/>
  <c r="Y106" i="1"/>
  <c r="X106" i="1"/>
  <c r="AB105" i="1"/>
  <c r="AA105" i="1"/>
  <c r="Z105" i="1"/>
  <c r="Y105" i="1"/>
  <c r="X105" i="1"/>
  <c r="AB104" i="1"/>
  <c r="AA104" i="1"/>
  <c r="Z104" i="1"/>
  <c r="Y104" i="1"/>
  <c r="X104" i="1"/>
  <c r="AB103" i="1"/>
  <c r="AA103" i="1"/>
  <c r="Z103" i="1"/>
  <c r="Y103" i="1"/>
  <c r="X103" i="1"/>
  <c r="AB102" i="1"/>
  <c r="AA102" i="1"/>
  <c r="Z102" i="1"/>
  <c r="Y102" i="1"/>
  <c r="X102" i="1"/>
  <c r="AB101" i="1"/>
  <c r="AA101" i="1"/>
  <c r="Z101" i="1"/>
  <c r="Y101" i="1"/>
  <c r="X101" i="1"/>
  <c r="AB96" i="1"/>
  <c r="AA96" i="1"/>
  <c r="Z96" i="1"/>
  <c r="Y96" i="1"/>
  <c r="X96" i="1"/>
  <c r="AB100" i="1"/>
  <c r="AA100" i="1"/>
  <c r="Z100" i="1"/>
  <c r="Y100" i="1"/>
  <c r="X100" i="1"/>
  <c r="AB99" i="1"/>
  <c r="AA99" i="1"/>
  <c r="Z99" i="1"/>
  <c r="Y99" i="1"/>
  <c r="X99" i="1"/>
  <c r="AB98" i="1"/>
  <c r="AA98" i="1"/>
  <c r="Z98" i="1"/>
  <c r="Y98" i="1"/>
  <c r="X98" i="1"/>
  <c r="AB97" i="1"/>
  <c r="AA97" i="1"/>
  <c r="Z97" i="1"/>
  <c r="Y97" i="1"/>
  <c r="X97" i="1"/>
  <c r="AB95" i="1"/>
  <c r="AA95" i="1"/>
  <c r="Z95" i="1"/>
  <c r="Y95" i="1"/>
  <c r="X95" i="1"/>
  <c r="AB94" i="1"/>
  <c r="AA94" i="1"/>
  <c r="Z94" i="1"/>
  <c r="Y94" i="1"/>
  <c r="X94" i="1"/>
  <c r="AB93" i="1"/>
  <c r="AA93" i="1"/>
  <c r="Z93" i="1"/>
  <c r="Y93" i="1"/>
  <c r="X93" i="1"/>
  <c r="AB92" i="1"/>
  <c r="AA92" i="1"/>
  <c r="Z92" i="1"/>
  <c r="Y92" i="1"/>
  <c r="X92" i="1"/>
  <c r="AB91" i="1"/>
  <c r="AA91" i="1"/>
  <c r="Z91" i="1"/>
  <c r="Y91" i="1"/>
  <c r="X91" i="1"/>
  <c r="AB90" i="1"/>
  <c r="AA90" i="1"/>
  <c r="Z90" i="1"/>
  <c r="Y90" i="1"/>
  <c r="X90" i="1"/>
  <c r="AB89" i="1"/>
  <c r="AA89" i="1"/>
  <c r="Z89" i="1"/>
  <c r="Y89" i="1"/>
  <c r="AB88" i="1"/>
  <c r="AA88" i="1"/>
  <c r="Z88" i="1"/>
  <c r="Y88" i="1"/>
  <c r="X88" i="1"/>
  <c r="AB87" i="1"/>
  <c r="AA87" i="1"/>
  <c r="Z87" i="1"/>
  <c r="Y87" i="1"/>
  <c r="X87" i="1"/>
  <c r="AB86" i="1"/>
  <c r="AA86" i="1"/>
  <c r="Z86" i="1"/>
  <c r="X86" i="1"/>
  <c r="AB85" i="1"/>
  <c r="AA85" i="1"/>
  <c r="Z85" i="1"/>
  <c r="Y85" i="1"/>
  <c r="X85" i="1"/>
  <c r="AB84" i="1"/>
  <c r="AA84" i="1"/>
  <c r="Z84" i="1"/>
  <c r="Y84" i="1"/>
  <c r="X84" i="1"/>
  <c r="AB83" i="1"/>
  <c r="AA83" i="1"/>
  <c r="Z83" i="1"/>
  <c r="Y83" i="1"/>
  <c r="X83" i="1"/>
  <c r="AB82" i="1"/>
  <c r="AA82" i="1"/>
  <c r="Z82" i="1"/>
  <c r="Y82" i="1"/>
  <c r="X82" i="1"/>
  <c r="AB81" i="1"/>
  <c r="AA81" i="1"/>
  <c r="Z81" i="1"/>
  <c r="Y81" i="1"/>
  <c r="X81" i="1"/>
  <c r="AB80" i="1"/>
  <c r="AA80" i="1"/>
  <c r="Z80" i="1"/>
  <c r="Y80" i="1"/>
  <c r="X80" i="1"/>
  <c r="AB77" i="1"/>
  <c r="AA77" i="1"/>
  <c r="Y77" i="1"/>
  <c r="U77" i="1"/>
  <c r="O77" i="1"/>
  <c r="P61" i="1" s="1"/>
  <c r="K77" i="1"/>
  <c r="E77" i="1"/>
  <c r="B14" i="2" s="1"/>
  <c r="B4" i="2" s="1"/>
  <c r="AB76" i="1"/>
  <c r="AA76" i="1"/>
  <c r="Z76" i="1"/>
  <c r="Y76" i="1"/>
  <c r="X76" i="1"/>
  <c r="AB75" i="1"/>
  <c r="AA75" i="1"/>
  <c r="Z75" i="1"/>
  <c r="Y75" i="1"/>
  <c r="X75" i="1"/>
  <c r="AB74" i="1"/>
  <c r="AA74" i="1"/>
  <c r="Z74" i="1"/>
  <c r="Y74" i="1"/>
  <c r="X74" i="1"/>
  <c r="AB73" i="1"/>
  <c r="AA73" i="1"/>
  <c r="Z73" i="1"/>
  <c r="Y73" i="1"/>
  <c r="X73" i="1"/>
  <c r="AB72" i="1"/>
  <c r="AA72" i="1"/>
  <c r="Z72" i="1"/>
  <c r="Y72" i="1"/>
  <c r="X72" i="1"/>
  <c r="AB71" i="1"/>
  <c r="AA71" i="1"/>
  <c r="Z71" i="1"/>
  <c r="Y71" i="1"/>
  <c r="X71" i="1"/>
  <c r="AB70" i="1"/>
  <c r="AA70" i="1"/>
  <c r="Z70" i="1"/>
  <c r="Y70" i="1"/>
  <c r="X70" i="1"/>
  <c r="AB69" i="1"/>
  <c r="AA69" i="1"/>
  <c r="Z69" i="1"/>
  <c r="Y69" i="1"/>
  <c r="X69" i="1"/>
  <c r="AB67" i="1"/>
  <c r="AA67" i="1"/>
  <c r="Z67" i="1"/>
  <c r="Y67" i="1"/>
  <c r="X67" i="1"/>
  <c r="AB66" i="1"/>
  <c r="AA66" i="1"/>
  <c r="Z66" i="1"/>
  <c r="Y66" i="1"/>
  <c r="X66" i="1"/>
  <c r="AB65" i="1"/>
  <c r="AA65" i="1"/>
  <c r="Z65" i="1"/>
  <c r="Y65" i="1"/>
  <c r="X65" i="1"/>
  <c r="AB64" i="1"/>
  <c r="AA64" i="1"/>
  <c r="Z64" i="1"/>
  <c r="Y64" i="1"/>
  <c r="X64" i="1"/>
  <c r="AB63" i="1"/>
  <c r="AA63" i="1"/>
  <c r="Z63" i="1"/>
  <c r="Y63" i="1"/>
  <c r="X63" i="1"/>
  <c r="AB62" i="1"/>
  <c r="AA62" i="1"/>
  <c r="Z62" i="1"/>
  <c r="Y62" i="1"/>
  <c r="X62" i="1"/>
  <c r="AB61" i="1"/>
  <c r="AA61" i="1"/>
  <c r="Z61" i="1"/>
  <c r="Y61" i="1"/>
  <c r="X61" i="1"/>
  <c r="AB59" i="1"/>
  <c r="AA59" i="1"/>
  <c r="Z59" i="1"/>
  <c r="Y59" i="1"/>
  <c r="X59" i="1"/>
  <c r="AB58" i="1"/>
  <c r="AA58" i="1"/>
  <c r="Z58" i="1"/>
  <c r="Y58" i="1"/>
  <c r="X58" i="1"/>
  <c r="AB48" i="1"/>
  <c r="AA48" i="1"/>
  <c r="Z48" i="1"/>
  <c r="Y48" i="1"/>
  <c r="X48" i="1"/>
  <c r="AB57" i="1"/>
  <c r="AA57" i="1"/>
  <c r="Z57" i="1"/>
  <c r="Y57" i="1"/>
  <c r="X57" i="1"/>
  <c r="AB56" i="1"/>
  <c r="AA56" i="1"/>
  <c r="Z56" i="1"/>
  <c r="Y56" i="1"/>
  <c r="X56" i="1"/>
  <c r="AB55" i="1"/>
  <c r="AA55" i="1"/>
  <c r="Z55" i="1"/>
  <c r="Y55" i="1"/>
  <c r="X55" i="1"/>
  <c r="AB54" i="1"/>
  <c r="AA54" i="1"/>
  <c r="Z54" i="1"/>
  <c r="Y54" i="1"/>
  <c r="X54" i="1"/>
  <c r="AB53" i="1"/>
  <c r="AA53" i="1"/>
  <c r="Z53" i="1"/>
  <c r="Y53" i="1"/>
  <c r="X53" i="1"/>
  <c r="AB52" i="1"/>
  <c r="AA52" i="1"/>
  <c r="Z52" i="1"/>
  <c r="Y52" i="1"/>
  <c r="X52" i="1"/>
  <c r="AB51" i="1"/>
  <c r="AA51" i="1"/>
  <c r="Z51" i="1"/>
  <c r="Y51" i="1"/>
  <c r="X51" i="1"/>
  <c r="AB50" i="1"/>
  <c r="AA50" i="1"/>
  <c r="Z50" i="1"/>
  <c r="Y50" i="1"/>
  <c r="X50" i="1"/>
  <c r="AB49" i="1"/>
  <c r="AA49" i="1"/>
  <c r="Z49" i="1"/>
  <c r="Y49" i="1"/>
  <c r="X49" i="1"/>
  <c r="AB47" i="1"/>
  <c r="AA47" i="1"/>
  <c r="Z47" i="1"/>
  <c r="Y47" i="1"/>
  <c r="X47" i="1"/>
  <c r="AB46" i="1"/>
  <c r="AA46" i="1"/>
  <c r="Z46" i="1"/>
  <c r="Y46" i="1"/>
  <c r="X46" i="1"/>
  <c r="AB45" i="1"/>
  <c r="AA45" i="1"/>
  <c r="Z45" i="1"/>
  <c r="Y45" i="1"/>
  <c r="X45" i="1"/>
  <c r="AB44" i="1"/>
  <c r="AA44" i="1"/>
  <c r="Z44" i="1"/>
  <c r="Y44" i="1"/>
  <c r="X44" i="1"/>
  <c r="AB43" i="1"/>
  <c r="AA43" i="1"/>
  <c r="Z43" i="1"/>
  <c r="Y43" i="1"/>
  <c r="X43" i="1"/>
  <c r="AB42" i="1"/>
  <c r="AA42" i="1"/>
  <c r="Z42" i="1"/>
  <c r="Y42" i="1"/>
  <c r="X42" i="1"/>
  <c r="AB41" i="1"/>
  <c r="AA41" i="1"/>
  <c r="Z41" i="1"/>
  <c r="Y41" i="1"/>
  <c r="X41" i="1"/>
  <c r="AB40" i="1"/>
  <c r="AA40" i="1"/>
  <c r="Z40" i="1"/>
  <c r="Y40" i="1"/>
  <c r="X40" i="1"/>
  <c r="AB39" i="1"/>
  <c r="AA39" i="1"/>
  <c r="Z39" i="1"/>
  <c r="Y39" i="1"/>
  <c r="X39" i="1"/>
  <c r="AB38" i="1"/>
  <c r="AA38" i="1"/>
  <c r="Z38" i="1"/>
  <c r="Y38" i="1"/>
  <c r="AB37" i="1"/>
  <c r="AA37" i="1"/>
  <c r="Z37" i="1"/>
  <c r="Y37" i="1"/>
  <c r="X37" i="1"/>
  <c r="AB36" i="1"/>
  <c r="AA36" i="1"/>
  <c r="Z36" i="1"/>
  <c r="Y36" i="1"/>
  <c r="X36" i="1"/>
  <c r="AB35" i="1"/>
  <c r="AA35" i="1"/>
  <c r="Z35" i="1"/>
  <c r="Y35" i="1"/>
  <c r="X35" i="1"/>
  <c r="AB33" i="1"/>
  <c r="AA33" i="1"/>
  <c r="Z33" i="1"/>
  <c r="Y33" i="1"/>
  <c r="X33" i="1"/>
  <c r="AB31" i="1"/>
  <c r="AA31" i="1"/>
  <c r="Z31" i="1"/>
  <c r="Y31" i="1"/>
  <c r="X31" i="1"/>
  <c r="AB30" i="1"/>
  <c r="AA30" i="1"/>
  <c r="Z30" i="1"/>
  <c r="Y30" i="1"/>
  <c r="X30" i="1"/>
  <c r="AB27" i="1"/>
  <c r="AA27" i="1"/>
  <c r="Y27" i="1"/>
  <c r="U27" i="1"/>
  <c r="P19" i="1"/>
  <c r="K27" i="1"/>
  <c r="E27" i="1"/>
  <c r="AB26" i="1"/>
  <c r="AA26" i="1"/>
  <c r="Z26" i="1"/>
  <c r="Y26" i="1"/>
  <c r="X26" i="1"/>
  <c r="AB24" i="1"/>
  <c r="AA24" i="1"/>
  <c r="Z24" i="1"/>
  <c r="Y24" i="1"/>
  <c r="AB23" i="1"/>
  <c r="AA23" i="1"/>
  <c r="Z23" i="1"/>
  <c r="Y23" i="1"/>
  <c r="X23" i="1"/>
  <c r="AB22" i="1"/>
  <c r="AA22" i="1"/>
  <c r="Z22" i="1"/>
  <c r="Y22" i="1"/>
  <c r="X22" i="1"/>
  <c r="AB21" i="1"/>
  <c r="AA21" i="1"/>
  <c r="Z21" i="1"/>
  <c r="Y21" i="1"/>
  <c r="X21" i="1"/>
  <c r="AB20" i="1"/>
  <c r="AA20" i="1"/>
  <c r="Z20" i="1"/>
  <c r="Y20" i="1"/>
  <c r="X20" i="1"/>
  <c r="AB19" i="1"/>
  <c r="AA19" i="1"/>
  <c r="Z19" i="1"/>
  <c r="Y19" i="1"/>
  <c r="X19" i="1"/>
  <c r="AB13" i="1"/>
  <c r="AA13" i="1"/>
  <c r="Z13" i="1"/>
  <c r="Y13" i="1"/>
  <c r="X13" i="1"/>
  <c r="AB18" i="1"/>
  <c r="AA18" i="1"/>
  <c r="Z18" i="1"/>
  <c r="Y18" i="1"/>
  <c r="X18" i="1"/>
  <c r="AB17" i="1"/>
  <c r="AA17" i="1"/>
  <c r="Z17" i="1"/>
  <c r="Y17" i="1"/>
  <c r="X17" i="1"/>
  <c r="AB16" i="1"/>
  <c r="AA16" i="1"/>
  <c r="Z16" i="1"/>
  <c r="Y16" i="1"/>
  <c r="X16" i="1"/>
  <c r="AB15" i="1"/>
  <c r="AA15" i="1"/>
  <c r="Z15" i="1"/>
  <c r="Y15" i="1"/>
  <c r="X15" i="1"/>
  <c r="AB14" i="1"/>
  <c r="AA14" i="1"/>
  <c r="Z14" i="1"/>
  <c r="Y14" i="1"/>
  <c r="X14" i="1"/>
  <c r="AB12" i="1"/>
  <c r="AA12" i="1"/>
  <c r="Z12" i="1"/>
  <c r="Y12" i="1"/>
  <c r="X12" i="1"/>
  <c r="AB10" i="1"/>
  <c r="AA10" i="1"/>
  <c r="Z10" i="1"/>
  <c r="Y10" i="1"/>
  <c r="X10" i="1"/>
  <c r="AB9" i="1"/>
  <c r="AA9" i="1"/>
  <c r="Z9" i="1"/>
  <c r="Y9" i="1"/>
  <c r="X9" i="1"/>
  <c r="AB8" i="1"/>
  <c r="AA8" i="1"/>
  <c r="Z8" i="1"/>
  <c r="Y8" i="1"/>
  <c r="X8" i="1"/>
  <c r="AB7" i="1"/>
  <c r="AA7" i="1"/>
  <c r="Z7" i="1"/>
  <c r="Y7" i="1"/>
  <c r="X7" i="1"/>
  <c r="AB6" i="1"/>
  <c r="AA6" i="1"/>
  <c r="Z6" i="1"/>
  <c r="Y6" i="1"/>
  <c r="X6" i="1"/>
  <c r="F15" i="1" l="1"/>
  <c r="P40" i="1"/>
  <c r="P69" i="1"/>
  <c r="B15" i="2"/>
  <c r="B5" i="2" s="1"/>
  <c r="F174" i="1"/>
  <c r="F192" i="1"/>
  <c r="P104" i="1"/>
  <c r="P116" i="1"/>
  <c r="B4" i="3"/>
  <c r="P229" i="1"/>
  <c r="P267" i="1"/>
  <c r="P262" i="1"/>
  <c r="P167" i="1"/>
  <c r="B8" i="3"/>
  <c r="P87" i="1"/>
  <c r="B7" i="3"/>
  <c r="F60" i="1"/>
  <c r="P60" i="1"/>
  <c r="P50" i="1"/>
  <c r="P75" i="1"/>
  <c r="P89" i="1"/>
  <c r="P96" i="1"/>
  <c r="P73" i="1"/>
  <c r="P224" i="1"/>
  <c r="P42" i="1"/>
  <c r="P74" i="1"/>
  <c r="P51" i="1"/>
  <c r="F32" i="1"/>
  <c r="P32" i="1"/>
  <c r="B16" i="2"/>
  <c r="B6" i="2" s="1"/>
  <c r="F143" i="1"/>
  <c r="P34" i="1"/>
  <c r="P100" i="1"/>
  <c r="P67" i="1"/>
  <c r="P68" i="1"/>
  <c r="P23" i="1"/>
  <c r="P36" i="1"/>
  <c r="F68" i="1"/>
  <c r="P76" i="1"/>
  <c r="P117" i="1"/>
  <c r="P236" i="1"/>
  <c r="B3" i="3"/>
  <c r="C21" i="2"/>
  <c r="C11" i="2" s="1"/>
  <c r="F13" i="4"/>
  <c r="F38" i="1"/>
  <c r="F25" i="1"/>
  <c r="F9" i="1"/>
  <c r="P14" i="1"/>
  <c r="P25" i="1"/>
  <c r="F7" i="1"/>
  <c r="F12" i="1"/>
  <c r="F17" i="1"/>
  <c r="P31" i="1"/>
  <c r="F104" i="1"/>
  <c r="P221" i="1"/>
  <c r="F116" i="1"/>
  <c r="F22" i="1"/>
  <c r="F20" i="1"/>
  <c r="Z204" i="1"/>
  <c r="F13" i="1"/>
  <c r="F103" i="1"/>
  <c r="F181" i="1"/>
  <c r="F179" i="1"/>
  <c r="F177" i="1"/>
  <c r="F176" i="1"/>
  <c r="P169" i="1"/>
  <c r="P196" i="1"/>
  <c r="P185" i="1"/>
  <c r="P49" i="1"/>
  <c r="F251" i="1"/>
  <c r="F100" i="1"/>
  <c r="F101" i="1"/>
  <c r="F98" i="1"/>
  <c r="F81" i="1"/>
  <c r="F95" i="1"/>
  <c r="F93" i="1"/>
  <c r="F105" i="1"/>
  <c r="B18" i="2"/>
  <c r="B8" i="2" s="1"/>
  <c r="F196" i="1"/>
  <c r="F167" i="1"/>
  <c r="F165" i="1"/>
  <c r="F62" i="1"/>
  <c r="F64" i="1"/>
  <c r="F71" i="1"/>
  <c r="F168" i="1"/>
  <c r="F170" i="1"/>
  <c r="F91" i="1"/>
  <c r="F114" i="1"/>
  <c r="F89" i="1"/>
  <c r="F112" i="1"/>
  <c r="F69" i="1"/>
  <c r="F87" i="1"/>
  <c r="F110" i="1"/>
  <c r="P63" i="1"/>
  <c r="P65" i="1"/>
  <c r="P70" i="1"/>
  <c r="P72" i="1"/>
  <c r="F85" i="1"/>
  <c r="F108" i="1"/>
  <c r="F66" i="1"/>
  <c r="F83" i="1"/>
  <c r="F107" i="1"/>
  <c r="F73" i="1"/>
  <c r="F75" i="1"/>
  <c r="P82" i="1"/>
  <c r="P35" i="1"/>
  <c r="B20" i="2"/>
  <c r="B10" i="2" s="1"/>
  <c r="F245" i="1"/>
  <c r="Z210" i="1"/>
  <c r="F234" i="1"/>
  <c r="F209" i="1"/>
  <c r="F183" i="1"/>
  <c r="F169" i="1"/>
  <c r="F24" i="1"/>
  <c r="D13" i="4"/>
  <c r="Z238" i="1"/>
  <c r="P90" i="1"/>
  <c r="F56" i="1"/>
  <c r="P57" i="1"/>
  <c r="F48" i="1"/>
  <c r="P58" i="1"/>
  <c r="F59" i="1"/>
  <c r="P38" i="1"/>
  <c r="F160" i="1"/>
  <c r="P129" i="1"/>
  <c r="Z268" i="1"/>
  <c r="X268" i="1"/>
  <c r="F257" i="1"/>
  <c r="F259" i="1"/>
  <c r="F261" i="1"/>
  <c r="F263" i="1"/>
  <c r="F267" i="1"/>
  <c r="F265" i="1"/>
  <c r="F256" i="1"/>
  <c r="F258" i="1"/>
  <c r="F260" i="1"/>
  <c r="F262" i="1"/>
  <c r="F264" i="1"/>
  <c r="X253" i="1"/>
  <c r="F220" i="1"/>
  <c r="F218" i="1"/>
  <c r="F214" i="1"/>
  <c r="F236" i="1"/>
  <c r="F230" i="1"/>
  <c r="F228" i="1"/>
  <c r="F226" i="1"/>
  <c r="F224" i="1"/>
  <c r="F208" i="1"/>
  <c r="F201" i="1"/>
  <c r="F199" i="1"/>
  <c r="F197" i="1"/>
  <c r="F194" i="1"/>
  <c r="F191" i="1"/>
  <c r="F175" i="1"/>
  <c r="F203" i="1"/>
  <c r="F189" i="1"/>
  <c r="F187" i="1"/>
  <c r="F185" i="1"/>
  <c r="Z171" i="1"/>
  <c r="Z162" i="1"/>
  <c r="F135" i="1"/>
  <c r="F151" i="1"/>
  <c r="F153" i="1"/>
  <c r="F122" i="1"/>
  <c r="F124" i="1"/>
  <c r="F133" i="1"/>
  <c r="F130" i="1"/>
  <c r="F139" i="1"/>
  <c r="F157" i="1"/>
  <c r="F126" i="1"/>
  <c r="F144" i="1"/>
  <c r="F146" i="1"/>
  <c r="F148" i="1"/>
  <c r="F159" i="1"/>
  <c r="F150" i="1"/>
  <c r="F134" i="1"/>
  <c r="F152" i="1"/>
  <c r="F161" i="1"/>
  <c r="F123" i="1"/>
  <c r="F131" i="1"/>
  <c r="F154" i="1"/>
  <c r="F125" i="1"/>
  <c r="F129" i="1"/>
  <c r="F132" i="1"/>
  <c r="F138" i="1"/>
  <c r="F156" i="1"/>
  <c r="F158" i="1"/>
  <c r="F137" i="1"/>
  <c r="F155" i="1"/>
  <c r="F127" i="1"/>
  <c r="F142" i="1"/>
  <c r="F145" i="1"/>
  <c r="F149" i="1"/>
  <c r="K239" i="1"/>
  <c r="K269" i="1" s="1"/>
  <c r="Z118" i="1"/>
  <c r="X118" i="1"/>
  <c r="F86" i="1"/>
  <c r="F88" i="1"/>
  <c r="F90" i="1"/>
  <c r="F106" i="1"/>
  <c r="F109" i="1"/>
  <c r="F111" i="1"/>
  <c r="F113" i="1"/>
  <c r="F115" i="1"/>
  <c r="F117" i="1"/>
  <c r="F80" i="1"/>
  <c r="F82" i="1"/>
  <c r="F92" i="1"/>
  <c r="F94" i="1"/>
  <c r="F97" i="1"/>
  <c r="F99" i="1"/>
  <c r="F96" i="1"/>
  <c r="F102" i="1"/>
  <c r="Z77" i="1"/>
  <c r="F6" i="1"/>
  <c r="F8" i="1"/>
  <c r="F10" i="1"/>
  <c r="F14" i="1"/>
  <c r="F16" i="1"/>
  <c r="F18" i="1"/>
  <c r="F19" i="1"/>
  <c r="F23" i="1"/>
  <c r="F26" i="1"/>
  <c r="F21" i="1"/>
  <c r="J13" i="4"/>
  <c r="D4" i="5"/>
  <c r="D3" i="5" s="1"/>
  <c r="H13" i="4"/>
  <c r="P214" i="1"/>
  <c r="P215" i="1"/>
  <c r="P220" i="1"/>
  <c r="P223" i="1"/>
  <c r="P226" i="1"/>
  <c r="P227" i="1"/>
  <c r="P230" i="1"/>
  <c r="P231" i="1"/>
  <c r="P237" i="1"/>
  <c r="P99" i="1"/>
  <c r="P109" i="1"/>
  <c r="P80" i="1"/>
  <c r="P86" i="1"/>
  <c r="P94" i="1"/>
  <c r="P102" i="1"/>
  <c r="P106" i="1"/>
  <c r="P113" i="1"/>
  <c r="P84" i="1"/>
  <c r="P88" i="1"/>
  <c r="P92" i="1"/>
  <c r="P97" i="1"/>
  <c r="P111" i="1"/>
  <c r="P115" i="1"/>
  <c r="P179" i="1"/>
  <c r="P180" i="1"/>
  <c r="P184" i="1"/>
  <c r="P187" i="1"/>
  <c r="P188" i="1"/>
  <c r="P193" i="1"/>
  <c r="P197" i="1"/>
  <c r="P198" i="1"/>
  <c r="P201" i="1"/>
  <c r="P175" i="1"/>
  <c r="P259" i="1"/>
  <c r="P263" i="1"/>
  <c r="P257" i="1"/>
  <c r="P261" i="1"/>
  <c r="P265" i="1"/>
  <c r="P256" i="1"/>
  <c r="P258" i="1"/>
  <c r="P260" i="1"/>
  <c r="P264" i="1"/>
  <c r="P266" i="1"/>
  <c r="P55" i="1"/>
  <c r="P176" i="1"/>
  <c r="P177" i="1"/>
  <c r="P178" i="1"/>
  <c r="P181" i="1"/>
  <c r="P182" i="1"/>
  <c r="P186" i="1"/>
  <c r="P189" i="1"/>
  <c r="P194" i="1"/>
  <c r="P195" i="1"/>
  <c r="P199" i="1"/>
  <c r="P200" i="1"/>
  <c r="F30" i="1"/>
  <c r="F33" i="1"/>
  <c r="F36" i="1"/>
  <c r="P37" i="1"/>
  <c r="P6" i="1"/>
  <c r="P16" i="1"/>
  <c r="P8" i="1"/>
  <c r="P18" i="1"/>
  <c r="P7" i="1"/>
  <c r="P9" i="1"/>
  <c r="P12" i="1"/>
  <c r="P15" i="1"/>
  <c r="P17" i="1"/>
  <c r="P20" i="1"/>
  <c r="P13" i="1"/>
  <c r="P22" i="1"/>
  <c r="P81" i="1"/>
  <c r="F84" i="1"/>
  <c r="P85" i="1"/>
  <c r="P91" i="1"/>
  <c r="P93" i="1"/>
  <c r="P95" i="1"/>
  <c r="P98" i="1"/>
  <c r="P101" i="1"/>
  <c r="P103" i="1"/>
  <c r="P105" i="1"/>
  <c r="P107" i="1"/>
  <c r="P108" i="1"/>
  <c r="P110" i="1"/>
  <c r="P112" i="1"/>
  <c r="P114" i="1"/>
  <c r="P39" i="1"/>
  <c r="F40" i="1"/>
  <c r="P41" i="1"/>
  <c r="F42" i="1"/>
  <c r="P43" i="1"/>
  <c r="P44" i="1"/>
  <c r="F45" i="1"/>
  <c r="P46" i="1"/>
  <c r="F47" i="1"/>
  <c r="F50" i="1"/>
  <c r="F52" i="1"/>
  <c r="P53" i="1"/>
  <c r="F54" i="1"/>
  <c r="U239" i="1"/>
  <c r="U269" i="1" s="1"/>
  <c r="P218" i="1"/>
  <c r="P219" i="1"/>
  <c r="P225" i="1"/>
  <c r="P228" i="1"/>
  <c r="P21" i="1"/>
  <c r="P30" i="1"/>
  <c r="F31" i="1"/>
  <c r="P33" i="1"/>
  <c r="F35" i="1"/>
  <c r="F37" i="1"/>
  <c r="F39" i="1"/>
  <c r="F41" i="1"/>
  <c r="F43" i="1"/>
  <c r="P45" i="1"/>
  <c r="F46" i="1"/>
  <c r="P47" i="1"/>
  <c r="F49" i="1"/>
  <c r="F51" i="1"/>
  <c r="P52" i="1"/>
  <c r="F53" i="1"/>
  <c r="P54" i="1"/>
  <c r="P56" i="1"/>
  <c r="F57" i="1"/>
  <c r="P48" i="1"/>
  <c r="F58" i="1"/>
  <c r="P59" i="1"/>
  <c r="F61" i="1"/>
  <c r="P62" i="1"/>
  <c r="F63" i="1"/>
  <c r="P64" i="1"/>
  <c r="F65" i="1"/>
  <c r="P66" i="1"/>
  <c r="F67" i="1"/>
  <c r="F70" i="1"/>
  <c r="P71" i="1"/>
  <c r="F72" i="1"/>
  <c r="F74" i="1"/>
  <c r="F76" i="1"/>
  <c r="C13" i="2"/>
  <c r="C3" i="2" s="1"/>
  <c r="X77" i="1"/>
  <c r="X122" i="1"/>
  <c r="X124" i="1"/>
  <c r="X132" i="1"/>
  <c r="X133" i="1"/>
  <c r="X134" i="1"/>
  <c r="C17" i="2"/>
  <c r="C7" i="2" s="1"/>
  <c r="X171" i="1"/>
  <c r="P170" i="1"/>
  <c r="P168" i="1"/>
  <c r="P166" i="1"/>
  <c r="P165" i="1"/>
  <c r="P244" i="1"/>
  <c r="P242" i="1"/>
  <c r="X248" i="1"/>
  <c r="P246" i="1"/>
  <c r="P243" i="1"/>
  <c r="P26" i="1"/>
  <c r="B13" i="2"/>
  <c r="B3" i="2" s="1"/>
  <c r="E239" i="1"/>
  <c r="F238" i="1" s="1"/>
  <c r="X27" i="1"/>
  <c r="Z27" i="1"/>
  <c r="B10" i="3"/>
  <c r="C14" i="2"/>
  <c r="C4" i="2" s="1"/>
  <c r="C15" i="2"/>
  <c r="C5" i="2" s="1"/>
  <c r="P146" i="1"/>
  <c r="F147" i="1"/>
  <c r="P147" i="1"/>
  <c r="F178" i="1"/>
  <c r="F180" i="1"/>
  <c r="F182" i="1"/>
  <c r="F184" i="1"/>
  <c r="F186" i="1"/>
  <c r="F188" i="1"/>
  <c r="F190" i="1"/>
  <c r="F193" i="1"/>
  <c r="F195" i="1"/>
  <c r="F198" i="1"/>
  <c r="F200" i="1"/>
  <c r="P209" i="1"/>
  <c r="X210" i="1"/>
  <c r="F215" i="1"/>
  <c r="F219" i="1"/>
  <c r="F222" i="1"/>
  <c r="F225" i="1"/>
  <c r="F227" i="1"/>
  <c r="F229" i="1"/>
  <c r="F231" i="1"/>
  <c r="F235" i="1"/>
  <c r="F237" i="1"/>
  <c r="X242" i="1"/>
  <c r="P245" i="1"/>
  <c r="F244" i="1"/>
  <c r="P251" i="1"/>
  <c r="C18" i="2"/>
  <c r="C8" i="2" s="1"/>
  <c r="C19" i="2"/>
  <c r="C9" i="2" s="1"/>
  <c r="C20" i="2"/>
  <c r="C10" i="2" s="1"/>
  <c r="C13" i="4"/>
  <c r="E13" i="4"/>
  <c r="G13" i="4"/>
  <c r="I13" i="4"/>
  <c r="X204" i="1"/>
  <c r="X238" i="1"/>
  <c r="F242" i="1"/>
  <c r="F243" i="1"/>
  <c r="F246" i="1"/>
  <c r="B9" i="3" l="1"/>
  <c r="P161" i="1"/>
  <c r="P149" i="1"/>
  <c r="P131" i="1"/>
  <c r="P124" i="1"/>
  <c r="P151" i="1"/>
  <c r="P126" i="1"/>
  <c r="P142" i="1"/>
  <c r="P158" i="1"/>
  <c r="P155" i="1"/>
  <c r="O239" i="1"/>
  <c r="P162" i="1" s="1"/>
  <c r="P123" i="1"/>
  <c r="P153" i="1"/>
  <c r="P130" i="1"/>
  <c r="P138" i="1"/>
  <c r="P145" i="1"/>
  <c r="P156" i="1"/>
  <c r="C16" i="2"/>
  <c r="C6" i="2" s="1"/>
  <c r="P160" i="1"/>
  <c r="P122" i="1"/>
  <c r="P154" i="1"/>
  <c r="P128" i="1"/>
  <c r="P159" i="1"/>
  <c r="P132" i="1"/>
  <c r="P148" i="1"/>
  <c r="P125" i="1"/>
  <c r="P127" i="1"/>
  <c r="P135" i="1"/>
  <c r="P137" i="1"/>
  <c r="P139" i="1"/>
  <c r="P144" i="1"/>
  <c r="P150" i="1"/>
  <c r="P152" i="1"/>
  <c r="P157" i="1"/>
  <c r="X162" i="1"/>
  <c r="F204" i="1"/>
  <c r="F118" i="1"/>
  <c r="E269" i="1"/>
  <c r="F210" i="1"/>
  <c r="F162" i="1"/>
  <c r="F171" i="1"/>
  <c r="F27" i="1"/>
  <c r="F77" i="1"/>
  <c r="P210" i="1" l="1"/>
  <c r="X239" i="1"/>
  <c r="P77" i="1"/>
  <c r="P238" i="1"/>
  <c r="P171" i="1"/>
  <c r="P204" i="1"/>
  <c r="O269" i="1"/>
  <c r="P118" i="1"/>
  <c r="P27" i="1"/>
</calcChain>
</file>

<file path=xl/sharedStrings.xml><?xml version="1.0" encoding="utf-8"?>
<sst xmlns="http://schemas.openxmlformats.org/spreadsheetml/2006/main" count="1674" uniqueCount="349">
  <si>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</si>
  <si>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</si>
  <si>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</si>
  <si>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</si>
  <si>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</si>
  <si>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</si>
  <si>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</si>
  <si>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</si>
  <si>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</si>
  <si>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</si>
  <si>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</si>
  <si>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</si>
  <si>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</si>
  <si>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</si>
  <si>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</si>
  <si>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</si>
  <si>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</si>
  <si>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</si>
  <si>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</si>
  <si>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</si>
  <si>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</si>
  <si>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</si>
  <si>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</si>
  <si>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</si>
  <si>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</si>
  <si>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</si>
  <si>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</si>
  <si>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</si>
  <si>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</si>
  <si>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</si>
  <si>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</si>
  <si>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</si>
  <si>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</si>
  <si>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</si>
  <si>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</si>
  <si>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</si>
  <si>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</si>
  <si>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</si>
  <si>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</si>
  <si>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</si>
  <si>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</si>
  <si>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</si>
  <si>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</si>
  <si>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</si>
  <si>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</si>
  <si>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</si>
  <si>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</si>
  <si>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</si>
  <si>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</si>
  <si>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</si>
  <si>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</si>
  <si>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</si>
  <si>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</si>
  <si>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</si>
  <si>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</si>
  <si>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</si>
  <si>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</si>
  <si>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</si>
  <si>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</si>
  <si>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</si>
  <si>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</si>
  <si>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</si>
  <si>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</si>
  <si>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</si>
  <si>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</si>
  <si>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</si>
  <si>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</si>
  <si>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</si>
  <si>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</si>
  <si>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</si>
  <si>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</si>
  <si>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</si>
  <si>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</si>
  <si>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</si>
  <si>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</si>
  <si>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</si>
  <si>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</si>
  <si>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</si>
  <si>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</si>
  <si>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</si>
  <si>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</si>
  <si>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</si>
  <si>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</si>
  <si>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</si>
  <si>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</si>
  <si>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</si>
  <si>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</si>
  <si>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</si>
  <si>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</si>
  <si>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</si>
  <si>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</si>
  <si>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</si>
  <si>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</si>
  <si>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</si>
  <si>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</si>
  <si>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</si>
  <si>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</si>
  <si>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</si>
  <si>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</si>
  <si>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</si>
  <si>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</si>
  <si>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</si>
  <si>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</si>
  <si>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</si>
  <si>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</si>
  <si>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</si>
  <si>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</si>
  <si>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</si>
  <si>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</si>
  <si>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</si>
  <si>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</si>
  <si>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</si>
  <si>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</si>
  <si>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</si>
  <si>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</si>
  <si>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</si>
  <si>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</si>
  <si>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</si>
  <si>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</si>
  <si>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</si>
  <si>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</si>
  <si>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</si>
  <si>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</si>
  <si>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</si>
  <si>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</si>
  <si>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</si>
  <si>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</si>
  <si>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</si>
  <si>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</si>
  <si>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</si>
  <si>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</si>
  <si>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</si>
  <si>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</si>
  <si>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</si>
  <si>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</si>
  <si>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</si>
  <si>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</si>
  <si>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</si>
  <si>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</si>
  <si>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</si>
  <si>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GDL Income Fund</t>
  </si>
  <si>
    <t>Guaranty Trust Fixed Income Fund</t>
  </si>
  <si>
    <t>Lead Fixed Income Fund</t>
  </si>
  <si>
    <t>Lead Asset Management Limited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</si>
  <si>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</si>
  <si>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</si>
  <si>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</si>
  <si>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</si>
  <si>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</si>
  <si>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</si>
  <si>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</si>
  <si>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</si>
  <si>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</si>
  <si>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</si>
  <si>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</si>
  <si>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</si>
  <si>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</si>
  <si>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</si>
  <si>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</si>
  <si>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</si>
  <si>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</si>
  <si>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</si>
  <si>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</si>
  <si>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</si>
  <si>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</si>
  <si>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</si>
  <si>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</si>
  <si>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</si>
  <si>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</si>
  <si>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</si>
  <si>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</si>
  <si>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</si>
  <si>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</si>
  <si>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</si>
  <si>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FSL Eurobond Fund</t>
  </si>
  <si>
    <t>Futureview Dollar Fund</t>
  </si>
  <si>
    <t>Norrenberger Dollar Fund</t>
  </si>
  <si>
    <t>PACAM Eurobond Fund</t>
  </si>
  <si>
    <t>United Capital Nigerian Eurobond Fund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</si>
  <si>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</si>
  <si>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</si>
  <si>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</si>
  <si>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</si>
  <si>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</si>
  <si>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</si>
  <si>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</si>
  <si>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</si>
  <si>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</si>
  <si>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</si>
  <si>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</si>
  <si>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</si>
  <si>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</si>
  <si>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</si>
  <si>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</si>
  <si>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</si>
  <si>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</si>
  <si>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</si>
  <si>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</si>
  <si>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</si>
  <si>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</si>
  <si>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</si>
  <si>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</si>
  <si>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</si>
  <si>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</si>
  <si>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</si>
  <si>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</si>
  <si>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</si>
  <si>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</si>
  <si>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</si>
  <si>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</si>
  <si>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</si>
  <si>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</si>
  <si>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</si>
  <si>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</si>
  <si>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</si>
  <si>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</si>
  <si>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</si>
  <si>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</si>
  <si>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</si>
  <si>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</si>
  <si>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</si>
  <si>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</si>
  <si>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</si>
  <si>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</si>
  <si>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</si>
  <si>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</si>
  <si>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</si>
  <si>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</si>
  <si>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</si>
  <si>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</si>
  <si>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</si>
  <si>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</si>
  <si>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</si>
  <si>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</si>
  <si>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</si>
  <si>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</si>
  <si>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</si>
  <si>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</si>
  <si>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</si>
  <si>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</si>
  <si>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</si>
  <si>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</si>
  <si>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</si>
  <si>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</si>
  <si>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</si>
  <si>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</si>
  <si>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</si>
  <si>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</si>
  <si>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</si>
  <si>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</si>
  <si>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</si>
  <si>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</si>
  <si>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</si>
  <si>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</si>
  <si>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</si>
  <si>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</si>
  <si>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</si>
  <si>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</si>
  <si>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</si>
  <si>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</si>
  <si>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</si>
  <si>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</si>
  <si>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</si>
  <si>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</si>
  <si>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</si>
  <si>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FCMB-TLG Private Debt Fund</t>
  </si>
  <si>
    <t>United Capital Children Investment Fund</t>
  </si>
  <si>
    <t>Nigeria Infrastructure Debt Fund (NIDF)</t>
  </si>
  <si>
    <t>Chapel Hill Denham Management Limited</t>
  </si>
  <si>
    <t>United Capital Infrastructure Fund</t>
  </si>
  <si>
    <t>Infrastructure Funds Total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</si>
  <si>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</si>
  <si>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</si>
  <si>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</si>
  <si>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</si>
  <si>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</si>
  <si>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</si>
  <si>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</si>
  <si>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</si>
  <si>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</si>
  <si>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</si>
  <si>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</si>
  <si>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</si>
  <si>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</si>
  <si>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</si>
  <si>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</si>
  <si>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</si>
  <si>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</si>
  <si>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</si>
  <si>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</si>
  <si>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</si>
  <si>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</si>
  <si>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</si>
  <si>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</si>
  <si>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</si>
  <si>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</si>
  <si>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</si>
  <si>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</si>
  <si>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</si>
  <si>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</si>
  <si>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</si>
  <si>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</si>
  <si>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</si>
  <si>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</si>
  <si>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</si>
  <si>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</si>
  <si>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</si>
  <si>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</si>
  <si>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</si>
  <si>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</si>
  <si>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</si>
  <si>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</si>
  <si>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Myrtle Asset Management Limited</t>
  </si>
  <si>
    <t>Myrtle Balanced Plus Fund</t>
  </si>
  <si>
    <t>Myrtle Dollar Shield Fund</t>
  </si>
  <si>
    <t>ValuAlliance Specialized Dollar Fund</t>
  </si>
  <si>
    <t>FCMBAM Debt Fund</t>
  </si>
  <si>
    <t>FCMBAM Money Market Fund</t>
  </si>
  <si>
    <t>FCMBAM Equity Fund</t>
  </si>
  <si>
    <t>FCMBAM USD Bond Fund</t>
  </si>
  <si>
    <t>First Asset Nigeria Smart Beta Equity Fund</t>
  </si>
  <si>
    <t>First Asset Money Market Fund</t>
  </si>
  <si>
    <t>First Asset Bond Fund</t>
  </si>
  <si>
    <t>First Asset Dollar Fund (Retail)</t>
  </si>
  <si>
    <t>First Asset Specialized Dollar Fund</t>
  </si>
  <si>
    <t>First Asset Balanced Fund</t>
  </si>
  <si>
    <t>First Asset Halal Fund</t>
  </si>
  <si>
    <t>First Asset Blended Dollar Fund</t>
  </si>
  <si>
    <r>
      <t>NAV (</t>
    </r>
    <r>
      <rPr>
        <b/>
        <sz val="8"/>
        <color theme="1"/>
        <rFont val="Calibri"/>
        <family val="2"/>
      </rPr>
      <t>$</t>
    </r>
    <r>
      <rPr>
        <b/>
        <sz val="8"/>
        <color theme="1"/>
        <rFont val="Arial Narrow"/>
        <family val="2"/>
      </rPr>
      <t>)</t>
    </r>
  </si>
  <si>
    <t>N/A</t>
  </si>
  <si>
    <t>Bid Price ($)</t>
  </si>
  <si>
    <t>Offer Price ($)</t>
  </si>
  <si>
    <t>FIXED INCOME</t>
  </si>
  <si>
    <t>BALANCED</t>
  </si>
  <si>
    <t>EQUITY</t>
  </si>
  <si>
    <t>SHARIAH COMPLIANT FUNDS</t>
  </si>
  <si>
    <t>REAL ESTATE INVESTMENT TRUSTS</t>
  </si>
  <si>
    <t>EUROBONDS</t>
  </si>
  <si>
    <t>Myrtle Nest Money Market Fund</t>
  </si>
  <si>
    <t xml:space="preserve"> </t>
  </si>
  <si>
    <t>Zenith Balanced Strategy Fund</t>
  </si>
  <si>
    <t>NAV, Unit Price and Yield as at Week Ended July 3, 2026</t>
  </si>
  <si>
    <t>Week Ended July 3, 2026</t>
  </si>
  <si>
    <t>WEEKLY VALUATION REPORT OF COLLECTIVE INVESTMENT SCHEMES AS AT WEEK ENDED FRIDAY, JULY 10, 2026</t>
  </si>
  <si>
    <t>NAV, Unit Price and Yield as at Week Ended July 10, 2026</t>
  </si>
  <si>
    <t>NFEM RATE NG₦/US$ as at 10th July, 2026 = N1379.6201</t>
  </si>
  <si>
    <t>Coronation Equity Fund</t>
  </si>
  <si>
    <t> 1.54</t>
  </si>
  <si>
    <t>Week Ended 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</si>
</sst>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6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entury Gothic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2"/>
      <color rgb="FF000000"/>
      <name val="Aptos"/>
    </font>
    <font>
      <b/>
      <sz val="8"/>
      <color theme="1"/>
      <name val="Calibri"/>
      <family val="2"/>
    </font>
    <font>
      <sz val="11"/>
      <color theme="3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9"/>
      <color rgb="FF000000"/>
      <name val="Times New Roman"/>
      <family val="1"/>
    </font>
    <font>
      <sz val="1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</borders>
  <cellStyleXfs count="101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43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9" fillId="21" borderId="0" applyNumberFormat="0" applyBorder="0" applyAlignment="0" applyProtection="0"/>
    <xf numFmtId="0" fontId="40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5" fillId="0" borderId="1" xfId="0" applyFont="1" applyBorder="1" applyAlignment="1">
      <alignment horizontal="right"/>
    </xf>
    <xf numFmtId="16" fontId="6" fillId="2" borderId="1" xfId="0" applyNumberFormat="1" applyFont="1" applyFill="1" applyBorder="1"/>
    <xf numFmtId="0" fontId="6" fillId="0" borderId="1" xfId="0" applyFont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/>
    <xf numFmtId="4" fontId="8" fillId="2" borderId="1" xfId="0" applyNumberFormat="1" applyFont="1" applyFill="1" applyBorder="1"/>
    <xf numFmtId="164" fontId="7" fillId="2" borderId="1" xfId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/>
    </xf>
    <xf numFmtId="43" fontId="9" fillId="3" borderId="1" xfId="0" applyNumberFormat="1" applyFont="1" applyFill="1" applyBorder="1"/>
    <xf numFmtId="0" fontId="8" fillId="0" borderId="0" xfId="0" applyFont="1"/>
    <xf numFmtId="164" fontId="8" fillId="0" borderId="0" xfId="1" applyFont="1"/>
    <xf numFmtId="0" fontId="5" fillId="4" borderId="1" xfId="0" applyFont="1" applyFill="1" applyBorder="1" applyAlignment="1">
      <alignment horizontal="right"/>
    </xf>
    <xf numFmtId="43" fontId="5" fillId="4" borderId="1" xfId="0" applyNumberFormat="1" applyFont="1" applyFill="1" applyBorder="1"/>
    <xf numFmtId="164" fontId="5" fillId="4" borderId="1" xfId="1" applyFont="1" applyFill="1" applyBorder="1"/>
    <xf numFmtId="0" fontId="10" fillId="0" borderId="0" xfId="0" applyFont="1"/>
    <xf numFmtId="0" fontId="11" fillId="0" borderId="1" xfId="0" applyFont="1" applyBorder="1" applyAlignment="1">
      <alignment horizontal="right"/>
    </xf>
    <xf numFmtId="164" fontId="7" fillId="0" borderId="1" xfId="1" applyFont="1" applyBorder="1"/>
    <xf numFmtId="164" fontId="10" fillId="0" borderId="0" xfId="1" applyFont="1"/>
    <xf numFmtId="43" fontId="10" fillId="0" borderId="0" xfId="0" applyNumberFormat="1" applyFont="1"/>
    <xf numFmtId="0" fontId="12" fillId="0" borderId="0" xfId="0" applyFont="1"/>
    <xf numFmtId="0" fontId="8" fillId="2" borderId="0" xfId="0" applyFont="1" applyFill="1" applyAlignment="1">
      <alignment wrapText="1"/>
    </xf>
    <xf numFmtId="10" fontId="25" fillId="10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164" fontId="22" fillId="0" borderId="0" xfId="1" applyFont="1"/>
    <xf numFmtId="2" fontId="0" fillId="0" borderId="0" xfId="0" applyNumberFormat="1"/>
    <xf numFmtId="165" fontId="0" fillId="0" borderId="0" xfId="0" applyNumberFormat="1"/>
    <xf numFmtId="4" fontId="27" fillId="10" borderId="0" xfId="0" applyNumberFormat="1" applyFont="1" applyFill="1" applyAlignment="1">
      <alignment horizontal="right" vertical="center" wrapText="1"/>
    </xf>
    <xf numFmtId="166" fontId="14" fillId="0" borderId="0" xfId="1" applyNumberFormat="1" applyFont="1"/>
    <xf numFmtId="4" fontId="30" fillId="0" borderId="0" xfId="0" applyNumberFormat="1" applyFont="1"/>
    <xf numFmtId="164" fontId="0" fillId="0" borderId="0" xfId="1" applyFont="1"/>
    <xf numFmtId="0" fontId="33" fillId="0" borderId="0" xfId="0" applyFont="1"/>
    <xf numFmtId="0" fontId="34" fillId="0" borderId="0" xfId="0" applyFont="1"/>
    <xf numFmtId="43" fontId="0" fillId="0" borderId="0" xfId="0" applyNumberFormat="1"/>
    <xf numFmtId="0" fontId="35" fillId="0" borderId="0" xfId="0" applyFont="1"/>
    <xf numFmtId="0" fontId="23" fillId="2" borderId="0" xfId="0" applyFont="1" applyFill="1" applyAlignment="1">
      <alignment wrapText="1"/>
    </xf>
    <xf numFmtId="43" fontId="35" fillId="0" borderId="0" xfId="16" applyFont="1" applyBorder="1"/>
    <xf numFmtId="2" fontId="35" fillId="0" borderId="0" xfId="0" applyNumberFormat="1" applyFont="1"/>
    <xf numFmtId="10" fontId="35" fillId="0" borderId="0" xfId="2" applyNumberFormat="1" applyFont="1" applyBorder="1"/>
    <xf numFmtId="10" fontId="36" fillId="0" borderId="0" xfId="2" applyNumberFormat="1" applyFont="1" applyBorder="1"/>
    <xf numFmtId="10" fontId="0" fillId="0" borderId="0" xfId="2" applyNumberFormat="1" applyFont="1"/>
    <xf numFmtId="43" fontId="5" fillId="4" borderId="1" xfId="0" quotePrefix="1" applyNumberFormat="1" applyFont="1" applyFill="1" applyBorder="1" applyAlignment="1">
      <alignment horizontal="center"/>
    </xf>
    <xf numFmtId="0" fontId="43" fillId="0" borderId="0" xfId="0" applyFont="1"/>
    <xf numFmtId="0" fontId="44" fillId="0" borderId="0" xfId="0" applyFont="1"/>
    <xf numFmtId="0" fontId="4" fillId="0" borderId="0" xfId="0" applyFont="1"/>
    <xf numFmtId="0" fontId="45" fillId="0" borderId="0" xfId="0" applyFont="1"/>
    <xf numFmtId="0" fontId="11" fillId="0" borderId="0" xfId="0" applyFont="1" applyAlignment="1">
      <alignment horizontal="right"/>
    </xf>
    <xf numFmtId="10" fontId="25" fillId="10" borderId="0" xfId="2" applyNumberFormat="1" applyFont="1" applyFill="1" applyAlignment="1">
      <alignment horizontal="right" vertical="center" wrapText="1"/>
    </xf>
    <xf numFmtId="164" fontId="46" fillId="2" borderId="2" xfId="1" applyFont="1" applyFill="1" applyBorder="1"/>
    <xf numFmtId="10" fontId="46" fillId="2" borderId="2" xfId="2" applyNumberFormat="1" applyFont="1" applyFill="1" applyBorder="1"/>
    <xf numFmtId="164" fontId="46" fillId="2" borderId="2" xfId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8" fillId="6" borderId="3" xfId="0" applyFont="1" applyFill="1" applyBorder="1"/>
    <xf numFmtId="0" fontId="16" fillId="7" borderId="3" xfId="0" applyFont="1" applyFill="1" applyBorder="1"/>
    <xf numFmtId="0" fontId="17" fillId="7" borderId="3" xfId="0" applyFont="1" applyFill="1" applyBorder="1"/>
    <xf numFmtId="4" fontId="21" fillId="2" borderId="3" xfId="0" applyNumberFormat="1" applyFont="1" applyFill="1" applyBorder="1" applyAlignment="1">
      <alignment wrapText="1"/>
    </xf>
    <xf numFmtId="0" fontId="21" fillId="2" borderId="3" xfId="0" applyFont="1" applyFill="1" applyBorder="1" applyAlignment="1">
      <alignment wrapText="1"/>
    </xf>
    <xf numFmtId="4" fontId="19" fillId="2" borderId="3" xfId="0" applyNumberFormat="1" applyFont="1" applyFill="1" applyBorder="1"/>
    <xf numFmtId="10" fontId="19" fillId="7" borderId="3" xfId="2" applyNumberFormat="1" applyFont="1" applyFill="1" applyBorder="1" applyAlignment="1">
      <alignment horizontal="center"/>
    </xf>
    <xf numFmtId="164" fontId="19" fillId="9" borderId="3" xfId="1" applyFont="1" applyFill="1" applyBorder="1" applyAlignment="1">
      <alignment horizontal="center"/>
    </xf>
    <xf numFmtId="10" fontId="19" fillId="9" borderId="3" xfId="2" applyNumberFormat="1" applyFont="1" applyFill="1" applyBorder="1" applyAlignment="1">
      <alignment horizontal="center"/>
    </xf>
    <xf numFmtId="4" fontId="21" fillId="2" borderId="3" xfId="0" applyNumberFormat="1" applyFont="1" applyFill="1" applyBorder="1"/>
    <xf numFmtId="10" fontId="21" fillId="7" borderId="3" xfId="2" applyNumberFormat="1" applyFont="1" applyFill="1" applyBorder="1" applyAlignment="1">
      <alignment horizontal="center"/>
    </xf>
    <xf numFmtId="164" fontId="21" fillId="9" borderId="3" xfId="1" applyFont="1" applyFill="1" applyBorder="1" applyAlignment="1">
      <alignment horizontal="center"/>
    </xf>
    <xf numFmtId="10" fontId="21" fillId="9" borderId="3" xfId="2" applyNumberFormat="1" applyFont="1" applyFill="1" applyBorder="1" applyAlignment="1">
      <alignment horizontal="center"/>
    </xf>
    <xf numFmtId="2" fontId="22" fillId="0" borderId="3" xfId="0" applyNumberFormat="1" applyFont="1" applyBorder="1"/>
    <xf numFmtId="164" fontId="21" fillId="2" borderId="3" xfId="1" applyFont="1" applyFill="1" applyBorder="1"/>
    <xf numFmtId="164" fontId="21" fillId="2" borderId="3" xfId="10" applyFont="1" applyFill="1" applyBorder="1"/>
    <xf numFmtId="4" fontId="19" fillId="0" borderId="3" xfId="0" applyNumberFormat="1" applyFont="1" applyBorder="1"/>
    <xf numFmtId="4" fontId="21" fillId="2" borderId="3" xfId="0" applyNumberFormat="1" applyFont="1" applyFill="1" applyBorder="1" applyAlignment="1">
      <alignment horizontal="right"/>
    </xf>
    <xf numFmtId="0" fontId="19" fillId="2" borderId="3" xfId="0" applyFont="1" applyFill="1" applyBorder="1"/>
    <xf numFmtId="0" fontId="18" fillId="2" borderId="3" xfId="0" applyFont="1" applyFill="1" applyBorder="1" applyAlignment="1">
      <alignment horizontal="right"/>
    </xf>
    <xf numFmtId="164" fontId="18" fillId="2" borderId="3" xfId="1" applyFont="1" applyFill="1" applyBorder="1" applyAlignment="1">
      <alignment horizontal="right" vertical="top" wrapText="1"/>
    </xf>
    <xf numFmtId="10" fontId="24" fillId="7" borderId="3" xfId="2" applyNumberFormat="1" applyFont="1" applyFill="1" applyBorder="1" applyAlignment="1">
      <alignment horizontal="center" vertical="top" wrapText="1"/>
    </xf>
    <xf numFmtId="10" fontId="21" fillId="2" borderId="3" xfId="2" applyNumberFormat="1" applyFont="1" applyFill="1" applyBorder="1" applyAlignment="1">
      <alignment horizontal="center" vertical="top" wrapText="1"/>
    </xf>
    <xf numFmtId="4" fontId="21" fillId="2" borderId="3" xfId="1" applyNumberFormat="1" applyFont="1" applyFill="1" applyBorder="1" applyAlignment="1">
      <alignment vertical="top" wrapText="1"/>
    </xf>
    <xf numFmtId="164" fontId="18" fillId="9" borderId="3" xfId="1" applyFont="1" applyFill="1" applyBorder="1" applyAlignment="1">
      <alignment horizontal="center"/>
    </xf>
    <xf numFmtId="10" fontId="21" fillId="9" borderId="3" xfId="2" applyNumberFormat="1" applyFont="1" applyFill="1" applyBorder="1" applyAlignment="1">
      <alignment horizontal="center" vertical="top" wrapText="1"/>
    </xf>
    <xf numFmtId="164" fontId="21" fillId="2" borderId="3" xfId="10" applyFont="1" applyFill="1" applyBorder="1" applyAlignment="1">
      <alignment horizontal="right"/>
    </xf>
    <xf numFmtId="4" fontId="21" fillId="2" borderId="3" xfId="1" applyNumberFormat="1" applyFont="1" applyFill="1" applyBorder="1" applyAlignment="1">
      <alignment horizontal="right"/>
    </xf>
    <xf numFmtId="164" fontId="21" fillId="2" borderId="3" xfId="10" applyFont="1" applyFill="1" applyBorder="1" applyAlignment="1">
      <alignment horizontal="right" wrapText="1"/>
    </xf>
    <xf numFmtId="164" fontId="21" fillId="9" borderId="3" xfId="1" applyFont="1" applyFill="1" applyBorder="1" applyAlignment="1">
      <alignment horizontal="center" wrapText="1"/>
    </xf>
    <xf numFmtId="10" fontId="21" fillId="9" borderId="3" xfId="2" applyNumberFormat="1" applyFont="1" applyFill="1" applyBorder="1" applyAlignment="1">
      <alignment horizontal="center" wrapText="1"/>
    </xf>
    <xf numFmtId="164" fontId="21" fillId="2" borderId="3" xfId="1" applyFont="1" applyFill="1" applyBorder="1" applyAlignment="1">
      <alignment horizontal="right"/>
    </xf>
    <xf numFmtId="10" fontId="21" fillId="7" borderId="3" xfId="2" applyNumberFormat="1" applyFont="1" applyFill="1" applyBorder="1" applyAlignment="1">
      <alignment horizontal="center" wrapText="1"/>
    </xf>
    <xf numFmtId="164" fontId="18" fillId="2" borderId="3" xfId="1" applyFont="1" applyFill="1" applyBorder="1" applyAlignment="1">
      <alignment horizontal="right"/>
    </xf>
    <xf numFmtId="10" fontId="21" fillId="9" borderId="3" xfId="1" applyNumberFormat="1" applyFont="1" applyFill="1" applyBorder="1" applyAlignment="1">
      <alignment horizontal="center"/>
    </xf>
    <xf numFmtId="2" fontId="21" fillId="2" borderId="3" xfId="0" applyNumberFormat="1" applyFont="1" applyFill="1" applyBorder="1"/>
    <xf numFmtId="164" fontId="21" fillId="2" borderId="3" xfId="10" applyFont="1" applyFill="1" applyBorder="1" applyAlignment="1">
      <alignment wrapText="1"/>
    </xf>
    <xf numFmtId="0" fontId="21" fillId="2" borderId="3" xfId="0" applyFont="1" applyFill="1" applyBorder="1" applyAlignment="1">
      <alignment horizontal="left" wrapText="1"/>
    </xf>
    <xf numFmtId="2" fontId="19" fillId="2" borderId="3" xfId="0" applyNumberFormat="1" applyFont="1" applyFill="1" applyBorder="1"/>
    <xf numFmtId="164" fontId="21" fillId="11" borderId="3" xfId="1" applyFont="1" applyFill="1" applyBorder="1" applyAlignment="1">
      <alignment horizontal="center"/>
    </xf>
    <xf numFmtId="10" fontId="21" fillId="11" borderId="3" xfId="2" applyNumberFormat="1" applyFont="1" applyFill="1" applyBorder="1" applyAlignment="1">
      <alignment horizontal="center"/>
    </xf>
    <xf numFmtId="164" fontId="22" fillId="0" borderId="3" xfId="1" applyFont="1" applyBorder="1"/>
    <xf numFmtId="0" fontId="18" fillId="0" borderId="3" xfId="0" applyFont="1" applyBorder="1" applyAlignment="1">
      <alignment horizontal="right"/>
    </xf>
    <xf numFmtId="4" fontId="21" fillId="9" borderId="3" xfId="1" applyNumberFormat="1" applyFont="1" applyFill="1" applyBorder="1" applyAlignment="1">
      <alignment horizontal="center"/>
    </xf>
    <xf numFmtId="4" fontId="29" fillId="0" borderId="3" xfId="0" applyNumberFormat="1" applyFont="1" applyBorder="1"/>
    <xf numFmtId="0" fontId="23" fillId="2" borderId="3" xfId="0" applyFont="1" applyFill="1" applyBorder="1"/>
    <xf numFmtId="4" fontId="21" fillId="2" borderId="3" xfId="1" applyNumberFormat="1" applyFont="1" applyFill="1" applyBorder="1" applyAlignment="1">
      <alignment horizontal="right" vertical="top" wrapText="1"/>
    </xf>
    <xf numFmtId="4" fontId="21" fillId="9" borderId="3" xfId="1" applyNumberFormat="1" applyFont="1" applyFill="1" applyBorder="1" applyAlignment="1">
      <alignment horizontal="center" vertical="top" wrapText="1"/>
    </xf>
    <xf numFmtId="164" fontId="18" fillId="2" borderId="3" xfId="1" applyFont="1" applyFill="1" applyBorder="1"/>
    <xf numFmtId="43" fontId="21" fillId="2" borderId="3" xfId="0" applyNumberFormat="1" applyFont="1" applyFill="1" applyBorder="1"/>
    <xf numFmtId="43" fontId="21" fillId="9" borderId="3" xfId="0" applyNumberFormat="1" applyFont="1" applyFill="1" applyBorder="1" applyAlignment="1">
      <alignment horizontal="center"/>
    </xf>
    <xf numFmtId="4" fontId="21" fillId="2" borderId="3" xfId="0" applyNumberFormat="1" applyFont="1" applyFill="1" applyBorder="1" applyAlignment="1">
      <alignment horizontal="right" wrapText="1"/>
    </xf>
    <xf numFmtId="4" fontId="21" fillId="2" borderId="3" xfId="10" applyNumberFormat="1" applyFont="1" applyFill="1" applyBorder="1" applyAlignment="1">
      <alignment horizontal="right"/>
    </xf>
    <xf numFmtId="4" fontId="21" fillId="2" borderId="3" xfId="10" applyNumberFormat="1" applyFont="1" applyFill="1" applyBorder="1" applyAlignment="1">
      <alignment horizontal="right" wrapText="1"/>
    </xf>
    <xf numFmtId="4" fontId="18" fillId="9" borderId="3" xfId="1" applyNumberFormat="1" applyFont="1" applyFill="1" applyBorder="1" applyAlignment="1">
      <alignment horizontal="right" vertical="top" wrapText="1"/>
    </xf>
    <xf numFmtId="0" fontId="21" fillId="14" borderId="3" xfId="0" applyFont="1" applyFill="1" applyBorder="1" applyAlignment="1">
      <alignment horizontal="right" vertical="center"/>
    </xf>
    <xf numFmtId="0" fontId="18" fillId="14" borderId="3" xfId="0" applyFont="1" applyFill="1" applyBorder="1" applyAlignment="1">
      <alignment horizontal="right" vertical="center"/>
    </xf>
    <xf numFmtId="164" fontId="18" fillId="14" borderId="3" xfId="1" applyFont="1" applyFill="1" applyBorder="1" applyAlignment="1">
      <alignment horizontal="right" vertical="center" wrapText="1"/>
    </xf>
    <xf numFmtId="10" fontId="21" fillId="14" borderId="3" xfId="1" applyNumberFormat="1" applyFont="1" applyFill="1" applyBorder="1" applyAlignment="1">
      <alignment horizontal="right" vertical="center" wrapText="1"/>
    </xf>
    <xf numFmtId="4" fontId="21" fillId="14" borderId="3" xfId="1" applyNumberFormat="1" applyFont="1" applyFill="1" applyBorder="1" applyAlignment="1">
      <alignment horizontal="right" vertical="center" wrapText="1"/>
    </xf>
    <xf numFmtId="9" fontId="21" fillId="14" borderId="3" xfId="2" applyFont="1" applyFill="1" applyBorder="1" applyAlignment="1">
      <alignment horizontal="center" vertical="center" wrapText="1"/>
    </xf>
    <xf numFmtId="4" fontId="21" fillId="14" borderId="3" xfId="1" applyNumberFormat="1" applyFont="1" applyFill="1" applyBorder="1" applyAlignment="1">
      <alignment horizontal="center" vertical="center" wrapText="1"/>
    </xf>
    <xf numFmtId="10" fontId="19" fillId="14" borderId="3" xfId="2" applyNumberFormat="1" applyFont="1" applyFill="1" applyBorder="1" applyAlignment="1">
      <alignment horizontal="center" vertical="top" wrapText="1"/>
    </xf>
    <xf numFmtId="164" fontId="18" fillId="14" borderId="3" xfId="1" applyFont="1" applyFill="1" applyBorder="1" applyAlignment="1">
      <alignment horizontal="right" vertical="top" wrapText="1"/>
    </xf>
    <xf numFmtId="0" fontId="21" fillId="2" borderId="3" xfId="0" applyFont="1" applyFill="1" applyBorder="1" applyAlignment="1">
      <alignment horizontal="center" wrapText="1"/>
    </xf>
    <xf numFmtId="4" fontId="21" fillId="2" borderId="3" xfId="10" applyNumberFormat="1" applyFont="1" applyFill="1" applyBorder="1" applyAlignment="1">
      <alignment horizontal="right" vertical="top" wrapText="1"/>
    </xf>
    <xf numFmtId="164" fontId="31" fillId="14" borderId="3" xfId="1" applyFont="1" applyFill="1" applyBorder="1" applyAlignment="1">
      <alignment horizontal="right" vertical="top" wrapText="1"/>
    </xf>
    <xf numFmtId="4" fontId="21" fillId="14" borderId="3" xfId="1" applyNumberFormat="1" applyFont="1" applyFill="1" applyBorder="1" applyAlignment="1">
      <alignment horizontal="right" vertical="top" wrapText="1"/>
    </xf>
    <xf numFmtId="4" fontId="21" fillId="14" borderId="3" xfId="1" applyNumberFormat="1" applyFont="1" applyFill="1" applyBorder="1" applyAlignment="1">
      <alignment horizontal="center" vertical="top" wrapText="1"/>
    </xf>
    <xf numFmtId="167" fontId="19" fillId="14" borderId="3" xfId="2" applyNumberFormat="1" applyFont="1" applyFill="1" applyBorder="1" applyAlignment="1">
      <alignment horizontal="center" vertical="top" wrapText="1"/>
    </xf>
    <xf numFmtId="10" fontId="19" fillId="14" borderId="3" xfId="1" applyNumberFormat="1" applyFont="1" applyFill="1" applyBorder="1" applyAlignment="1">
      <alignment horizontal="center" vertical="top" wrapText="1"/>
    </xf>
    <xf numFmtId="164" fontId="21" fillId="2" borderId="3" xfId="10" applyFont="1" applyFill="1" applyBorder="1" applyAlignment="1">
      <alignment horizontal="right" vertical="top" wrapText="1"/>
    </xf>
    <xf numFmtId="10" fontId="21" fillId="7" borderId="3" xfId="2" applyNumberFormat="1" applyFont="1" applyFill="1" applyBorder="1" applyAlignment="1">
      <alignment horizontal="center" vertical="top" wrapText="1"/>
    </xf>
    <xf numFmtId="164" fontId="21" fillId="9" borderId="3" xfId="1" applyFont="1" applyFill="1" applyBorder="1" applyAlignment="1">
      <alignment horizontal="center" vertical="top" wrapText="1"/>
    </xf>
    <xf numFmtId="164" fontId="21" fillId="2" borderId="3" xfId="1" applyFont="1" applyFill="1" applyBorder="1" applyAlignment="1">
      <alignment horizontal="right" vertical="top" wrapText="1"/>
    </xf>
    <xf numFmtId="0" fontId="21" fillId="14" borderId="3" xfId="0" applyFont="1" applyFill="1" applyBorder="1" applyAlignment="1">
      <alignment horizontal="right"/>
    </xf>
    <xf numFmtId="0" fontId="18" fillId="14" borderId="3" xfId="0" applyFont="1" applyFill="1" applyBorder="1" applyAlignment="1">
      <alignment horizontal="right"/>
    </xf>
    <xf numFmtId="0" fontId="21" fillId="15" borderId="3" xfId="0" applyFont="1" applyFill="1" applyBorder="1" applyAlignment="1">
      <alignment horizontal="right" vertical="top" wrapText="1"/>
    </xf>
    <xf numFmtId="0" fontId="28" fillId="15" borderId="3" xfId="0" applyFont="1" applyFill="1" applyBorder="1" applyAlignment="1">
      <alignment horizontal="right" vertical="top" wrapText="1"/>
    </xf>
    <xf numFmtId="164" fontId="28" fillId="15" borderId="3" xfId="1" applyFont="1" applyFill="1" applyBorder="1" applyAlignment="1">
      <alignment horizontal="right" vertical="top" wrapText="1"/>
    </xf>
    <xf numFmtId="164" fontId="13" fillId="15" borderId="3" xfId="1" applyFont="1" applyFill="1" applyBorder="1" applyAlignment="1">
      <alignment horizontal="right" vertical="top" wrapText="1"/>
    </xf>
    <xf numFmtId="4" fontId="13" fillId="15" borderId="3" xfId="0" applyNumberFormat="1" applyFont="1" applyFill="1" applyBorder="1" applyAlignment="1">
      <alignment horizontal="right"/>
    </xf>
    <xf numFmtId="9" fontId="13" fillId="15" borderId="3" xfId="2" applyFont="1" applyFill="1" applyBorder="1" applyAlignment="1">
      <alignment horizontal="center"/>
    </xf>
    <xf numFmtId="4" fontId="13" fillId="15" borderId="3" xfId="0" applyNumberFormat="1" applyFont="1" applyFill="1" applyBorder="1" applyAlignment="1">
      <alignment horizontal="center"/>
    </xf>
    <xf numFmtId="10" fontId="13" fillId="15" borderId="3" xfId="2" applyNumberFormat="1" applyFont="1" applyFill="1" applyBorder="1" applyAlignment="1">
      <alignment horizontal="center" vertical="top" wrapText="1"/>
    </xf>
    <xf numFmtId="167" fontId="13" fillId="15" borderId="3" xfId="2" applyNumberFormat="1" applyFont="1" applyFill="1" applyBorder="1" applyAlignment="1">
      <alignment horizontal="center" vertical="top" wrapText="1"/>
    </xf>
    <xf numFmtId="167" fontId="21" fillId="15" borderId="3" xfId="2" applyNumberFormat="1" applyFont="1" applyFill="1" applyBorder="1" applyAlignment="1">
      <alignment horizontal="center" vertical="top" wrapText="1"/>
    </xf>
    <xf numFmtId="0" fontId="32" fillId="5" borderId="3" xfId="0" applyFont="1" applyFill="1" applyBorder="1" applyAlignment="1">
      <alignment horizontal="left" vertical="center"/>
    </xf>
    <xf numFmtId="0" fontId="12" fillId="5" borderId="3" xfId="0" applyFont="1" applyFill="1" applyBorder="1"/>
    <xf numFmtId="0" fontId="49" fillId="0" borderId="0" xfId="0" applyFont="1"/>
    <xf numFmtId="10" fontId="19" fillId="2" borderId="3" xfId="2" applyNumberFormat="1" applyFont="1" applyFill="1" applyBorder="1" applyAlignment="1">
      <alignment horizontal="center"/>
    </xf>
    <xf numFmtId="10" fontId="21" fillId="2" borderId="3" xfId="2" applyNumberFormat="1" applyFont="1" applyFill="1" applyBorder="1" applyAlignment="1">
      <alignment horizontal="center"/>
    </xf>
    <xf numFmtId="10" fontId="24" fillId="2" borderId="3" xfId="2" applyNumberFormat="1" applyFont="1" applyFill="1" applyBorder="1" applyAlignment="1">
      <alignment horizontal="center" vertical="top" wrapText="1"/>
    </xf>
    <xf numFmtId="164" fontId="21" fillId="2" borderId="3" xfId="1" applyFont="1" applyFill="1" applyBorder="1" applyAlignment="1">
      <alignment horizontal="center"/>
    </xf>
    <xf numFmtId="164" fontId="21" fillId="2" borderId="3" xfId="1" applyFont="1" applyFill="1" applyBorder="1" applyAlignment="1">
      <alignment horizontal="center" wrapText="1"/>
    </xf>
    <xf numFmtId="0" fontId="51" fillId="5" borderId="3" xfId="0" applyFont="1" applyFill="1" applyBorder="1"/>
    <xf numFmtId="0" fontId="18" fillId="15" borderId="3" xfId="0" applyFont="1" applyFill="1" applyBorder="1" applyAlignment="1">
      <alignment horizontal="center" vertical="top" wrapText="1"/>
    </xf>
    <xf numFmtId="164" fontId="21" fillId="14" borderId="3" xfId="1" applyFont="1" applyFill="1" applyBorder="1" applyAlignment="1">
      <alignment horizontal="center" vertical="top" wrapText="1"/>
    </xf>
    <xf numFmtId="164" fontId="24" fillId="2" borderId="3" xfId="1" applyFont="1" applyFill="1" applyBorder="1" applyAlignment="1">
      <alignment horizontal="center" vertical="top" wrapText="1"/>
    </xf>
    <xf numFmtId="0" fontId="18" fillId="22" borderId="3" xfId="0" applyFont="1" applyFill="1" applyBorder="1" applyAlignment="1">
      <alignment vertical="top" wrapText="1"/>
    </xf>
    <xf numFmtId="0" fontId="16" fillId="22" borderId="3" xfId="0" applyFont="1" applyFill="1" applyBorder="1" applyAlignment="1">
      <alignment vertical="top" wrapText="1"/>
    </xf>
    <xf numFmtId="0" fontId="16" fillId="22" borderId="3" xfId="0" applyFont="1" applyFill="1" applyBorder="1" applyAlignment="1">
      <alignment horizontal="center" vertical="top"/>
    </xf>
    <xf numFmtId="0" fontId="16" fillId="22" borderId="3" xfId="0" applyFont="1" applyFill="1" applyBorder="1" applyAlignment="1">
      <alignment horizontal="center" vertical="top" wrapText="1"/>
    </xf>
    <xf numFmtId="164" fontId="16" fillId="22" borderId="3" xfId="1" applyFont="1" applyFill="1" applyBorder="1" applyAlignment="1">
      <alignment horizontal="center" vertical="top"/>
    </xf>
    <xf numFmtId="10" fontId="19" fillId="22" borderId="3" xfId="2" applyNumberFormat="1" applyFont="1" applyFill="1" applyBorder="1" applyAlignment="1">
      <alignment horizontal="center" vertical="top" wrapText="1"/>
    </xf>
    <xf numFmtId="10" fontId="19" fillId="22" borderId="3" xfId="1" applyNumberFormat="1" applyFont="1" applyFill="1" applyBorder="1" applyAlignment="1">
      <alignment horizontal="center" vertical="top" wrapText="1"/>
    </xf>
    <xf numFmtId="10" fontId="21" fillId="22" borderId="3" xfId="2" applyNumberFormat="1" applyFont="1" applyFill="1" applyBorder="1" applyAlignment="1">
      <alignment horizontal="center" vertical="top" wrapText="1"/>
    </xf>
    <xf numFmtId="10" fontId="21" fillId="22" borderId="3" xfId="1" applyNumberFormat="1" applyFont="1" applyFill="1" applyBorder="1" applyAlignment="1">
      <alignment horizontal="center" vertical="top" wrapText="1"/>
    </xf>
    <xf numFmtId="164" fontId="21" fillId="2" borderId="3" xfId="1" applyFont="1" applyFill="1" applyBorder="1" applyAlignment="1">
      <alignment wrapText="1"/>
    </xf>
    <xf numFmtId="2" fontId="21" fillId="2" borderId="3" xfId="0" applyNumberFormat="1" applyFont="1" applyFill="1" applyBorder="1" applyAlignment="1">
      <alignment horizontal="right"/>
    </xf>
    <xf numFmtId="0" fontId="0" fillId="8" borderId="0" xfId="0" applyFill="1"/>
    <xf numFmtId="164" fontId="19" fillId="2" borderId="3" xfId="1" applyFont="1" applyFill="1" applyBorder="1" applyAlignment="1">
      <alignment horizontal="center"/>
    </xf>
    <xf numFmtId="0" fontId="0" fillId="23" borderId="0" xfId="0" applyFill="1"/>
    <xf numFmtId="0" fontId="0" fillId="14" borderId="0" xfId="0" applyFill="1"/>
    <xf numFmtId="0" fontId="3" fillId="0" borderId="0" xfId="0" applyFont="1"/>
    <xf numFmtId="4" fontId="21" fillId="2" borderId="3" xfId="10" applyNumberFormat="1" applyFont="1" applyFill="1" applyBorder="1" applyAlignment="1">
      <alignment vertical="top" wrapText="1"/>
    </xf>
    <xf numFmtId="164" fontId="46" fillId="2" borderId="0" xfId="1" applyFont="1" applyFill="1" applyBorder="1"/>
    <xf numFmtId="9" fontId="0" fillId="0" borderId="0" xfId="2" applyFont="1"/>
    <xf numFmtId="0" fontId="0" fillId="0" borderId="3" xfId="0" applyBorder="1"/>
    <xf numFmtId="4" fontId="7" fillId="2" borderId="0" xfId="0" applyNumberFormat="1" applyFont="1" applyFill="1"/>
    <xf numFmtId="164" fontId="48" fillId="2" borderId="0" xfId="1" applyFont="1" applyFill="1" applyBorder="1" applyAlignment="1">
      <alignment horizontal="right" vertical="top" wrapText="1"/>
    </xf>
    <xf numFmtId="0" fontId="54" fillId="2" borderId="0" xfId="0" applyFont="1" applyFill="1" applyAlignment="1">
      <alignment horizontal="right"/>
    </xf>
    <xf numFmtId="0" fontId="54" fillId="2" borderId="0" xfId="0" applyFont="1" applyFill="1" applyAlignment="1">
      <alignment horizontal="right" wrapText="1"/>
    </xf>
    <xf numFmtId="164" fontId="55" fillId="2" borderId="0" xfId="1" applyFont="1" applyFill="1" applyBorder="1" applyAlignment="1">
      <alignment horizontal="right" vertical="top" wrapText="1"/>
    </xf>
    <xf numFmtId="0" fontId="56" fillId="2" borderId="0" xfId="0" applyFont="1" applyFill="1" applyAlignment="1">
      <alignment horizontal="right" wrapText="1"/>
    </xf>
    <xf numFmtId="164" fontId="14" fillId="2" borderId="0" xfId="1" applyFont="1" applyFill="1" applyBorder="1"/>
    <xf numFmtId="0" fontId="56" fillId="2" borderId="0" xfId="0" applyFont="1" applyFill="1" applyAlignment="1">
      <alignment horizontal="right"/>
    </xf>
    <xf numFmtId="164" fontId="14" fillId="2" borderId="0" xfId="1" applyFont="1" applyFill="1" applyBorder="1" applyAlignment="1">
      <alignment horizontal="right" vertical="top" wrapText="1"/>
    </xf>
    <xf numFmtId="0" fontId="57" fillId="0" borderId="0" xfId="0" applyFont="1"/>
    <xf numFmtId="164" fontId="59" fillId="0" borderId="0" xfId="1" applyFont="1"/>
    <xf numFmtId="0" fontId="0" fillId="0" borderId="6" xfId="0" applyBorder="1"/>
    <xf numFmtId="4" fontId="21" fillId="2" borderId="6" xfId="10" applyNumberFormat="1" applyFont="1" applyFill="1" applyBorder="1" applyAlignment="1">
      <alignment horizontal="right" vertical="top" wrapText="1"/>
    </xf>
    <xf numFmtId="0" fontId="60" fillId="0" borderId="0" xfId="0" applyFont="1"/>
    <xf numFmtId="164" fontId="46" fillId="2" borderId="7" xfId="1" applyFont="1" applyFill="1" applyBorder="1" applyAlignment="1">
      <alignment horizontal="center" wrapText="1"/>
    </xf>
    <xf numFmtId="4" fontId="21" fillId="2" borderId="2" xfId="0" applyNumberFormat="1" applyFont="1" applyFill="1" applyBorder="1"/>
    <xf numFmtId="164" fontId="46" fillId="2" borderId="7" xfId="1" applyFont="1" applyFill="1" applyBorder="1"/>
    <xf numFmtId="4" fontId="21" fillId="2" borderId="2" xfId="0" applyNumberFormat="1" applyFont="1" applyFill="1" applyBorder="1" applyAlignment="1">
      <alignment horizontal="right"/>
    </xf>
    <xf numFmtId="0" fontId="0" fillId="0" borderId="7" xfId="0" applyBorder="1"/>
    <xf numFmtId="0" fontId="52" fillId="0" borderId="0" xfId="0" applyFont="1"/>
    <xf numFmtId="16" fontId="58" fillId="2" borderId="0" xfId="0" applyNumberFormat="1" applyFont="1" applyFill="1"/>
    <xf numFmtId="43" fontId="59" fillId="0" borderId="0" xfId="0" applyNumberFormat="1" applyFont="1"/>
    <xf numFmtId="4" fontId="59" fillId="0" borderId="0" xfId="0" applyNumberFormat="1" applyFont="1"/>
    <xf numFmtId="4" fontId="48" fillId="2" borderId="0" xfId="0" applyNumberFormat="1" applyFont="1" applyFill="1"/>
    <xf numFmtId="0" fontId="47" fillId="0" borderId="0" xfId="0" applyFont="1" applyAlignment="1">
      <alignment horizontal="right"/>
    </xf>
    <xf numFmtId="16" fontId="54" fillId="2" borderId="0" xfId="0" applyNumberFormat="1" applyFont="1" applyFill="1" applyAlignment="1">
      <alignment horizontal="center" wrapText="1"/>
    </xf>
    <xf numFmtId="4" fontId="55" fillId="2" borderId="0" xfId="0" applyNumberFormat="1" applyFont="1" applyFill="1"/>
    <xf numFmtId="4" fontId="55" fillId="2" borderId="0" xfId="0" applyNumberFormat="1" applyFont="1" applyFill="1" applyAlignment="1">
      <alignment horizontal="right"/>
    </xf>
    <xf numFmtId="4" fontId="14" fillId="2" borderId="0" xfId="0" applyNumberFormat="1" applyFont="1" applyFill="1"/>
    <xf numFmtId="4" fontId="14" fillId="2" borderId="0" xfId="0" applyNumberFormat="1" applyFont="1" applyFill="1" applyAlignment="1">
      <alignment horizontal="right"/>
    </xf>
    <xf numFmtId="0" fontId="53" fillId="2" borderId="0" xfId="0" applyFont="1" applyFill="1" applyAlignment="1">
      <alignment horizontal="right"/>
    </xf>
    <xf numFmtId="16" fontId="47" fillId="2" borderId="0" xfId="0" applyNumberFormat="1" applyFont="1" applyFill="1"/>
    <xf numFmtId="0" fontId="12" fillId="2" borderId="0" xfId="0" applyFont="1" applyFill="1"/>
    <xf numFmtId="0" fontId="47" fillId="2" borderId="0" xfId="0" applyFont="1" applyFill="1" applyAlignment="1">
      <alignment horizontal="right"/>
    </xf>
    <xf numFmtId="4" fontId="48" fillId="2" borderId="0" xfId="0" applyNumberFormat="1" applyFont="1" applyFill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4" fontId="21" fillId="2" borderId="3" xfId="44" applyNumberFormat="1" applyFont="1" applyFill="1" applyBorder="1" applyAlignment="1">
      <alignment wrapText="1"/>
    </xf>
    <xf numFmtId="0" fontId="21" fillId="2" borderId="0" xfId="0" applyFont="1" applyFill="1" applyAlignment="1">
      <alignment horizontal="center"/>
    </xf>
    <xf numFmtId="49" fontId="21" fillId="2" borderId="3" xfId="0" applyNumberFormat="1" applyFont="1" applyFill="1" applyBorder="1" applyAlignment="1">
      <alignment wrapText="1"/>
    </xf>
    <xf numFmtId="0" fontId="21" fillId="2" borderId="0" xfId="0" applyFont="1" applyFill="1" applyAlignment="1">
      <alignment horizontal="center" vertical="center"/>
    </xf>
    <xf numFmtId="4" fontId="21" fillId="0" borderId="3" xfId="0" applyNumberFormat="1" applyFont="1" applyBorder="1" applyAlignment="1">
      <alignment wrapText="1"/>
    </xf>
    <xf numFmtId="4" fontId="21" fillId="2" borderId="7" xfId="10" applyNumberFormat="1" applyFont="1" applyFill="1" applyBorder="1" applyAlignment="1">
      <alignment horizontal="right" vertical="top" wrapText="1"/>
    </xf>
    <xf numFmtId="164" fontId="46" fillId="2" borderId="8" xfId="1" applyFont="1" applyFill="1" applyBorder="1"/>
    <xf numFmtId="164" fontId="46" fillId="2" borderId="3" xfId="1" applyFont="1" applyFill="1" applyBorder="1"/>
    <xf numFmtId="43" fontId="0" fillId="0" borderId="3" xfId="0" applyNumberFormat="1" applyBorder="1"/>
    <xf numFmtId="10" fontId="0" fillId="0" borderId="3" xfId="2" applyNumberFormat="1" applyFont="1" applyBorder="1"/>
    <xf numFmtId="164" fontId="0" fillId="0" borderId="3" xfId="1" applyFont="1" applyBorder="1"/>
    <xf numFmtId="10" fontId="21" fillId="2" borderId="3" xfId="2" applyNumberFormat="1" applyFont="1" applyFill="1" applyBorder="1" applyAlignment="1">
      <alignment horizontal="right" vertical="top" wrapText="1"/>
    </xf>
    <xf numFmtId="4" fontId="21" fillId="2" borderId="3" xfId="67" applyNumberFormat="1" applyFont="1" applyFill="1" applyBorder="1" applyAlignment="1">
      <alignment horizontal="right" vertical="top" wrapText="1"/>
    </xf>
    <xf numFmtId="0" fontId="9" fillId="8" borderId="3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 wrapText="1"/>
    </xf>
    <xf numFmtId="0" fontId="28" fillId="13" borderId="3" xfId="0" applyFont="1" applyFill="1" applyBorder="1" applyAlignment="1">
      <alignment horizontal="center" wrapText="1"/>
    </xf>
    <xf numFmtId="0" fontId="28" fillId="8" borderId="3" xfId="0" applyFont="1" applyFill="1" applyBorder="1" applyAlignment="1">
      <alignment horizontal="center"/>
    </xf>
    <xf numFmtId="0" fontId="26" fillId="12" borderId="3" xfId="0" applyFont="1" applyFill="1" applyBorder="1" applyAlignment="1">
      <alignment horizontal="center"/>
    </xf>
    <xf numFmtId="0" fontId="20" fillId="8" borderId="3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 vertical="top" wrapText="1"/>
    </xf>
    <xf numFmtId="0" fontId="16" fillId="7" borderId="5" xfId="0" applyFont="1" applyFill="1" applyBorder="1" applyAlignment="1">
      <alignment horizontal="center" vertical="top" wrapText="1"/>
    </xf>
    <xf numFmtId="0" fontId="16" fillId="7" borderId="6" xfId="0" applyFont="1" applyFill="1" applyBorder="1" applyAlignment="1">
      <alignment horizontal="center" vertical="top" wrapText="1"/>
    </xf>
    <xf numFmtId="0" fontId="16" fillId="7" borderId="3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/>
    </xf>
    <xf numFmtId="4" fontId="19" fillId="2" borderId="3" xfId="0" applyNumberFormat="1" applyFont="1" applyFill="1" applyBorder="1" applyAlignment="1">
      <alignment wrapText="1"/>
    </xf>
    <xf numFmtId="0" fontId="11" fillId="2" borderId="0" xfId="0" applyFont="1" applyFill="1" applyAlignment="1">
      <alignment horizontal="right"/>
    </xf>
    <xf numFmtId="164" fontId="7" fillId="2" borderId="0" xfId="1" applyFont="1" applyFill="1" applyBorder="1" applyAlignment="1">
      <alignment horizontal="right" vertical="top" wrapText="1"/>
    </xf>
    <xf numFmtId="4" fontId="7" fillId="2" borderId="0" xfId="0" applyNumberFormat="1" applyFont="1" applyFill="1" applyAlignment="1">
      <alignment horizontal="right"/>
    </xf>
    <xf numFmtId="0" fontId="10" fillId="2" borderId="0" xfId="0" applyFont="1" applyFill="1"/>
    <xf numFmtId="164" fontId="10" fillId="2" borderId="0" xfId="1" applyFont="1" applyFill="1" applyBorder="1"/>
    <xf numFmtId="0" fontId="61" fillId="2" borderId="0" xfId="0" applyFont="1" applyFill="1"/>
  </cellXfs>
  <cellStyles count="10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0 13 2 2" xfId="67"/>
    <cellStyle name="Comma 10 13 3" xfId="66"/>
    <cellStyle name="Comma 11" xfId="12"/>
    <cellStyle name="Comma 11 2" xfId="68"/>
    <cellStyle name="Comma 12" xfId="62"/>
    <cellStyle name="Comma 13" xfId="64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2 2 2" xfId="71"/>
    <cellStyle name="Comma 2 2 3" xfId="70"/>
    <cellStyle name="Comma 2 3" xfId="19"/>
    <cellStyle name="Comma 2 3 2" xfId="72"/>
    <cellStyle name="Comma 2 4" xfId="69"/>
    <cellStyle name="Comma 3" xfId="20"/>
    <cellStyle name="Comma 3 2" xfId="21"/>
    <cellStyle name="Comma 3 2 2" xfId="22"/>
    <cellStyle name="Comma 3 2 2 2" xfId="23"/>
    <cellStyle name="Comma 3 2 2 2 2" xfId="75"/>
    <cellStyle name="Comma 3 2 2 3" xfId="74"/>
    <cellStyle name="Comma 3 2 3" xfId="24"/>
    <cellStyle name="Comma 3 2 3 2" xfId="76"/>
    <cellStyle name="Comma 3 2 4" xfId="73"/>
    <cellStyle name="Comma 4" xfId="25"/>
    <cellStyle name="Comma 5" xfId="26"/>
    <cellStyle name="Comma 6" xfId="27"/>
    <cellStyle name="Comma 7" xfId="28"/>
    <cellStyle name="Comma 7 2" xfId="29"/>
    <cellStyle name="Comma 7 2 2" xfId="78"/>
    <cellStyle name="Comma 7 3" xfId="77"/>
    <cellStyle name="Comma 8" xfId="30"/>
    <cellStyle name="Comma 9" xfId="31"/>
    <cellStyle name="Comma 9 2" xfId="32"/>
    <cellStyle name="Comma 9 2 2" xfId="80"/>
    <cellStyle name="Comma 9 3" xfId="79"/>
    <cellStyle name="Neutral 2" xfId="33"/>
    <cellStyle name="Normal" xfId="0" builtinId="0"/>
    <cellStyle name="Normal 2" xfId="34"/>
    <cellStyle name="Normal 2 2" xfId="35"/>
    <cellStyle name="Normal 2 2 2" xfId="36"/>
    <cellStyle name="Normal 2 2 2 2" xfId="82"/>
    <cellStyle name="Normal 2 2 3" xfId="81"/>
    <cellStyle name="Normal 27 2" xfId="37"/>
    <cellStyle name="Normal 3" xfId="38"/>
    <cellStyle name="Normal 3 2" xfId="39"/>
    <cellStyle name="Normal 3 2 2" xfId="84"/>
    <cellStyle name="Normal 3 3" xfId="83"/>
    <cellStyle name="Normal 4" xfId="40"/>
    <cellStyle name="Normal 4 2" xfId="41"/>
    <cellStyle name="Normal 4 2 2" xfId="86"/>
    <cellStyle name="Normal 4 3" xfId="85"/>
    <cellStyle name="Normal 5" xfId="42"/>
    <cellStyle name="Normal 5 2" xfId="43"/>
    <cellStyle name="Normal 5 2 2" xfId="88"/>
    <cellStyle name="Normal 5 3" xfId="87"/>
    <cellStyle name="Normal 6" xfId="44"/>
    <cellStyle name="Normal 6 2" xfId="45"/>
    <cellStyle name="Normal 6 2 2" xfId="46"/>
    <cellStyle name="Normal 6 2 2 2" xfId="91"/>
    <cellStyle name="Normal 6 2 3" xfId="90"/>
    <cellStyle name="Normal 6 3" xfId="89"/>
    <cellStyle name="Normal 7" xfId="61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2 2 2" xfId="94"/>
    <cellStyle name="Percent 2 2 3" xfId="93"/>
    <cellStyle name="Percent 2 3" xfId="52"/>
    <cellStyle name="Percent 2 3 2" xfId="95"/>
    <cellStyle name="Percent 2 4" xfId="92"/>
    <cellStyle name="Percent 3" xfId="53"/>
    <cellStyle name="Percent 3 2" xfId="54"/>
    <cellStyle name="Percent 3 2 2" xfId="97"/>
    <cellStyle name="Percent 3 3" xfId="96"/>
    <cellStyle name="Percent 4" xfId="55"/>
    <cellStyle name="Percent 4 2" xfId="56"/>
    <cellStyle name="Percent 4 2 2" xfId="99"/>
    <cellStyle name="Percent 4 3" xfId="98"/>
    <cellStyle name="Percent 5" xfId="57"/>
    <cellStyle name="Percent 6" xfId="58"/>
    <cellStyle name="Percent 7" xfId="59"/>
    <cellStyle name="Percent 7 2" xfId="100"/>
    <cellStyle name="Percent 8" xfId="63"/>
    <cellStyle name="Percent 9" xfId="65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July 3,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219.90676230828188</c:v>
                </c:pt>
                <c:pt idx="1">
                  <c:v>6078.8707366338913</c:v>
                </c:pt>
                <c:pt idx="2">
                  <c:v>224.77820568713</c:v>
                </c:pt>
                <c:pt idx="3">
                  <c:v>1809.4977592891062</c:v>
                </c:pt>
                <c:pt idx="4">
                  <c:v>510.57482304936997</c:v>
                </c:pt>
                <c:pt idx="5" formatCode="_-* #,##0.00_-;\-* #,##0.00_-;_-* &quot;-&quot;??_-;_-@_-">
                  <c:v>145.9608520126742</c:v>
                </c:pt>
                <c:pt idx="6">
                  <c:v>17.599717633849998</c:v>
                </c:pt>
                <c:pt idx="7">
                  <c:v>131.92116533961001</c:v>
                </c:pt>
                <c:pt idx="8">
                  <c:v>31.376500637018864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July 10,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233.6249986943202</c:v>
                </c:pt>
                <c:pt idx="1">
                  <c:v>6164.1797264145689</c:v>
                </c:pt>
                <c:pt idx="2">
                  <c:v>235.47056679778436</c:v>
                </c:pt>
                <c:pt idx="3">
                  <c:v>1842.5583735116059</c:v>
                </c:pt>
                <c:pt idx="4">
                  <c:v>510.39938509847246</c:v>
                </c:pt>
                <c:pt idx="5" formatCode="_-* #,##0.00_-;\-* #,##0.00_-;_-* &quot;-&quot;??_-;_-@_-">
                  <c:v>151.72993089994</c:v>
                </c:pt>
                <c:pt idx="6">
                  <c:v>18.942985724459998</c:v>
                </c:pt>
                <c:pt idx="7">
                  <c:v>136.08695148406002</c:v>
                </c:pt>
                <c:pt idx="8">
                  <c:v>31.549376825728132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3180888"/>
        <c:axId val="333178928"/>
      </c:barChart>
      <c:catAx>
        <c:axId val="33318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78928"/>
        <c:crosses val="autoZero"/>
        <c:auto val="1"/>
        <c:lblAlgn val="ctr"/>
        <c:lblOffset val="100"/>
        <c:noMultiLvlLbl val="0"/>
      </c:catAx>
      <c:valAx>
        <c:axId val="3331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8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10TH JULY,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10-Jul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18942985724.459999</c:v>
                </c:pt>
                <c:pt idx="1">
                  <c:v>31549376825.72813</c:v>
                </c:pt>
                <c:pt idx="2">
                  <c:v>136086951484.06001</c:v>
                </c:pt>
                <c:pt idx="3" formatCode="_-* #,##0.00_-;\-* #,##0.00_-;_-* &quot;-&quot;??_-;_-@_-">
                  <c:v>151729930899.94</c:v>
                </c:pt>
                <c:pt idx="4">
                  <c:v>233624998694.32019</c:v>
                </c:pt>
                <c:pt idx="5">
                  <c:v>235470566797.78436</c:v>
                </c:pt>
                <c:pt idx="6">
                  <c:v>510399385098.47247</c:v>
                </c:pt>
                <c:pt idx="7">
                  <c:v>1842558373511.606</c:v>
                </c:pt>
                <c:pt idx="8">
                  <c:v>6164179726414.5693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46164</c:v>
                </c:pt>
                <c:pt idx="1">
                  <c:v>46171</c:v>
                </c:pt>
                <c:pt idx="2">
                  <c:v>46178</c:v>
                </c:pt>
                <c:pt idx="3">
                  <c:v>46184</c:v>
                </c:pt>
                <c:pt idx="4">
                  <c:v>46192</c:v>
                </c:pt>
                <c:pt idx="5">
                  <c:v>46199</c:v>
                </c:pt>
                <c:pt idx="6">
                  <c:v>46206</c:v>
                </c:pt>
                <c:pt idx="7">
                  <c:v>46213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8965.7623097914948</c:v>
                </c:pt>
                <c:pt idx="1">
                  <c:v>9018.1202536705168</c:v>
                </c:pt>
                <c:pt idx="2">
                  <c:v>9065.8177533026028</c:v>
                </c:pt>
                <c:pt idx="3">
                  <c:v>9101.534190127175</c:v>
                </c:pt>
                <c:pt idx="4">
                  <c:v>9081.5117592714614</c:v>
                </c:pt>
                <c:pt idx="5">
                  <c:v>9114.5072349997172</c:v>
                </c:pt>
                <c:pt idx="6">
                  <c:v>9170.4865225909325</c:v>
                </c:pt>
                <c:pt idx="7">
                  <c:v>9324.5329945502799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1672"/>
        <c:axId val="338214560"/>
      </c:lineChart>
      <c:dateAx>
        <c:axId val="3331816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4560"/>
        <c:crosses val="autoZero"/>
        <c:auto val="1"/>
        <c:lblOffset val="100"/>
        <c:baseTimeUnit val="days"/>
      </c:dateAx>
      <c:valAx>
        <c:axId val="338214560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46164</c:v>
                </c:pt>
                <c:pt idx="1">
                  <c:v>46171</c:v>
                </c:pt>
                <c:pt idx="2">
                  <c:v>46178</c:v>
                </c:pt>
                <c:pt idx="3">
                  <c:v>46184</c:v>
                </c:pt>
                <c:pt idx="4">
                  <c:v>46192</c:v>
                </c:pt>
                <c:pt idx="5">
                  <c:v>46199</c:v>
                </c:pt>
                <c:pt idx="6">
                  <c:v>46206</c:v>
                </c:pt>
                <c:pt idx="7">
                  <c:v>46213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31.648596766119997</c:v>
                </c:pt>
                <c:pt idx="1">
                  <c:v>31.957060014499998</c:v>
                </c:pt>
                <c:pt idx="2">
                  <c:v>31.023458333940003</c:v>
                </c:pt>
                <c:pt idx="3">
                  <c:v>31.276624002919995</c:v>
                </c:pt>
                <c:pt idx="4">
                  <c:v>30.175205285199997</c:v>
                </c:pt>
                <c:pt idx="5">
                  <c:v>29.959038932529999</c:v>
                </c:pt>
                <c:pt idx="6">
                  <c:v>29.355227401120001</c:v>
                </c:pt>
                <c:pt idx="7">
                  <c:v>31.056126253639995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8220832"/>
        <c:axId val="338217304"/>
      </c:lineChart>
      <c:dateAx>
        <c:axId val="338220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7304"/>
        <c:crosses val="autoZero"/>
        <c:auto val="1"/>
        <c:lblOffset val="100"/>
        <c:baseTimeUnit val="days"/>
      </c:dateAx>
      <c:valAx>
        <c:axId val="33821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DG277"/>
  <sheetViews>
    <sheetView tabSelected="1" zoomScale="130" zoomScaleNormal="130" workbookViewId="0">
      <pane xSplit="3" ySplit="15" topLeftCell="D16" activePane="bottomRight" state="frozen"/>
      <selection pane="topRight" activeCell="C1" sqref="C1"/>
      <selection pane="bottomLeft" activeCell="A12" sqref="A12"/>
      <selection pane="bottomRight" activeCell="A2" sqref="A2"/>
    </sheetView>
  </sheetViews>
  <sheetFormatPr defaultColWidth="9" defaultRowHeight="14.4"/>
  <cols>
    <col min="1" max="1" width="4.44140625" customWidth="1"/>
    <col min="2" max="2" width="34.5546875" customWidth="1"/>
    <col min="3" max="3" width="38.5546875" customWidth="1"/>
    <col min="4" max="4" width="17.33203125" customWidth="1"/>
    <col min="5" max="5" width="21" customWidth="1"/>
    <col min="11" max="11" width="11.44140625" customWidth="1"/>
    <col min="14" max="14" width="15.109375" customWidth="1"/>
    <col min="15" max="15" width="20.5546875" customWidth="1"/>
    <col min="18" max="20" width="10.109375" customWidth="1"/>
    <col min="21" max="21" width="11.6640625" customWidth="1"/>
    <col min="22" max="22" width="8.33203125" customWidth="1"/>
    <col min="23" max="23" width="9.109375" customWidth="1"/>
    <col min="26" max="26" width="9.33203125" customWidth="1"/>
    <col min="27" max="27" width="7.44140625" customWidth="1"/>
    <col min="28" max="28" width="6.5546875" customWidth="1"/>
    <col min="29" max="29" width="9.88671875" bestFit="1" customWidth="1"/>
    <col min="30" max="30" width="17.5546875" customWidth="1"/>
    <col min="31" max="31" width="11.33203125" customWidth="1"/>
    <col min="32" max="33" width="17.33203125" customWidth="1"/>
  </cols>
  <sheetData>
    <row r="1" spans="1:32" ht="27">
      <c r="A1" s="229" t="s">
        <v>343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</row>
    <row r="2" spans="1:32" ht="14.4" customHeight="1">
      <c r="A2" s="52"/>
      <c r="B2" s="53"/>
      <c r="C2" s="54"/>
      <c r="D2" s="230" t="s">
        <v>341</v>
      </c>
      <c r="E2" s="231"/>
      <c r="F2" s="231"/>
      <c r="G2" s="231"/>
      <c r="H2" s="231"/>
      <c r="I2" s="231"/>
      <c r="J2" s="231"/>
      <c r="K2" s="231"/>
      <c r="L2" s="231"/>
      <c r="M2" s="232"/>
      <c r="N2" s="230" t="s">
        <v>344</v>
      </c>
      <c r="O2" s="231"/>
      <c r="P2" s="231"/>
      <c r="Q2" s="231"/>
      <c r="R2" s="231"/>
      <c r="S2" s="231"/>
      <c r="T2" s="231"/>
      <c r="U2" s="231"/>
      <c r="V2" s="231"/>
      <c r="W2" s="232"/>
      <c r="X2" s="233" t="s">
        <v>0</v>
      </c>
      <c r="Y2" s="233"/>
      <c r="Z2" s="233"/>
      <c r="AA2" s="233" t="s">
        <v>1</v>
      </c>
      <c r="AB2" s="233"/>
    </row>
    <row r="3" spans="1:32" ht="20.399999999999999">
      <c r="A3" s="151" t="s">
        <v>2</v>
      </c>
      <c r="B3" s="151" t="s">
        <v>3</v>
      </c>
      <c r="C3" s="152" t="s">
        <v>4</v>
      </c>
      <c r="D3" s="153" t="s">
        <v>328</v>
      </c>
      <c r="E3" s="153" t="s">
        <v>5</v>
      </c>
      <c r="F3" s="154" t="s">
        <v>6</v>
      </c>
      <c r="G3" s="154" t="s">
        <v>330</v>
      </c>
      <c r="H3" s="154" t="s">
        <v>11</v>
      </c>
      <c r="I3" s="154" t="s">
        <v>331</v>
      </c>
      <c r="J3" s="154" t="s">
        <v>7</v>
      </c>
      <c r="K3" s="154" t="s">
        <v>8</v>
      </c>
      <c r="L3" s="154" t="s">
        <v>9</v>
      </c>
      <c r="M3" s="154" t="s">
        <v>10</v>
      </c>
      <c r="N3" s="153" t="s">
        <v>328</v>
      </c>
      <c r="O3" s="155" t="s">
        <v>5</v>
      </c>
      <c r="P3" s="154" t="s">
        <v>6</v>
      </c>
      <c r="Q3" s="154" t="s">
        <v>330</v>
      </c>
      <c r="R3" s="154" t="s">
        <v>11</v>
      </c>
      <c r="S3" s="154" t="s">
        <v>331</v>
      </c>
      <c r="T3" s="154" t="s">
        <v>7</v>
      </c>
      <c r="U3" s="154" t="s">
        <v>8</v>
      </c>
      <c r="V3" s="154" t="s">
        <v>9</v>
      </c>
      <c r="W3" s="154" t="s">
        <v>10</v>
      </c>
      <c r="X3" s="153" t="s">
        <v>12</v>
      </c>
      <c r="Y3" s="154" t="s">
        <v>13</v>
      </c>
      <c r="Z3" s="154" t="s">
        <v>14</v>
      </c>
      <c r="AA3" s="154" t="s">
        <v>15</v>
      </c>
      <c r="AB3" s="154" t="s">
        <v>16</v>
      </c>
      <c r="AD3" s="50"/>
      <c r="AF3" s="48"/>
    </row>
    <row r="4" spans="1:32" ht="5.55" customHeight="1"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</row>
    <row r="5" spans="1:32" ht="15" customHeight="1">
      <c r="A5" s="162"/>
      <c r="B5" s="227" t="s">
        <v>17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</row>
    <row r="6" spans="1:32">
      <c r="A6" s="207">
        <v>1</v>
      </c>
      <c r="B6" s="55" t="s">
        <v>18</v>
      </c>
      <c r="C6" s="56" t="s">
        <v>19</v>
      </c>
      <c r="D6" s="142" t="s">
        <v>329</v>
      </c>
      <c r="E6" s="57">
        <v>11501706193.1</v>
      </c>
      <c r="F6" s="58">
        <f t="shared" ref="F6:F26" si="0">(E6/$E$27)</f>
        <v>5.2302648960726547E-2</v>
      </c>
      <c r="G6" s="142" t="s">
        <v>329</v>
      </c>
      <c r="H6" s="57">
        <v>824.06280000000004</v>
      </c>
      <c r="I6" s="142" t="s">
        <v>329</v>
      </c>
      <c r="J6" s="57">
        <v>833.83489999999995</v>
      </c>
      <c r="K6" s="59">
        <v>1705</v>
      </c>
      <c r="L6" s="60">
        <v>-3.5200000000000002E-2</v>
      </c>
      <c r="M6" s="60">
        <v>0.33139999999999997</v>
      </c>
      <c r="N6" s="142" t="s">
        <v>329</v>
      </c>
      <c r="O6" s="57">
        <v>11982098401.870001</v>
      </c>
      <c r="P6" s="58">
        <f t="shared" ref="P6:P26" si="1">(O6/$O$27)</f>
        <v>5.1287740904592267E-2</v>
      </c>
      <c r="Q6" s="142" t="s">
        <v>329</v>
      </c>
      <c r="R6" s="57">
        <v>864.87660000000005</v>
      </c>
      <c r="S6" s="142" t="s">
        <v>329</v>
      </c>
      <c r="T6" s="57">
        <v>874.89260000000002</v>
      </c>
      <c r="U6" s="59">
        <v>1705</v>
      </c>
      <c r="V6" s="60">
        <v>4.9500000000000002E-2</v>
      </c>
      <c r="W6" s="60">
        <v>0.39729999999999999</v>
      </c>
      <c r="X6" s="156">
        <f>((O6-E6)/E6)</f>
        <v>4.1767038794487121E-2</v>
      </c>
      <c r="Y6" s="156">
        <f>((T6-J6)/J6)</f>
        <v>4.9239603667344783E-2</v>
      </c>
      <c r="Z6" s="156">
        <f>((U6-K6)/K6)</f>
        <v>0</v>
      </c>
      <c r="AA6" s="156">
        <f>V6-L6</f>
        <v>8.4699999999999998E-2</v>
      </c>
      <c r="AB6" s="157">
        <f>W6-M6</f>
        <v>6.5900000000000014E-2</v>
      </c>
      <c r="AC6" s="44"/>
    </row>
    <row r="7" spans="1:32" ht="13.2" customHeight="1">
      <c r="A7" s="207">
        <v>2</v>
      </c>
      <c r="B7" s="55" t="s">
        <v>20</v>
      </c>
      <c r="C7" s="56" t="s">
        <v>21</v>
      </c>
      <c r="D7" s="142" t="s">
        <v>329</v>
      </c>
      <c r="E7" s="61">
        <v>1999136199.6600001</v>
      </c>
      <c r="F7" s="62">
        <f t="shared" si="0"/>
        <v>9.0908354917138019E-3</v>
      </c>
      <c r="G7" s="142" t="s">
        <v>329</v>
      </c>
      <c r="H7" s="61">
        <v>552.97540000000004</v>
      </c>
      <c r="I7" s="142" t="s">
        <v>329</v>
      </c>
      <c r="J7" s="61">
        <v>560.9973</v>
      </c>
      <c r="K7" s="63">
        <v>850</v>
      </c>
      <c r="L7" s="64">
        <v>-3.6000000000000001E-5</v>
      </c>
      <c r="M7" s="64">
        <v>0.3498</v>
      </c>
      <c r="N7" s="142" t="s">
        <v>329</v>
      </c>
      <c r="O7" s="61">
        <v>2209241580.98</v>
      </c>
      <c r="P7" s="62">
        <f t="shared" si="1"/>
        <v>9.4563578098532924E-3</v>
      </c>
      <c r="Q7" s="142" t="s">
        <v>329</v>
      </c>
      <c r="R7" s="61">
        <v>589.24199999999996</v>
      </c>
      <c r="S7" s="142" t="s">
        <v>329</v>
      </c>
      <c r="T7" s="61">
        <v>597.85699999999997</v>
      </c>
      <c r="U7" s="63">
        <v>859</v>
      </c>
      <c r="V7" s="64">
        <v>-2.2560000000000002E-3</v>
      </c>
      <c r="W7" s="64">
        <v>0.43840000000000001</v>
      </c>
      <c r="X7" s="158">
        <f t="shared" ref="X7:X27" si="2">((O7-E7)/E7)</f>
        <v>0.10509808253971555</v>
      </c>
      <c r="Y7" s="158">
        <f t="shared" ref="Y7:Y27" si="3">((T7-J7)/J7)</f>
        <v>6.570388128427708E-2</v>
      </c>
      <c r="Z7" s="158">
        <f t="shared" ref="Z7:Z27" si="4">((U7-K7)/K7)</f>
        <v>1.0588235294117647E-2</v>
      </c>
      <c r="AA7" s="156">
        <f t="shared" ref="AA7:AA27" si="5">V7-L7</f>
        <v>-2.2200000000000002E-3</v>
      </c>
      <c r="AB7" s="157">
        <f t="shared" ref="AB7:AB27" si="6">W7-M7</f>
        <v>8.8600000000000012E-2</v>
      </c>
      <c r="AC7" s="51"/>
      <c r="AD7" s="48"/>
      <c r="AE7" s="48"/>
    </row>
    <row r="8" spans="1:32">
      <c r="A8" s="207">
        <v>3</v>
      </c>
      <c r="B8" s="55" t="s">
        <v>22</v>
      </c>
      <c r="C8" s="56" t="s">
        <v>23</v>
      </c>
      <c r="D8" s="142" t="s">
        <v>329</v>
      </c>
      <c r="E8" s="61">
        <v>17431350908.009998</v>
      </c>
      <c r="F8" s="62">
        <f t="shared" si="0"/>
        <v>7.9267007185406219E-2</v>
      </c>
      <c r="G8" s="142" t="s">
        <v>329</v>
      </c>
      <c r="H8" s="61">
        <v>68.951700000000002</v>
      </c>
      <c r="I8" s="142" t="s">
        <v>329</v>
      </c>
      <c r="J8" s="65">
        <v>71.006843919999994</v>
      </c>
      <c r="K8" s="59">
        <v>12544</v>
      </c>
      <c r="L8" s="60">
        <v>-4.5600000000000002E-2</v>
      </c>
      <c r="M8" s="60">
        <v>0.30349999999999999</v>
      </c>
      <c r="N8" s="142" t="s">
        <v>329</v>
      </c>
      <c r="O8" s="61">
        <v>18265706887.459999</v>
      </c>
      <c r="P8" s="62">
        <f t="shared" si="1"/>
        <v>7.8183871544325739E-2</v>
      </c>
      <c r="Q8" s="142" t="s">
        <v>329</v>
      </c>
      <c r="R8" s="61">
        <v>72.986999999999995</v>
      </c>
      <c r="S8" s="142" t="s">
        <v>329</v>
      </c>
      <c r="T8" s="65">
        <v>75.163843920000005</v>
      </c>
      <c r="U8" s="59">
        <v>12645</v>
      </c>
      <c r="V8" s="60">
        <v>5.8500000000000003E-2</v>
      </c>
      <c r="W8" s="60">
        <v>0.37759999999999999</v>
      </c>
      <c r="X8" s="158">
        <f t="shared" si="2"/>
        <v>4.7865250596647688E-2</v>
      </c>
      <c r="Y8" s="158">
        <f t="shared" si="3"/>
        <v>5.8543652562329108E-2</v>
      </c>
      <c r="Z8" s="158">
        <f t="shared" si="4"/>
        <v>8.0516581632653055E-3</v>
      </c>
      <c r="AA8" s="156">
        <f t="shared" si="5"/>
        <v>0.1041</v>
      </c>
      <c r="AB8" s="157">
        <f t="shared" si="6"/>
        <v>7.4099999999999999E-2</v>
      </c>
      <c r="AC8" s="40"/>
      <c r="AD8" s="47"/>
      <c r="AE8" s="22"/>
      <c r="AF8" s="49"/>
    </row>
    <row r="9" spans="1:32" ht="13.8" customHeight="1">
      <c r="A9" s="207">
        <v>4</v>
      </c>
      <c r="B9" s="55" t="s">
        <v>24</v>
      </c>
      <c r="C9" s="56" t="s">
        <v>25</v>
      </c>
      <c r="D9" s="142" t="s">
        <v>329</v>
      </c>
      <c r="E9" s="61">
        <v>2989726406.7399998</v>
      </c>
      <c r="F9" s="62">
        <f t="shared" si="0"/>
        <v>1.3595427331828822E-2</v>
      </c>
      <c r="G9" s="142" t="s">
        <v>329</v>
      </c>
      <c r="H9" s="61">
        <v>349.13580000000002</v>
      </c>
      <c r="I9" s="142" t="s">
        <v>329</v>
      </c>
      <c r="J9" s="61">
        <v>349.13580000000002</v>
      </c>
      <c r="K9" s="63">
        <v>2689</v>
      </c>
      <c r="L9" s="64">
        <v>-3.32E-2</v>
      </c>
      <c r="M9" s="64">
        <v>0.39510000000000001</v>
      </c>
      <c r="N9" s="142" t="s">
        <v>329</v>
      </c>
      <c r="O9" s="61">
        <v>3202542562.4200001</v>
      </c>
      <c r="P9" s="62">
        <f t="shared" si="1"/>
        <v>1.3708047427793775E-2</v>
      </c>
      <c r="Q9" s="142" t="s">
        <v>329</v>
      </c>
      <c r="R9" s="61">
        <v>366.99869999999999</v>
      </c>
      <c r="S9" s="142" t="s">
        <v>329</v>
      </c>
      <c r="T9" s="61">
        <v>366.99869999999999</v>
      </c>
      <c r="U9" s="63">
        <v>2729</v>
      </c>
      <c r="V9" s="64">
        <v>5.1200000000000002E-2</v>
      </c>
      <c r="W9" s="64">
        <v>0.46650000000000003</v>
      </c>
      <c r="X9" s="158">
        <f t="shared" si="2"/>
        <v>7.118248519337099E-2</v>
      </c>
      <c r="Y9" s="158">
        <f t="shared" si="3"/>
        <v>5.1163186359004055E-2</v>
      </c>
      <c r="Z9" s="158">
        <f t="shared" si="4"/>
        <v>1.4875418371141688E-2</v>
      </c>
      <c r="AA9" s="156">
        <f t="shared" si="5"/>
        <v>8.4400000000000003E-2</v>
      </c>
      <c r="AB9" s="157">
        <f t="shared" si="6"/>
        <v>7.1400000000000019E-2</v>
      </c>
      <c r="AD9" s="40"/>
    </row>
    <row r="10" spans="1:32">
      <c r="A10" s="207">
        <v>5</v>
      </c>
      <c r="B10" s="55" t="s">
        <v>26</v>
      </c>
      <c r="C10" s="56" t="s">
        <v>27</v>
      </c>
      <c r="D10" s="142" t="s">
        <v>329</v>
      </c>
      <c r="E10" s="61">
        <v>11498144182.34</v>
      </c>
      <c r="F10" s="62">
        <f t="shared" si="0"/>
        <v>5.2286451137964707E-2</v>
      </c>
      <c r="G10" s="142" t="s">
        <v>329</v>
      </c>
      <c r="H10" s="61">
        <v>2.7136999999999998</v>
      </c>
      <c r="I10" s="142" t="s">
        <v>329</v>
      </c>
      <c r="J10" s="61">
        <v>2.7480000000000002</v>
      </c>
      <c r="K10" s="63">
        <v>2879</v>
      </c>
      <c r="L10" s="64">
        <v>-4.4699999999999997E-2</v>
      </c>
      <c r="M10" s="64">
        <v>0.46710000000000002</v>
      </c>
      <c r="N10" s="142" t="s">
        <v>329</v>
      </c>
      <c r="O10" s="61">
        <v>12741436041.790001</v>
      </c>
      <c r="P10" s="62">
        <f t="shared" si="1"/>
        <v>5.4537982292131165E-2</v>
      </c>
      <c r="Q10" s="142" t="s">
        <v>329</v>
      </c>
      <c r="R10" s="61">
        <v>2.8755999999999999</v>
      </c>
      <c r="S10" s="142" t="s">
        <v>329</v>
      </c>
      <c r="T10" s="61">
        <v>2.9112</v>
      </c>
      <c r="U10" s="63">
        <v>2927</v>
      </c>
      <c r="V10" s="64">
        <v>5.9499999999999997E-2</v>
      </c>
      <c r="W10" s="64">
        <v>0.5544</v>
      </c>
      <c r="X10" s="158">
        <f t="shared" si="2"/>
        <v>0.10812978509693527</v>
      </c>
      <c r="Y10" s="158">
        <f t="shared" si="3"/>
        <v>5.9388646288209529E-2</v>
      </c>
      <c r="Z10" s="158">
        <f t="shared" si="4"/>
        <v>1.6672455713789509E-2</v>
      </c>
      <c r="AA10" s="156">
        <f t="shared" si="5"/>
        <v>0.10419999999999999</v>
      </c>
      <c r="AB10" s="157">
        <f t="shared" si="6"/>
        <v>8.7299999999999989E-2</v>
      </c>
    </row>
    <row r="11" spans="1:32">
      <c r="A11" s="207">
        <v>6</v>
      </c>
      <c r="B11" s="55" t="s">
        <v>346</v>
      </c>
      <c r="C11" s="56" t="s">
        <v>71</v>
      </c>
      <c r="D11" s="142" t="s">
        <v>329</v>
      </c>
      <c r="E11" s="61">
        <v>718775761.49000001</v>
      </c>
      <c r="F11" s="62">
        <f t="shared" si="0"/>
        <v>3.2685477879137066E-3</v>
      </c>
      <c r="G11" s="142" t="s">
        <v>329</v>
      </c>
      <c r="H11" s="61">
        <v>0.91310000000000002</v>
      </c>
      <c r="I11" s="142" t="s">
        <v>329</v>
      </c>
      <c r="J11" s="61">
        <v>0.93710000000000004</v>
      </c>
      <c r="K11" s="63">
        <v>538</v>
      </c>
      <c r="L11" s="64">
        <v>-3.0576494319991432E-2</v>
      </c>
      <c r="M11" s="64">
        <v>-7.4899999999999967E-2</v>
      </c>
      <c r="N11" s="142" t="s">
        <v>329</v>
      </c>
      <c r="O11" s="61">
        <v>758198534.54999995</v>
      </c>
      <c r="P11" s="62">
        <f>(O11/$O$27)</f>
        <v>3.245365602086285E-3</v>
      </c>
      <c r="Q11" s="142" t="s">
        <v>329</v>
      </c>
      <c r="R11" s="61">
        <v>0.95850000000000002</v>
      </c>
      <c r="S11" s="142" t="s">
        <v>329</v>
      </c>
      <c r="T11" s="61">
        <v>0.9839</v>
      </c>
      <c r="U11" s="63">
        <v>582</v>
      </c>
      <c r="V11" s="64">
        <v>4.9700000000000001E-2</v>
      </c>
      <c r="W11" s="64">
        <v>-2.8799999999999999E-2</v>
      </c>
      <c r="X11" s="158">
        <f>((O11-E11)/E11)</f>
        <v>5.4847109727625971E-2</v>
      </c>
      <c r="Y11" s="158">
        <f>((T11-J11)/J11)</f>
        <v>4.9941308291537673E-2</v>
      </c>
      <c r="Z11" s="158">
        <f>((U11-K11)/K11)</f>
        <v>8.1784386617100371E-2</v>
      </c>
      <c r="AA11" s="156">
        <f>V11-L11</f>
        <v>8.0276494319991426E-2</v>
      </c>
      <c r="AB11" s="157">
        <f>W11-M11</f>
        <v>4.6099999999999967E-2</v>
      </c>
    </row>
    <row r="12" spans="1:32" ht="12.6" customHeight="1">
      <c r="A12" s="207">
        <v>7</v>
      </c>
      <c r="B12" s="55" t="s">
        <v>28</v>
      </c>
      <c r="C12" s="56" t="s">
        <v>29</v>
      </c>
      <c r="D12" s="142" t="s">
        <v>329</v>
      </c>
      <c r="E12" s="66">
        <v>572269131.88</v>
      </c>
      <c r="F12" s="62">
        <f t="shared" si="0"/>
        <v>2.6023262125870871E-3</v>
      </c>
      <c r="G12" s="142" t="s">
        <v>329</v>
      </c>
      <c r="H12" s="61">
        <v>313.95960000000002</v>
      </c>
      <c r="I12" s="142" t="s">
        <v>329</v>
      </c>
      <c r="J12" s="61">
        <v>316.93130000000002</v>
      </c>
      <c r="K12" s="59">
        <v>253</v>
      </c>
      <c r="L12" s="60">
        <v>-6.1970000000000003E-3</v>
      </c>
      <c r="M12" s="60">
        <v>0.46629999999999999</v>
      </c>
      <c r="N12" s="142" t="s">
        <v>329</v>
      </c>
      <c r="O12" s="66">
        <v>600027896.22000003</v>
      </c>
      <c r="P12" s="62">
        <f t="shared" si="1"/>
        <v>2.5683377188803714E-3</v>
      </c>
      <c r="Q12" s="142" t="s">
        <v>329</v>
      </c>
      <c r="R12" s="61">
        <v>329.10149999999999</v>
      </c>
      <c r="S12" s="142" t="s">
        <v>329</v>
      </c>
      <c r="T12" s="61">
        <v>332.22149999999999</v>
      </c>
      <c r="U12" s="59">
        <v>257</v>
      </c>
      <c r="V12" s="60">
        <v>9.4809999999999998E-3</v>
      </c>
      <c r="W12" s="60">
        <v>0.5413</v>
      </c>
      <c r="X12" s="158">
        <f t="shared" si="2"/>
        <v>4.8506485486658771E-2</v>
      </c>
      <c r="Y12" s="158">
        <f t="shared" si="3"/>
        <v>4.8244524917545127E-2</v>
      </c>
      <c r="Z12" s="158">
        <f t="shared" si="4"/>
        <v>1.5810276679841896E-2</v>
      </c>
      <c r="AA12" s="156">
        <f t="shared" si="5"/>
        <v>1.5678000000000001E-2</v>
      </c>
      <c r="AB12" s="157">
        <f t="shared" si="6"/>
        <v>7.5000000000000011E-2</v>
      </c>
    </row>
    <row r="13" spans="1:32" ht="12.6" customHeight="1">
      <c r="A13" s="207">
        <v>8</v>
      </c>
      <c r="B13" s="55" t="s">
        <v>318</v>
      </c>
      <c r="C13" s="56" t="s">
        <v>38</v>
      </c>
      <c r="D13" s="142" t="s">
        <v>329</v>
      </c>
      <c r="E13" s="67">
        <v>3978270607.2600002</v>
      </c>
      <c r="F13" s="62">
        <f t="shared" si="0"/>
        <v>1.8090715199030397E-2</v>
      </c>
      <c r="G13" s="142" t="s">
        <v>329</v>
      </c>
      <c r="H13" s="61">
        <v>7.69</v>
      </c>
      <c r="I13" s="142" t="s">
        <v>329</v>
      </c>
      <c r="J13" s="61">
        <v>7.69</v>
      </c>
      <c r="K13" s="63">
        <v>3843</v>
      </c>
      <c r="L13" s="64">
        <v>-8.5000000000000006E-2</v>
      </c>
      <c r="M13" s="64">
        <v>0.3745</v>
      </c>
      <c r="N13" s="142" t="s">
        <v>329</v>
      </c>
      <c r="O13" s="67">
        <v>4154880311.0999999</v>
      </c>
      <c r="P13" s="62">
        <f t="shared" si="1"/>
        <v>1.7784399504850643E-2</v>
      </c>
      <c r="Q13" s="142" t="s">
        <v>329</v>
      </c>
      <c r="R13" s="61">
        <v>7.95</v>
      </c>
      <c r="S13" s="142" t="s">
        <v>329</v>
      </c>
      <c r="T13" s="61">
        <v>8.11</v>
      </c>
      <c r="U13" s="63">
        <v>3843</v>
      </c>
      <c r="V13" s="64">
        <v>4.48E-2</v>
      </c>
      <c r="W13" s="64">
        <v>0.436</v>
      </c>
      <c r="X13" s="158">
        <f>((O13-E13)/E13)</f>
        <v>4.4393587383850214E-2</v>
      </c>
      <c r="Y13" s="158">
        <f>((T13-J13)/J13)</f>
        <v>5.4616384915474513E-2</v>
      </c>
      <c r="Z13" s="158">
        <f>((U13-K13)/K13)</f>
        <v>0</v>
      </c>
      <c r="AA13" s="156">
        <f>V13-L13</f>
        <v>0.1298</v>
      </c>
      <c r="AB13" s="157">
        <f>W13-M13</f>
        <v>6.1499999999999999E-2</v>
      </c>
    </row>
    <row r="14" spans="1:32">
      <c r="A14" s="207">
        <v>9</v>
      </c>
      <c r="B14" s="55" t="s">
        <v>320</v>
      </c>
      <c r="C14" s="56" t="s">
        <v>79</v>
      </c>
      <c r="D14" s="142" t="s">
        <v>329</v>
      </c>
      <c r="E14" s="66">
        <v>6732803413.4300003</v>
      </c>
      <c r="F14" s="62">
        <f t="shared" si="0"/>
        <v>3.0616627441367394E-2</v>
      </c>
      <c r="G14" s="142" t="s">
        <v>329</v>
      </c>
      <c r="H14" s="61">
        <v>599.17999999999995</v>
      </c>
      <c r="I14" s="142" t="s">
        <v>329</v>
      </c>
      <c r="J14" s="61">
        <v>607.08000000000004</v>
      </c>
      <c r="K14" s="59">
        <v>2205</v>
      </c>
      <c r="L14" s="60">
        <v>-1.8700000000000001E-2</v>
      </c>
      <c r="M14" s="60">
        <v>0.32179999999999997</v>
      </c>
      <c r="N14" s="142" t="s">
        <v>329</v>
      </c>
      <c r="O14" s="66">
        <v>6844218780.71</v>
      </c>
      <c r="P14" s="62">
        <f t="shared" si="1"/>
        <v>2.9295746683620609E-2</v>
      </c>
      <c r="Q14" s="142" t="s">
        <v>329</v>
      </c>
      <c r="R14" s="61">
        <v>599.17999999999995</v>
      </c>
      <c r="S14" s="142" t="s">
        <v>329</v>
      </c>
      <c r="T14" s="61">
        <v>607.08000000000004</v>
      </c>
      <c r="U14" s="59">
        <v>2219</v>
      </c>
      <c r="V14" s="60">
        <v>1.04E-2</v>
      </c>
      <c r="W14" s="60">
        <v>0.33610000000000001</v>
      </c>
      <c r="X14" s="158">
        <f t="shared" si="2"/>
        <v>1.6548139079444711E-2</v>
      </c>
      <c r="Y14" s="158">
        <f t="shared" si="3"/>
        <v>0</v>
      </c>
      <c r="Z14" s="158">
        <f t="shared" si="4"/>
        <v>6.3492063492063492E-3</v>
      </c>
      <c r="AA14" s="156">
        <f t="shared" si="5"/>
        <v>2.9100000000000001E-2</v>
      </c>
      <c r="AB14" s="157">
        <f t="shared" si="6"/>
        <v>1.4300000000000035E-2</v>
      </c>
      <c r="AC14" s="40"/>
      <c r="AD14" s="40"/>
      <c r="AE14" s="117"/>
    </row>
    <row r="15" spans="1:32" ht="13.8" customHeight="1">
      <c r="A15" s="207">
        <v>10</v>
      </c>
      <c r="B15" s="55" t="s">
        <v>30</v>
      </c>
      <c r="C15" s="56" t="s">
        <v>31</v>
      </c>
      <c r="D15" s="142" t="s">
        <v>329</v>
      </c>
      <c r="E15" s="67">
        <v>574786032.16999996</v>
      </c>
      <c r="F15" s="62">
        <f t="shared" si="0"/>
        <v>2.6137715190596164E-3</v>
      </c>
      <c r="G15" s="142" t="s">
        <v>329</v>
      </c>
      <c r="H15" s="61">
        <v>286.41000000000003</v>
      </c>
      <c r="I15" s="142" t="s">
        <v>329</v>
      </c>
      <c r="J15" s="61">
        <v>295.2</v>
      </c>
      <c r="K15" s="63">
        <v>2472</v>
      </c>
      <c r="L15" s="64">
        <v>-5.806E-2</v>
      </c>
      <c r="M15" s="64">
        <v>0.1537</v>
      </c>
      <c r="N15" s="142" t="s">
        <v>329</v>
      </c>
      <c r="O15" s="67">
        <v>606950500.94000006</v>
      </c>
      <c r="P15" s="62">
        <f t="shared" si="1"/>
        <v>2.5979689859052572E-3</v>
      </c>
      <c r="Q15" s="142" t="s">
        <v>329</v>
      </c>
      <c r="R15" s="61">
        <v>302.43</v>
      </c>
      <c r="S15" s="142" t="s">
        <v>329</v>
      </c>
      <c r="T15" s="61">
        <v>312.27</v>
      </c>
      <c r="U15" s="63">
        <v>2472</v>
      </c>
      <c r="V15" s="64">
        <v>3.73E-2</v>
      </c>
      <c r="W15" s="64">
        <v>0.19678999999999999</v>
      </c>
      <c r="X15" s="158">
        <f t="shared" si="2"/>
        <v>5.5959029916870122E-2</v>
      </c>
      <c r="Y15" s="158">
        <f t="shared" si="3"/>
        <v>5.7825203252032498E-2</v>
      </c>
      <c r="Z15" s="158">
        <f t="shared" si="4"/>
        <v>0</v>
      </c>
      <c r="AA15" s="156">
        <f t="shared" si="5"/>
        <v>9.536E-2</v>
      </c>
      <c r="AB15" s="157">
        <f t="shared" si="6"/>
        <v>4.3089999999999989E-2</v>
      </c>
      <c r="AD15" s="48"/>
      <c r="AE15" s="117"/>
    </row>
    <row r="16" spans="1:32">
      <c r="A16" s="207">
        <v>11</v>
      </c>
      <c r="B16" s="55" t="s">
        <v>32</v>
      </c>
      <c r="C16" s="56" t="s">
        <v>33</v>
      </c>
      <c r="D16" s="142" t="s">
        <v>329</v>
      </c>
      <c r="E16" s="67">
        <v>159376571.50189999</v>
      </c>
      <c r="F16" s="62">
        <f t="shared" si="0"/>
        <v>7.247461143485614E-4</v>
      </c>
      <c r="G16" s="142" t="s">
        <v>329</v>
      </c>
      <c r="H16" s="61">
        <v>468.24369999999999</v>
      </c>
      <c r="I16" s="142" t="s">
        <v>329</v>
      </c>
      <c r="J16" s="61">
        <v>483.9468</v>
      </c>
      <c r="K16" s="63">
        <v>58</v>
      </c>
      <c r="L16" s="64">
        <v>-0.1757</v>
      </c>
      <c r="M16" s="64">
        <v>0.47870000000000001</v>
      </c>
      <c r="N16" s="142" t="s">
        <v>329</v>
      </c>
      <c r="O16" s="67">
        <v>172746850.3502</v>
      </c>
      <c r="P16" s="62">
        <f t="shared" si="1"/>
        <v>7.3941937427777398E-4</v>
      </c>
      <c r="Q16" s="142" t="s">
        <v>329</v>
      </c>
      <c r="R16" s="61">
        <v>492.1044</v>
      </c>
      <c r="S16" s="142" t="s">
        <v>329</v>
      </c>
      <c r="T16" s="61">
        <v>508.27510000000001</v>
      </c>
      <c r="U16" s="63">
        <v>58</v>
      </c>
      <c r="V16" s="64">
        <v>5.0599999999999999E-2</v>
      </c>
      <c r="W16" s="64">
        <v>0.5534</v>
      </c>
      <c r="X16" s="158">
        <f t="shared" si="2"/>
        <v>8.389111851449646E-2</v>
      </c>
      <c r="Y16" s="158">
        <f t="shared" si="3"/>
        <v>5.0270608256940665E-2</v>
      </c>
      <c r="Z16" s="158">
        <f t="shared" si="4"/>
        <v>0</v>
      </c>
      <c r="AA16" s="156">
        <f t="shared" si="5"/>
        <v>0.2263</v>
      </c>
      <c r="AB16" s="157">
        <f t="shared" si="6"/>
        <v>7.4699999999999989E-2</v>
      </c>
      <c r="AD16" s="40"/>
    </row>
    <row r="17" spans="1:33" ht="14.25" customHeight="1">
      <c r="A17" s="207">
        <v>12</v>
      </c>
      <c r="B17" s="55" t="s">
        <v>34</v>
      </c>
      <c r="C17" s="56" t="s">
        <v>35</v>
      </c>
      <c r="D17" s="142" t="s">
        <v>329</v>
      </c>
      <c r="E17" s="67">
        <v>18887536893.27</v>
      </c>
      <c r="F17" s="62">
        <f t="shared" si="0"/>
        <v>8.5888840775128261E-2</v>
      </c>
      <c r="G17" s="142" t="s">
        <v>329</v>
      </c>
      <c r="H17" s="61">
        <v>5.2643000000000004</v>
      </c>
      <c r="I17" s="142" t="s">
        <v>329</v>
      </c>
      <c r="J17" s="61">
        <v>5.3375000000000004</v>
      </c>
      <c r="K17" s="63">
        <v>13646</v>
      </c>
      <c r="L17" s="64">
        <v>-3.6299999999999999E-2</v>
      </c>
      <c r="M17" s="64">
        <v>0.32319999999999999</v>
      </c>
      <c r="N17" s="142" t="s">
        <v>329</v>
      </c>
      <c r="O17" s="67">
        <v>19434240009.110001</v>
      </c>
      <c r="P17" s="62">
        <f t="shared" si="1"/>
        <v>8.3185618481428719E-2</v>
      </c>
      <c r="Q17" s="142" t="s">
        <v>329</v>
      </c>
      <c r="R17" s="61">
        <v>5.4238</v>
      </c>
      <c r="S17" s="142" t="s">
        <v>329</v>
      </c>
      <c r="T17" s="61">
        <v>5.4993999999999996</v>
      </c>
      <c r="U17" s="63">
        <v>13897</v>
      </c>
      <c r="V17" s="64">
        <v>3.0300000000000001E-2</v>
      </c>
      <c r="W17" s="64">
        <v>0.36330000000000001</v>
      </c>
      <c r="X17" s="158">
        <f t="shared" si="2"/>
        <v>2.8945177919668351E-2</v>
      </c>
      <c r="Y17" s="158">
        <f t="shared" si="3"/>
        <v>3.0332552693208292E-2</v>
      </c>
      <c r="Z17" s="158">
        <f t="shared" si="4"/>
        <v>1.8393668474278178E-2</v>
      </c>
      <c r="AA17" s="156">
        <f t="shared" si="5"/>
        <v>6.6599999999999993E-2</v>
      </c>
      <c r="AB17" s="157">
        <f t="shared" si="6"/>
        <v>4.0100000000000025E-2</v>
      </c>
      <c r="AD17" s="186"/>
    </row>
    <row r="18" spans="1:33" ht="14.25" customHeight="1">
      <c r="A18" s="211">
        <v>13</v>
      </c>
      <c r="B18" s="55" t="s">
        <v>36</v>
      </c>
      <c r="C18" s="56" t="s">
        <v>37</v>
      </c>
      <c r="D18" s="142" t="s">
        <v>329</v>
      </c>
      <c r="E18" s="67">
        <v>485760332.00999999</v>
      </c>
      <c r="F18" s="62">
        <f t="shared" si="0"/>
        <v>2.2089376739084744E-3</v>
      </c>
      <c r="G18" s="142" t="s">
        <v>329</v>
      </c>
      <c r="H18" s="61">
        <v>43.82</v>
      </c>
      <c r="I18" s="142" t="s">
        <v>329</v>
      </c>
      <c r="J18" s="61">
        <v>44.27</v>
      </c>
      <c r="K18" s="63">
        <v>123</v>
      </c>
      <c r="L18" s="64">
        <v>-0.01</v>
      </c>
      <c r="M18" s="64">
        <v>0.63060000000000005</v>
      </c>
      <c r="N18" s="142" t="s">
        <v>329</v>
      </c>
      <c r="O18" s="67">
        <v>467160067.37</v>
      </c>
      <c r="P18" s="62">
        <f t="shared" si="1"/>
        <v>1.9996150667987459E-3</v>
      </c>
      <c r="Q18" s="142" t="s">
        <v>329</v>
      </c>
      <c r="R18" s="61">
        <v>43.33</v>
      </c>
      <c r="S18" s="142" t="s">
        <v>329</v>
      </c>
      <c r="T18" s="61">
        <v>44.82</v>
      </c>
      <c r="U18" s="63">
        <v>117</v>
      </c>
      <c r="V18" s="64">
        <v>0.01</v>
      </c>
      <c r="W18" s="64">
        <v>0.67</v>
      </c>
      <c r="X18" s="158">
        <f t="shared" ref="X18" si="7">((O18-E18)/E18)</f>
        <v>-3.8291032458403942E-2</v>
      </c>
      <c r="Y18" s="158">
        <f t="shared" ref="Y18" si="8">((T18-J18)/J18)</f>
        <v>1.2423763270837974E-2</v>
      </c>
      <c r="Z18" s="158">
        <f t="shared" ref="Z18" si="9">((U18-K18)/K18)</f>
        <v>-4.878048780487805E-2</v>
      </c>
      <c r="AA18" s="156">
        <f t="shared" ref="AA18" si="10">V18-L18</f>
        <v>0.02</v>
      </c>
      <c r="AB18" s="157">
        <f t="shared" ref="AB18" si="11">W18-M18</f>
        <v>3.9399999999999991E-2</v>
      </c>
      <c r="AD18" s="40"/>
    </row>
    <row r="19" spans="1:33">
      <c r="A19" s="207">
        <v>14</v>
      </c>
      <c r="B19" s="55" t="s">
        <v>39</v>
      </c>
      <c r="C19" s="56" t="s">
        <v>40</v>
      </c>
      <c r="D19" s="142" t="s">
        <v>329</v>
      </c>
      <c r="E19" s="61">
        <v>8653910479.0599995</v>
      </c>
      <c r="F19" s="62">
        <f t="shared" si="0"/>
        <v>3.9352634672181183E-2</v>
      </c>
      <c r="G19" s="142" t="s">
        <v>329</v>
      </c>
      <c r="H19" s="61">
        <v>42.86</v>
      </c>
      <c r="I19" s="142" t="s">
        <v>329</v>
      </c>
      <c r="J19" s="61">
        <v>43.21</v>
      </c>
      <c r="K19" s="63">
        <v>2406</v>
      </c>
      <c r="L19" s="64">
        <v>-4.2200000000000001E-2</v>
      </c>
      <c r="M19" s="64">
        <v>0.39439999999999997</v>
      </c>
      <c r="N19" s="142" t="s">
        <v>329</v>
      </c>
      <c r="O19" s="61">
        <v>9286461613.1599998</v>
      </c>
      <c r="P19" s="62">
        <f t="shared" si="1"/>
        <v>3.974943462840036E-2</v>
      </c>
      <c r="Q19" s="142" t="s">
        <v>329</v>
      </c>
      <c r="R19" s="61">
        <v>45.49</v>
      </c>
      <c r="S19" s="142" t="s">
        <v>329</v>
      </c>
      <c r="T19" s="61">
        <v>45.86</v>
      </c>
      <c r="U19" s="63">
        <v>2426</v>
      </c>
      <c r="V19" s="64">
        <v>6.1400000000000003E-2</v>
      </c>
      <c r="W19" s="64">
        <v>0.4753</v>
      </c>
      <c r="X19" s="158">
        <f t="shared" si="2"/>
        <v>7.30942543987015E-2</v>
      </c>
      <c r="Y19" s="158">
        <f t="shared" si="3"/>
        <v>6.132839620458224E-2</v>
      </c>
      <c r="Z19" s="158">
        <f t="shared" si="4"/>
        <v>8.3125519534497094E-3</v>
      </c>
      <c r="AA19" s="156">
        <f t="shared" si="5"/>
        <v>0.1036</v>
      </c>
      <c r="AB19" s="157">
        <f t="shared" si="6"/>
        <v>8.0900000000000027E-2</v>
      </c>
      <c r="AE19" s="48"/>
    </row>
    <row r="20" spans="1:33">
      <c r="A20" s="207">
        <v>15</v>
      </c>
      <c r="B20" s="55" t="s">
        <v>41</v>
      </c>
      <c r="C20" s="56" t="s">
        <v>42</v>
      </c>
      <c r="D20" s="142" t="s">
        <v>329</v>
      </c>
      <c r="E20" s="61">
        <v>342971648.38999999</v>
      </c>
      <c r="F20" s="62">
        <f t="shared" si="0"/>
        <v>1.5596230183644668E-3</v>
      </c>
      <c r="G20" s="142" t="s">
        <v>329</v>
      </c>
      <c r="H20" s="61">
        <v>2.91</v>
      </c>
      <c r="I20" s="142" t="s">
        <v>329</v>
      </c>
      <c r="J20" s="61">
        <v>2.95</v>
      </c>
      <c r="K20" s="63">
        <v>46</v>
      </c>
      <c r="L20" s="64">
        <v>17.979199999999999</v>
      </c>
      <c r="M20" s="64">
        <v>4.7000000000000002E-3</v>
      </c>
      <c r="N20" s="142" t="s">
        <v>329</v>
      </c>
      <c r="O20" s="61">
        <v>374931215.08999997</v>
      </c>
      <c r="P20" s="62">
        <f t="shared" si="1"/>
        <v>1.6048420211253495E-3</v>
      </c>
      <c r="Q20" s="142" t="s">
        <v>329</v>
      </c>
      <c r="R20" s="61">
        <v>2.83</v>
      </c>
      <c r="S20" s="142" t="s">
        <v>329</v>
      </c>
      <c r="T20" s="61">
        <v>2.86</v>
      </c>
      <c r="U20" s="63">
        <v>46</v>
      </c>
      <c r="V20" s="64">
        <f>T20/J20-1</f>
        <v>-3.0508474576271261E-2</v>
      </c>
      <c r="W20" s="64">
        <v>4.3E-3</v>
      </c>
      <c r="X20" s="158">
        <f t="shared" si="2"/>
        <v>9.3184281703827948E-2</v>
      </c>
      <c r="Y20" s="158">
        <f t="shared" si="3"/>
        <v>-3.0508474576271288E-2</v>
      </c>
      <c r="Z20" s="158">
        <f t="shared" si="4"/>
        <v>0</v>
      </c>
      <c r="AA20" s="156">
        <f t="shared" si="5"/>
        <v>-18.009708474576271</v>
      </c>
      <c r="AB20" s="157">
        <f t="shared" si="6"/>
        <v>-4.0000000000000018E-4</v>
      </c>
      <c r="AD20" s="40"/>
      <c r="AE20" s="40"/>
    </row>
    <row r="21" spans="1:33">
      <c r="A21" s="207">
        <v>16</v>
      </c>
      <c r="B21" s="55" t="s">
        <v>43</v>
      </c>
      <c r="C21" s="56" t="s">
        <v>44</v>
      </c>
      <c r="D21" s="142" t="s">
        <v>329</v>
      </c>
      <c r="E21" s="68">
        <v>21220402866</v>
      </c>
      <c r="F21" s="62">
        <f t="shared" si="0"/>
        <v>9.6497272949940663E-2</v>
      </c>
      <c r="G21" s="142" t="s">
        <v>329</v>
      </c>
      <c r="H21" s="61">
        <v>65.38</v>
      </c>
      <c r="I21" s="142" t="s">
        <v>329</v>
      </c>
      <c r="J21" s="61">
        <v>65.739999999999995</v>
      </c>
      <c r="K21" s="63">
        <v>19694</v>
      </c>
      <c r="L21" s="64">
        <v>-6.2899999999999998E-2</v>
      </c>
      <c r="M21" s="64">
        <v>0.43880000000000002</v>
      </c>
      <c r="N21" s="142" t="s">
        <v>329</v>
      </c>
      <c r="O21" s="68">
        <v>22784930832</v>
      </c>
      <c r="P21" s="62">
        <f t="shared" si="1"/>
        <v>9.7527794368496831E-2</v>
      </c>
      <c r="Q21" s="142" t="s">
        <v>329</v>
      </c>
      <c r="R21" s="61">
        <v>69.5</v>
      </c>
      <c r="S21" s="142" t="s">
        <v>329</v>
      </c>
      <c r="T21" s="61">
        <v>69.88</v>
      </c>
      <c r="U21" s="63">
        <v>20532</v>
      </c>
      <c r="V21" s="64">
        <v>6.83E-2</v>
      </c>
      <c r="W21" s="64">
        <v>0.52780000000000005</v>
      </c>
      <c r="X21" s="158">
        <f t="shared" si="2"/>
        <v>7.372753363258415E-2</v>
      </c>
      <c r="Y21" s="158">
        <f t="shared" si="3"/>
        <v>6.2975357468816565E-2</v>
      </c>
      <c r="Z21" s="158">
        <f t="shared" si="4"/>
        <v>4.2551030770793134E-2</v>
      </c>
      <c r="AA21" s="156">
        <f t="shared" si="5"/>
        <v>0.13119999999999998</v>
      </c>
      <c r="AB21" s="157">
        <f t="shared" si="6"/>
        <v>8.9000000000000024E-2</v>
      </c>
    </row>
    <row r="22" spans="1:33" ht="12.75" customHeight="1">
      <c r="A22" s="207">
        <v>17</v>
      </c>
      <c r="B22" s="55" t="s">
        <v>45</v>
      </c>
      <c r="C22" s="56" t="s">
        <v>46</v>
      </c>
      <c r="D22" s="142" t="s">
        <v>329</v>
      </c>
      <c r="E22" s="61">
        <v>4195079454.2800002</v>
      </c>
      <c r="F22" s="62">
        <f t="shared" si="0"/>
        <v>1.9076627795551922E-2</v>
      </c>
      <c r="G22" s="142" t="s">
        <v>329</v>
      </c>
      <c r="H22" s="61">
        <v>16051.3</v>
      </c>
      <c r="I22" s="142" t="s">
        <v>329</v>
      </c>
      <c r="J22" s="61">
        <v>16281.09</v>
      </c>
      <c r="K22" s="63">
        <v>87</v>
      </c>
      <c r="L22" s="64">
        <v>-2.3400000000000001E-2</v>
      </c>
      <c r="M22" s="64">
        <v>0.26590000000000003</v>
      </c>
      <c r="N22" s="142" t="s">
        <v>329</v>
      </c>
      <c r="O22" s="61">
        <v>4393656333.1099997</v>
      </c>
      <c r="P22" s="62">
        <f t="shared" si="1"/>
        <v>1.8806447758866553E-2</v>
      </c>
      <c r="Q22" s="142" t="s">
        <v>329</v>
      </c>
      <c r="R22" s="61">
        <v>16653.169999999998</v>
      </c>
      <c r="S22" s="142" t="s">
        <v>329</v>
      </c>
      <c r="T22" s="61">
        <v>16887.46</v>
      </c>
      <c r="U22" s="63">
        <v>88</v>
      </c>
      <c r="V22" s="64">
        <v>3.7199999999999997E-2</v>
      </c>
      <c r="W22" s="64">
        <v>0.313</v>
      </c>
      <c r="X22" s="158">
        <f t="shared" si="2"/>
        <v>4.733566574702245E-2</v>
      </c>
      <c r="Y22" s="158">
        <f t="shared" si="3"/>
        <v>3.7243820898969229E-2</v>
      </c>
      <c r="Z22" s="158">
        <f t="shared" si="4"/>
        <v>1.1494252873563218E-2</v>
      </c>
      <c r="AA22" s="156">
        <f t="shared" si="5"/>
        <v>6.0600000000000001E-2</v>
      </c>
      <c r="AB22" s="157">
        <f t="shared" si="6"/>
        <v>4.7099999999999975E-2</v>
      </c>
      <c r="AD22" s="40"/>
    </row>
    <row r="23" spans="1:33">
      <c r="A23" s="211">
        <v>18</v>
      </c>
      <c r="B23" s="55" t="s">
        <v>47</v>
      </c>
      <c r="C23" s="56" t="s">
        <v>46</v>
      </c>
      <c r="D23" s="142" t="s">
        <v>329</v>
      </c>
      <c r="E23" s="61">
        <v>64208594986.440002</v>
      </c>
      <c r="F23" s="62">
        <f t="shared" si="0"/>
        <v>0.29198099372873104</v>
      </c>
      <c r="G23" s="142" t="s">
        <v>329</v>
      </c>
      <c r="H23" s="61">
        <v>58151.34</v>
      </c>
      <c r="I23" s="142" t="s">
        <v>329</v>
      </c>
      <c r="J23" s="61">
        <v>58898.26</v>
      </c>
      <c r="K23" s="63">
        <v>33257</v>
      </c>
      <c r="L23" s="64">
        <v>-2.7199999999999998E-2</v>
      </c>
      <c r="M23" s="64">
        <v>0.3609</v>
      </c>
      <c r="N23" s="142" t="s">
        <v>329</v>
      </c>
      <c r="O23" s="61">
        <v>67262584896.220001</v>
      </c>
      <c r="P23" s="62">
        <f t="shared" si="1"/>
        <v>0.28790833717340225</v>
      </c>
      <c r="Q23" s="142" t="s">
        <v>329</v>
      </c>
      <c r="R23" s="61">
        <v>60609.22</v>
      </c>
      <c r="S23" s="142" t="s">
        <v>329</v>
      </c>
      <c r="T23" s="61">
        <v>61384.92</v>
      </c>
      <c r="U23" s="63">
        <v>33667</v>
      </c>
      <c r="V23" s="64">
        <v>4.2200000000000001E-2</v>
      </c>
      <c r="W23" s="64">
        <v>0.41839999999999999</v>
      </c>
      <c r="X23" s="158">
        <f t="shared" si="2"/>
        <v>4.756356856001849E-2</v>
      </c>
      <c r="Y23" s="158">
        <f t="shared" si="3"/>
        <v>4.2219583396860896E-2</v>
      </c>
      <c r="Z23" s="158">
        <f t="shared" si="4"/>
        <v>1.2328231650479598E-2</v>
      </c>
      <c r="AA23" s="156">
        <f t="shared" si="5"/>
        <v>6.9400000000000003E-2</v>
      </c>
      <c r="AB23" s="157">
        <f t="shared" si="6"/>
        <v>5.7499999999999996E-2</v>
      </c>
    </row>
    <row r="24" spans="1:33">
      <c r="A24" s="207">
        <v>19</v>
      </c>
      <c r="B24" s="56" t="s">
        <v>48</v>
      </c>
      <c r="C24" s="56" t="s">
        <v>49</v>
      </c>
      <c r="D24" s="142" t="s">
        <v>329</v>
      </c>
      <c r="E24" s="61">
        <v>13794747435.040001</v>
      </c>
      <c r="F24" s="62">
        <f t="shared" si="0"/>
        <v>6.272998288111524E-2</v>
      </c>
      <c r="G24" s="142" t="s">
        <v>329</v>
      </c>
      <c r="H24" s="61">
        <v>2.2585099999999998</v>
      </c>
      <c r="I24" s="142" t="s">
        <v>329</v>
      </c>
      <c r="J24" s="69">
        <v>2.2839399999999999</v>
      </c>
      <c r="K24" s="63">
        <v>9426</v>
      </c>
      <c r="L24" s="64">
        <v>-2.5100000000000001E-2</v>
      </c>
      <c r="M24" s="64">
        <v>0.33229999999999998</v>
      </c>
      <c r="N24" s="142" t="s">
        <v>329</v>
      </c>
      <c r="O24" s="61">
        <v>16138282281.450001</v>
      </c>
      <c r="P24" s="62">
        <f t="shared" si="1"/>
        <v>6.9077720156847017E-2</v>
      </c>
      <c r="Q24" s="142" t="s">
        <v>329</v>
      </c>
      <c r="R24" s="61">
        <v>2.38089</v>
      </c>
      <c r="S24" s="142" t="s">
        <v>329</v>
      </c>
      <c r="T24" s="69">
        <v>2.4054000000000002</v>
      </c>
      <c r="U24" s="63">
        <v>9832</v>
      </c>
      <c r="V24" s="64">
        <v>5.4199999999999998E-2</v>
      </c>
      <c r="W24" s="64">
        <v>0.4224</v>
      </c>
      <c r="X24" s="158">
        <f t="shared" ref="X24:X25" si="12">((O24-E24)/E24)</f>
        <v>0.16988602781209269</v>
      </c>
      <c r="Y24" s="158">
        <f t="shared" ref="Y24:Y25" si="13">((T24-J24)/J24)</f>
        <v>5.3180030999063176E-2</v>
      </c>
      <c r="Z24" s="158">
        <f t="shared" ref="Z24:Z25" si="14">((U24-K24)/K24)</f>
        <v>4.3072353065987695E-2</v>
      </c>
      <c r="AA24" s="156">
        <f t="shared" ref="AA24:AA25" si="15">V24-L24</f>
        <v>7.9299999999999995E-2</v>
      </c>
      <c r="AB24" s="157">
        <f t="shared" ref="AB24:AB25" si="16">W24-M24</f>
        <v>9.0100000000000013E-2</v>
      </c>
      <c r="AD24" s="188"/>
      <c r="AE24" s="187"/>
    </row>
    <row r="25" spans="1:33">
      <c r="A25" s="207">
        <v>20</v>
      </c>
      <c r="B25" s="55" t="s">
        <v>302</v>
      </c>
      <c r="C25" s="56" t="s">
        <v>119</v>
      </c>
      <c r="D25" s="142" t="s">
        <v>329</v>
      </c>
      <c r="E25" s="61">
        <v>8017984228.6400003</v>
      </c>
      <c r="F25" s="62">
        <f t="shared" si="0"/>
        <v>3.6460835239799427E-2</v>
      </c>
      <c r="G25" s="142" t="s">
        <v>329</v>
      </c>
      <c r="H25" s="61">
        <v>1.83</v>
      </c>
      <c r="I25" s="142" t="s">
        <v>329</v>
      </c>
      <c r="J25" s="69">
        <v>1.86</v>
      </c>
      <c r="K25" s="63">
        <v>5074</v>
      </c>
      <c r="L25" s="64">
        <v>-5.4800000000000001E-2</v>
      </c>
      <c r="M25" s="64">
        <v>0.78849999999999998</v>
      </c>
      <c r="N25" s="142" t="s">
        <v>329</v>
      </c>
      <c r="O25" s="61">
        <v>9200320552.0499992</v>
      </c>
      <c r="P25" s="62">
        <f t="shared" si="1"/>
        <v>3.938071954400689E-2</v>
      </c>
      <c r="Q25" s="142" t="s">
        <v>329</v>
      </c>
      <c r="R25" s="61">
        <v>1.9</v>
      </c>
      <c r="S25" s="142" t="s">
        <v>329</v>
      </c>
      <c r="T25" s="69">
        <v>1.93</v>
      </c>
      <c r="U25" s="63">
        <v>5290</v>
      </c>
      <c r="V25" s="64">
        <v>3.7499999999999999E-2</v>
      </c>
      <c r="W25" s="64">
        <v>0.87360000000000004</v>
      </c>
      <c r="X25" s="158">
        <f t="shared" si="12"/>
        <v>0.14746054490687682</v>
      </c>
      <c r="Y25" s="158">
        <f t="shared" si="13"/>
        <v>3.7634408602150449E-2</v>
      </c>
      <c r="Z25" s="158">
        <f t="shared" si="14"/>
        <v>4.2569964525029563E-2</v>
      </c>
      <c r="AA25" s="156">
        <f t="shared" si="15"/>
        <v>9.2299999999999993E-2</v>
      </c>
      <c r="AB25" s="157">
        <f t="shared" si="16"/>
        <v>8.5100000000000064E-2</v>
      </c>
      <c r="AD25" s="40"/>
      <c r="AE25" s="40"/>
      <c r="AF25" s="40"/>
      <c r="AG25" s="40"/>
    </row>
    <row r="26" spans="1:33">
      <c r="A26" s="207">
        <v>21</v>
      </c>
      <c r="B26" s="56" t="s">
        <v>50</v>
      </c>
      <c r="C26" s="56" t="s">
        <v>51</v>
      </c>
      <c r="D26" s="142" t="s">
        <v>329</v>
      </c>
      <c r="E26" s="61">
        <v>21943428577.57</v>
      </c>
      <c r="F26" s="62">
        <f t="shared" si="0"/>
        <v>9.9785146883332523E-2</v>
      </c>
      <c r="G26" s="142" t="s">
        <v>329</v>
      </c>
      <c r="H26" s="61">
        <v>325.54000000000002</v>
      </c>
      <c r="I26" s="142" t="s">
        <v>329</v>
      </c>
      <c r="J26" s="69">
        <v>331.07</v>
      </c>
      <c r="K26" s="63">
        <v>186</v>
      </c>
      <c r="L26" s="64">
        <v>-3.8399999999999997E-2</v>
      </c>
      <c r="M26" s="64">
        <v>0.5413</v>
      </c>
      <c r="N26" s="142" t="s">
        <v>329</v>
      </c>
      <c r="O26" s="61">
        <v>22744382546.369999</v>
      </c>
      <c r="P26" s="62">
        <f t="shared" si="1"/>
        <v>9.7354232952310132E-2</v>
      </c>
      <c r="Q26" s="142" t="s">
        <v>329</v>
      </c>
      <c r="R26" s="61">
        <v>338.03</v>
      </c>
      <c r="S26" s="142" t="s">
        <v>329</v>
      </c>
      <c r="T26" s="69">
        <v>343.77</v>
      </c>
      <c r="U26" s="63">
        <v>186</v>
      </c>
      <c r="V26" s="64">
        <v>3.8399999999999997E-2</v>
      </c>
      <c r="W26" s="64">
        <v>0.60040000000000004</v>
      </c>
      <c r="X26" s="158">
        <f t="shared" si="2"/>
        <v>3.6500857920567321E-2</v>
      </c>
      <c r="Y26" s="158">
        <f t="shared" si="3"/>
        <v>3.8360467574833086E-2</v>
      </c>
      <c r="Z26" s="158">
        <f t="shared" si="4"/>
        <v>0</v>
      </c>
      <c r="AA26" s="156">
        <f t="shared" si="5"/>
        <v>7.6799999999999993E-2</v>
      </c>
      <c r="AB26" s="157">
        <f t="shared" si="6"/>
        <v>5.9100000000000041E-2</v>
      </c>
      <c r="AD26" s="40"/>
      <c r="AE26" s="40"/>
    </row>
    <row r="27" spans="1:33">
      <c r="B27" s="70"/>
      <c r="C27" s="71" t="s">
        <v>52</v>
      </c>
      <c r="D27" s="116" t="s">
        <v>329</v>
      </c>
      <c r="E27" s="72">
        <f>SUM(E6:E26)</f>
        <v>219906762308.28189</v>
      </c>
      <c r="F27" s="73">
        <f>(E27/$E$239)</f>
        <v>2.4062163797133777E-2</v>
      </c>
      <c r="G27" s="142"/>
      <c r="H27" s="74"/>
      <c r="I27" s="74"/>
      <c r="J27" s="75"/>
      <c r="K27" s="76">
        <f>SUM(K6:K26)</f>
        <v>113981</v>
      </c>
      <c r="L27" s="77"/>
      <c r="M27" s="63">
        <v>0</v>
      </c>
      <c r="N27" s="142" t="s">
        <v>329</v>
      </c>
      <c r="O27" s="72">
        <f>SUM(O6:O26)</f>
        <v>233624998694.32019</v>
      </c>
      <c r="P27" s="73">
        <f>(O27/$O$239)</f>
        <v>2.5139909256369282E-2</v>
      </c>
      <c r="Q27" s="144"/>
      <c r="R27" s="74"/>
      <c r="S27" s="74"/>
      <c r="T27" s="75"/>
      <c r="U27" s="76">
        <f>SUM(U6:U26)</f>
        <v>116377</v>
      </c>
      <c r="V27" s="77"/>
      <c r="W27" s="76"/>
      <c r="X27" s="158">
        <f t="shared" si="2"/>
        <v>6.2382057932384272E-2</v>
      </c>
      <c r="Y27" s="158" t="e">
        <f t="shared" si="3"/>
        <v>#DIV/0!</v>
      </c>
      <c r="Z27" s="158">
        <f t="shared" si="4"/>
        <v>2.1021047367543712E-2</v>
      </c>
      <c r="AA27" s="156">
        <f t="shared" si="5"/>
        <v>0</v>
      </c>
      <c r="AB27" s="157">
        <f t="shared" si="6"/>
        <v>0</v>
      </c>
    </row>
    <row r="28" spans="1:33" ht="4.5" customHeight="1"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</row>
    <row r="29" spans="1:33" ht="15" customHeight="1">
      <c r="A29" s="162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</row>
    <row r="30" spans="1:33" ht="16.8" customHeight="1">
      <c r="A30" s="206">
        <v>22</v>
      </c>
      <c r="B30" s="55" t="s">
        <v>54</v>
      </c>
      <c r="C30" s="56" t="s">
        <v>19</v>
      </c>
      <c r="D30" s="142" t="s">
        <v>329</v>
      </c>
      <c r="E30" s="78">
        <v>6464914499.8400002</v>
      </c>
      <c r="F30" s="62">
        <f>(E30/$O$77)</f>
        <v>1.0487874764807279E-3</v>
      </c>
      <c r="G30" s="142" t="s">
        <v>329</v>
      </c>
      <c r="H30" s="69">
        <v>100</v>
      </c>
      <c r="I30" s="142" t="s">
        <v>329</v>
      </c>
      <c r="J30" s="69">
        <v>100</v>
      </c>
      <c r="K30" s="63">
        <v>928</v>
      </c>
      <c r="L30" s="64">
        <v>0.1525</v>
      </c>
      <c r="M30" s="64">
        <v>0.1525</v>
      </c>
      <c r="N30" s="142" t="s">
        <v>329</v>
      </c>
      <c r="O30" s="78">
        <v>6719096819.6899996</v>
      </c>
      <c r="P30" s="62">
        <f t="shared" ref="P30:P37" si="17">(O30/$O$77)</f>
        <v>1.0900228607705119E-3</v>
      </c>
      <c r="Q30" s="142" t="s">
        <v>329</v>
      </c>
      <c r="R30" s="69">
        <v>100</v>
      </c>
      <c r="S30" s="142" t="s">
        <v>329</v>
      </c>
      <c r="T30" s="69">
        <v>100</v>
      </c>
      <c r="U30" s="63">
        <v>928</v>
      </c>
      <c r="V30" s="64">
        <v>0.14599999999999999</v>
      </c>
      <c r="W30" s="64">
        <v>0.14599999999999999</v>
      </c>
      <c r="X30" s="158">
        <f>((O30-E30)/E30)</f>
        <v>3.9317197444187414E-2</v>
      </c>
      <c r="Y30" s="158">
        <f>((T30-J30)/J30)</f>
        <v>0</v>
      </c>
      <c r="Z30" s="158">
        <f>((U30-K30)/K30)</f>
        <v>0</v>
      </c>
      <c r="AA30" s="158">
        <f>V30-L30</f>
        <v>-6.5000000000000058E-3</v>
      </c>
      <c r="AB30" s="159">
        <f>W30-M30</f>
        <v>-6.5000000000000058E-3</v>
      </c>
    </row>
    <row r="31" spans="1:33" ht="15.6">
      <c r="A31" s="206">
        <v>23</v>
      </c>
      <c r="B31" s="55" t="s">
        <v>55</v>
      </c>
      <c r="C31" s="56" t="s">
        <v>56</v>
      </c>
      <c r="D31" s="142" t="s">
        <v>329</v>
      </c>
      <c r="E31" s="78">
        <v>42767880344.099998</v>
      </c>
      <c r="F31" s="62">
        <f>(E31/$O$77)</f>
        <v>6.9381300095505459E-3</v>
      </c>
      <c r="G31" s="142" t="s">
        <v>329</v>
      </c>
      <c r="H31" s="69">
        <v>100</v>
      </c>
      <c r="I31" s="142" t="s">
        <v>329</v>
      </c>
      <c r="J31" s="69">
        <v>100</v>
      </c>
      <c r="K31" s="63">
        <v>5264</v>
      </c>
      <c r="L31" s="64">
        <v>0.174621</v>
      </c>
      <c r="M31" s="64">
        <v>0.174621</v>
      </c>
      <c r="N31" s="142" t="s">
        <v>329</v>
      </c>
      <c r="O31" s="78">
        <v>45150794259.389999</v>
      </c>
      <c r="P31" s="62">
        <f t="shared" si="17"/>
        <v>7.3247043829548133E-3</v>
      </c>
      <c r="Q31" s="142" t="s">
        <v>329</v>
      </c>
      <c r="R31" s="69">
        <v>100</v>
      </c>
      <c r="S31" s="142" t="s">
        <v>329</v>
      </c>
      <c r="T31" s="69">
        <v>100</v>
      </c>
      <c r="U31" s="63">
        <v>5295</v>
      </c>
      <c r="V31" s="64">
        <v>0.17061699999999999</v>
      </c>
      <c r="W31" s="64">
        <v>0.17061699999999999</v>
      </c>
      <c r="X31" s="158">
        <f t="shared" ref="X31:X77" si="18">((O31-E31)/E31)</f>
        <v>5.5717372385950696E-2</v>
      </c>
      <c r="Y31" s="158">
        <f t="shared" ref="Y31:Y77" si="19">((T31-J31)/J31)</f>
        <v>0</v>
      </c>
      <c r="Z31" s="158">
        <f t="shared" ref="Z31:Z77" si="20">((U31-K31)/K31)</f>
        <v>5.8890577507598784E-3</v>
      </c>
      <c r="AA31" s="156">
        <f t="shared" ref="AA31:AA77" si="21">V31-L31</f>
        <v>-4.0040000000000076E-3</v>
      </c>
      <c r="AB31" s="157">
        <f t="shared" ref="AB31:AB77" si="22">W31-M31</f>
        <v>-4.0040000000000076E-3</v>
      </c>
      <c r="AD31" s="141"/>
    </row>
    <row r="32" spans="1:33">
      <c r="A32" s="206">
        <v>24</v>
      </c>
      <c r="B32" s="55" t="s">
        <v>311</v>
      </c>
      <c r="C32" s="56" t="s">
        <v>310</v>
      </c>
      <c r="D32" s="142" t="s">
        <v>329</v>
      </c>
      <c r="E32" s="78">
        <v>2182850626.5900002</v>
      </c>
      <c r="F32" s="62">
        <f>(E32/$O$77)</f>
        <v>3.5411858892369898E-4</v>
      </c>
      <c r="G32" s="142" t="s">
        <v>329</v>
      </c>
      <c r="H32" s="69">
        <v>1</v>
      </c>
      <c r="I32" s="142" t="s">
        <v>329</v>
      </c>
      <c r="J32" s="69">
        <v>1</v>
      </c>
      <c r="K32" s="63">
        <v>221</v>
      </c>
      <c r="L32" s="64">
        <v>0.17280000000000001</v>
      </c>
      <c r="M32" s="64">
        <v>0.17280000000000001</v>
      </c>
      <c r="N32" s="142" t="s">
        <v>329</v>
      </c>
      <c r="O32" s="78">
        <v>2280812224.77</v>
      </c>
      <c r="P32" s="62">
        <f t="shared" si="17"/>
        <v>3.7001066256980272E-4</v>
      </c>
      <c r="Q32" s="142" t="s">
        <v>329</v>
      </c>
      <c r="R32" s="69">
        <v>1</v>
      </c>
      <c r="S32" s="142" t="s">
        <v>329</v>
      </c>
      <c r="T32" s="69">
        <v>1</v>
      </c>
      <c r="U32" s="63">
        <v>228</v>
      </c>
      <c r="V32" s="64">
        <v>0.18859999999999999</v>
      </c>
      <c r="W32" s="64">
        <v>0.18859999999999999</v>
      </c>
      <c r="X32" s="158">
        <f t="shared" ref="X32" si="23">((O32-E32)/E32)</f>
        <v>4.4877829470646474E-2</v>
      </c>
      <c r="Y32" s="158">
        <f t="shared" ref="Y32" si="24">((T32-J32)/J32)</f>
        <v>0</v>
      </c>
      <c r="Z32" s="158">
        <f t="shared" ref="Z32" si="25">((U32-K32)/K32)</f>
        <v>3.1674208144796379E-2</v>
      </c>
      <c r="AA32" s="156">
        <f t="shared" ref="AA32" si="26">V32-L32</f>
        <v>1.5799999999999981E-2</v>
      </c>
      <c r="AB32" s="157">
        <f t="shared" ref="AB32" si="27">W32-M32</f>
        <v>1.5799999999999981E-2</v>
      </c>
    </row>
    <row r="33" spans="1:28">
      <c r="A33" s="206">
        <v>25</v>
      </c>
      <c r="B33" s="55" t="s">
        <v>57</v>
      </c>
      <c r="C33" s="56" t="s">
        <v>21</v>
      </c>
      <c r="D33" s="142" t="s">
        <v>329</v>
      </c>
      <c r="E33" s="78">
        <v>4052495853.5799999</v>
      </c>
      <c r="F33" s="62">
        <f>(E33/$O$77)</f>
        <v>6.5742662177975747E-4</v>
      </c>
      <c r="G33" s="142" t="s">
        <v>329</v>
      </c>
      <c r="H33" s="69">
        <v>100</v>
      </c>
      <c r="I33" s="142" t="s">
        <v>329</v>
      </c>
      <c r="J33" s="69">
        <v>100</v>
      </c>
      <c r="K33" s="63">
        <v>2676</v>
      </c>
      <c r="L33" s="64">
        <v>0.15609999999999999</v>
      </c>
      <c r="M33" s="64">
        <v>0.15609999999999999</v>
      </c>
      <c r="N33" s="142" t="s">
        <v>329</v>
      </c>
      <c r="O33" s="78">
        <v>3944579580.3699999</v>
      </c>
      <c r="P33" s="62">
        <f t="shared" si="17"/>
        <v>6.3991962522877107E-4</v>
      </c>
      <c r="Q33" s="142" t="s">
        <v>329</v>
      </c>
      <c r="R33" s="69">
        <v>100</v>
      </c>
      <c r="S33" s="142" t="s">
        <v>329</v>
      </c>
      <c r="T33" s="69">
        <v>100</v>
      </c>
      <c r="U33" s="63">
        <v>2682</v>
      </c>
      <c r="V33" s="64">
        <v>0.1681</v>
      </c>
      <c r="W33" s="64">
        <v>0.1681</v>
      </c>
      <c r="X33" s="158">
        <f t="shared" si="18"/>
        <v>-2.6629582634777067E-2</v>
      </c>
      <c r="Y33" s="158">
        <f t="shared" si="19"/>
        <v>0</v>
      </c>
      <c r="Z33" s="158">
        <f t="shared" si="20"/>
        <v>2.242152466367713E-3</v>
      </c>
      <c r="AA33" s="156">
        <f t="shared" si="21"/>
        <v>1.2000000000000011E-2</v>
      </c>
      <c r="AB33" s="157">
        <f t="shared" si="22"/>
        <v>1.2000000000000011E-2</v>
      </c>
    </row>
    <row r="34" spans="1:28">
      <c r="A34" s="206">
        <v>26</v>
      </c>
      <c r="B34" s="55" t="s">
        <v>307</v>
      </c>
      <c r="C34" s="56" t="s">
        <v>308</v>
      </c>
      <c r="D34" s="142" t="s">
        <v>329</v>
      </c>
      <c r="E34" s="78">
        <v>1492046075.8399999</v>
      </c>
      <c r="F34" s="62">
        <v>0</v>
      </c>
      <c r="G34" s="142" t="s">
        <v>329</v>
      </c>
      <c r="H34" s="69">
        <v>100</v>
      </c>
      <c r="I34" s="142" t="s">
        <v>329</v>
      </c>
      <c r="J34" s="69">
        <v>100</v>
      </c>
      <c r="K34" s="63">
        <v>183</v>
      </c>
      <c r="L34" s="64">
        <v>0.17896300000000001</v>
      </c>
      <c r="M34" s="64">
        <v>0.17896300000000001</v>
      </c>
      <c r="N34" s="142" t="s">
        <v>329</v>
      </c>
      <c r="O34" s="78">
        <v>1482858167.8299999</v>
      </c>
      <c r="P34" s="62">
        <f t="shared" si="17"/>
        <v>2.4056050174457079E-4</v>
      </c>
      <c r="Q34" s="142" t="s">
        <v>329</v>
      </c>
      <c r="R34" s="69">
        <v>100</v>
      </c>
      <c r="S34" s="142" t="s">
        <v>329</v>
      </c>
      <c r="T34" s="69">
        <v>100</v>
      </c>
      <c r="U34" s="63">
        <v>186</v>
      </c>
      <c r="V34" s="64">
        <v>0.1812</v>
      </c>
      <c r="W34" s="64">
        <v>0.1812</v>
      </c>
      <c r="X34" s="158">
        <f t="shared" ref="X34" si="28">((O34-E34)/E34)</f>
        <v>-6.1579251195894432E-3</v>
      </c>
      <c r="Y34" s="158">
        <f t="shared" ref="Y34" si="29">((T34-J34)/J34)</f>
        <v>0</v>
      </c>
      <c r="Z34" s="158">
        <f t="shared" ref="Z34" si="30">((U34-K34)/K34)</f>
        <v>1.6393442622950821E-2</v>
      </c>
      <c r="AA34" s="156">
        <f t="shared" ref="AA34" si="31">V34-L34</f>
        <v>2.236999999999989E-3</v>
      </c>
      <c r="AB34" s="157">
        <f t="shared" ref="AB34" si="32">W34-M34</f>
        <v>2.236999999999989E-3</v>
      </c>
    </row>
    <row r="35" spans="1:28">
      <c r="A35" s="209">
        <v>27</v>
      </c>
      <c r="B35" s="55" t="s">
        <v>58</v>
      </c>
      <c r="C35" s="56" t="s">
        <v>23</v>
      </c>
      <c r="D35" s="142" t="s">
        <v>329</v>
      </c>
      <c r="E35" s="78">
        <v>434969888769.91998</v>
      </c>
      <c r="F35" s="62">
        <f>(E35/$O$77)</f>
        <v>7.056411527165557E-2</v>
      </c>
      <c r="G35" s="142" t="s">
        <v>329</v>
      </c>
      <c r="H35" s="69">
        <v>1</v>
      </c>
      <c r="I35" s="142" t="s">
        <v>329</v>
      </c>
      <c r="J35" s="69">
        <v>1</v>
      </c>
      <c r="K35" s="63">
        <v>86898</v>
      </c>
      <c r="L35" s="64">
        <v>0.17299999999999999</v>
      </c>
      <c r="M35" s="64">
        <v>0.17299999999999999</v>
      </c>
      <c r="N35" s="142" t="s">
        <v>329</v>
      </c>
      <c r="O35" s="78">
        <v>435491249022.17999</v>
      </c>
      <c r="P35" s="62">
        <f t="shared" si="17"/>
        <v>7.0648694287096331E-2</v>
      </c>
      <c r="Q35" s="142" t="s">
        <v>329</v>
      </c>
      <c r="R35" s="69">
        <v>1</v>
      </c>
      <c r="S35" s="142" t="s">
        <v>329</v>
      </c>
      <c r="T35" s="69">
        <v>1</v>
      </c>
      <c r="U35" s="63">
        <v>87317</v>
      </c>
      <c r="V35" s="64">
        <v>0.16880000000000001</v>
      </c>
      <c r="W35" s="64">
        <v>0.16880000000000001</v>
      </c>
      <c r="X35" s="158">
        <f t="shared" si="18"/>
        <v>1.1986122849432148E-3</v>
      </c>
      <c r="Y35" s="158">
        <f t="shared" si="19"/>
        <v>0</v>
      </c>
      <c r="Z35" s="158">
        <f t="shared" si="20"/>
        <v>4.8217450344081566E-3</v>
      </c>
      <c r="AA35" s="156">
        <f t="shared" si="21"/>
        <v>-4.1999999999999815E-3</v>
      </c>
      <c r="AB35" s="157">
        <f t="shared" si="22"/>
        <v>-4.1999999999999815E-3</v>
      </c>
    </row>
    <row r="36" spans="1:28">
      <c r="A36" s="235">
        <v>28</v>
      </c>
      <c r="B36" s="236" t="s">
        <v>59</v>
      </c>
      <c r="C36" s="56" t="s">
        <v>60</v>
      </c>
      <c r="D36" s="142" t="s">
        <v>329</v>
      </c>
      <c r="E36" s="78">
        <v>2256809919.02</v>
      </c>
      <c r="F36" s="62">
        <f>(E36/$O$77)</f>
        <v>3.6611682643664356E-4</v>
      </c>
      <c r="G36" s="142" t="s">
        <v>329</v>
      </c>
      <c r="H36" s="69">
        <v>1</v>
      </c>
      <c r="I36" s="142" t="s">
        <v>329</v>
      </c>
      <c r="J36" s="69">
        <v>1</v>
      </c>
      <c r="K36" s="63">
        <v>597</v>
      </c>
      <c r="L36" s="64">
        <v>0.1724</v>
      </c>
      <c r="M36" s="64">
        <v>0.1724</v>
      </c>
      <c r="N36" s="142" t="s">
        <v>329</v>
      </c>
      <c r="O36" s="78">
        <v>13015128030.01</v>
      </c>
      <c r="P36" s="62">
        <f t="shared" si="17"/>
        <v>2.1114128087858859E-3</v>
      </c>
      <c r="Q36" s="142" t="s">
        <v>329</v>
      </c>
      <c r="R36" s="69">
        <v>1</v>
      </c>
      <c r="S36" s="142" t="s">
        <v>329</v>
      </c>
      <c r="T36" s="69">
        <v>1</v>
      </c>
      <c r="U36" s="63">
        <v>597</v>
      </c>
      <c r="V36" s="64">
        <v>0.17199999999999999</v>
      </c>
      <c r="W36" s="64">
        <v>0.17199999999999999</v>
      </c>
      <c r="X36" s="158">
        <f t="shared" si="18"/>
        <v>4.7670466264441558</v>
      </c>
      <c r="Y36" s="158">
        <f t="shared" si="19"/>
        <v>0</v>
      </c>
      <c r="Z36" s="158">
        <f t="shared" si="20"/>
        <v>0</v>
      </c>
      <c r="AA36" s="156">
        <f t="shared" si="21"/>
        <v>-4.0000000000001146E-4</v>
      </c>
      <c r="AB36" s="157">
        <f t="shared" si="22"/>
        <v>-4.0000000000001146E-4</v>
      </c>
    </row>
    <row r="37" spans="1:28">
      <c r="A37" s="206">
        <v>29</v>
      </c>
      <c r="B37" s="55" t="s">
        <v>61</v>
      </c>
      <c r="C37" s="56" t="s">
        <v>25</v>
      </c>
      <c r="D37" s="142" t="s">
        <v>329</v>
      </c>
      <c r="E37" s="78">
        <v>175831584044.04001</v>
      </c>
      <c r="F37" s="62">
        <f>(E37/$O$77)</f>
        <v>2.852473351654097E-2</v>
      </c>
      <c r="G37" s="142" t="s">
        <v>329</v>
      </c>
      <c r="H37" s="69">
        <v>1</v>
      </c>
      <c r="I37" s="142" t="s">
        <v>329</v>
      </c>
      <c r="J37" s="69">
        <v>1</v>
      </c>
      <c r="K37" s="63">
        <v>41351</v>
      </c>
      <c r="L37" s="64">
        <v>0.15479999999999999</v>
      </c>
      <c r="M37" s="64">
        <v>0.15479999999999999</v>
      </c>
      <c r="N37" s="142" t="s">
        <v>329</v>
      </c>
      <c r="O37" s="78">
        <v>179220920746.87</v>
      </c>
      <c r="P37" s="62">
        <f t="shared" si="17"/>
        <v>2.9074577429804252E-2</v>
      </c>
      <c r="Q37" s="142" t="s">
        <v>329</v>
      </c>
      <c r="R37" s="69">
        <v>1</v>
      </c>
      <c r="S37" s="142" t="s">
        <v>329</v>
      </c>
      <c r="T37" s="69">
        <v>1</v>
      </c>
      <c r="U37" s="63">
        <v>41426</v>
      </c>
      <c r="V37" s="64">
        <v>0.1565</v>
      </c>
      <c r="W37" s="64">
        <v>0.1565</v>
      </c>
      <c r="X37" s="158">
        <f t="shared" si="18"/>
        <v>1.9276040315834665E-2</v>
      </c>
      <c r="Y37" s="158">
        <f t="shared" si="19"/>
        <v>0</v>
      </c>
      <c r="Z37" s="158">
        <f t="shared" si="20"/>
        <v>1.8137409010664796E-3</v>
      </c>
      <c r="AA37" s="156">
        <f t="shared" si="21"/>
        <v>1.7000000000000071E-3</v>
      </c>
      <c r="AB37" s="157">
        <f t="shared" si="22"/>
        <v>1.7000000000000071E-3</v>
      </c>
    </row>
    <row r="38" spans="1:28">
      <c r="A38" s="206">
        <v>30</v>
      </c>
      <c r="B38" s="55" t="s">
        <v>62</v>
      </c>
      <c r="C38" s="56" t="s">
        <v>27</v>
      </c>
      <c r="D38" s="142" t="s">
        <v>329</v>
      </c>
      <c r="E38" s="61">
        <v>31456292106.130001</v>
      </c>
      <c r="F38" s="62">
        <f t="shared" ref="F38" si="33">(E38/$E$27)</f>
        <v>0.14304376898620424</v>
      </c>
      <c r="G38" s="142" t="s">
        <v>329</v>
      </c>
      <c r="H38" s="61">
        <v>1</v>
      </c>
      <c r="I38" s="142" t="s">
        <v>329</v>
      </c>
      <c r="J38" s="61">
        <v>1</v>
      </c>
      <c r="K38" s="63">
        <v>2059</v>
      </c>
      <c r="L38" s="64">
        <v>0.17119999999999999</v>
      </c>
      <c r="M38" s="64">
        <v>0.17119999999999999</v>
      </c>
      <c r="N38" s="142" t="s">
        <v>329</v>
      </c>
      <c r="O38" s="61">
        <v>32967599349.360001</v>
      </c>
      <c r="P38" s="62">
        <f t="shared" ref="P38" si="34">(O38/$O$27)</f>
        <v>0.1411133206360998</v>
      </c>
      <c r="Q38" s="142" t="s">
        <v>329</v>
      </c>
      <c r="R38" s="61">
        <v>1</v>
      </c>
      <c r="S38" s="142" t="s">
        <v>329</v>
      </c>
      <c r="T38" s="61">
        <v>1</v>
      </c>
      <c r="U38" s="63">
        <v>2127</v>
      </c>
      <c r="V38" s="64">
        <v>0.1734</v>
      </c>
      <c r="W38" s="64">
        <v>0.1734</v>
      </c>
      <c r="X38" s="158">
        <f t="shared" si="18"/>
        <v>4.8044672211556859E-2</v>
      </c>
      <c r="Y38" s="158">
        <f t="shared" si="19"/>
        <v>0</v>
      </c>
      <c r="Z38" s="158">
        <f t="shared" si="20"/>
        <v>3.3025740650801362E-2</v>
      </c>
      <c r="AA38" s="156">
        <f t="shared" si="21"/>
        <v>2.2000000000000075E-3</v>
      </c>
      <c r="AB38" s="157">
        <f t="shared" si="22"/>
        <v>2.2000000000000075E-3</v>
      </c>
    </row>
    <row r="39" spans="1:28" ht="15" customHeight="1">
      <c r="A39" s="206">
        <v>31</v>
      </c>
      <c r="B39" s="55" t="s">
        <v>63</v>
      </c>
      <c r="C39" s="56" t="s">
        <v>44</v>
      </c>
      <c r="D39" s="142" t="s">
        <v>329</v>
      </c>
      <c r="E39" s="78">
        <v>42738856498</v>
      </c>
      <c r="F39" s="62">
        <f>(E39/$O$77)</f>
        <v>6.933421541045706E-3</v>
      </c>
      <c r="G39" s="142" t="s">
        <v>329</v>
      </c>
      <c r="H39" s="69">
        <v>100</v>
      </c>
      <c r="I39" s="142" t="s">
        <v>329</v>
      </c>
      <c r="J39" s="69">
        <v>100</v>
      </c>
      <c r="K39" s="63">
        <v>17151</v>
      </c>
      <c r="L39" s="64">
        <v>0.1741</v>
      </c>
      <c r="M39" s="64">
        <v>0.1741</v>
      </c>
      <c r="N39" s="142" t="s">
        <v>329</v>
      </c>
      <c r="O39" s="78">
        <v>43339973198</v>
      </c>
      <c r="P39" s="62">
        <f t="shared" ref="P39:P54" si="35">(O39/$O$77)</f>
        <v>7.0309392525141293E-3</v>
      </c>
      <c r="Q39" s="142" t="s">
        <v>329</v>
      </c>
      <c r="R39" s="69">
        <v>100</v>
      </c>
      <c r="S39" s="142" t="s">
        <v>329</v>
      </c>
      <c r="T39" s="69">
        <v>100</v>
      </c>
      <c r="U39" s="63">
        <v>17418</v>
      </c>
      <c r="V39" s="64">
        <v>0.17199999999999999</v>
      </c>
      <c r="W39" s="64">
        <v>0.17199999999999999</v>
      </c>
      <c r="X39" s="158">
        <f t="shared" si="18"/>
        <v>1.4064875601623308E-2</v>
      </c>
      <c r="Y39" s="158">
        <f t="shared" si="19"/>
        <v>0</v>
      </c>
      <c r="Z39" s="158">
        <f t="shared" si="20"/>
        <v>1.5567605387440965E-2</v>
      </c>
      <c r="AA39" s="156">
        <f t="shared" si="21"/>
        <v>-2.1000000000000185E-3</v>
      </c>
      <c r="AB39" s="157">
        <f t="shared" si="22"/>
        <v>-2.1000000000000185E-3</v>
      </c>
    </row>
    <row r="40" spans="1:28" ht="15" customHeight="1">
      <c r="A40" s="206">
        <v>32</v>
      </c>
      <c r="B40" s="55" t="s">
        <v>64</v>
      </c>
      <c r="C40" s="56" t="s">
        <v>65</v>
      </c>
      <c r="D40" s="142" t="s">
        <v>329</v>
      </c>
      <c r="E40" s="78">
        <v>3469122934.2399998</v>
      </c>
      <c r="F40" s="62">
        <f>(E40/$O$77)</f>
        <v>5.6278744102385787E-4</v>
      </c>
      <c r="G40" s="142" t="s">
        <v>329</v>
      </c>
      <c r="H40" s="69">
        <v>1</v>
      </c>
      <c r="I40" s="142" t="s">
        <v>329</v>
      </c>
      <c r="J40" s="69">
        <v>1</v>
      </c>
      <c r="K40" s="63">
        <v>820</v>
      </c>
      <c r="L40" s="64">
        <v>0.15</v>
      </c>
      <c r="M40" s="64">
        <v>0.15</v>
      </c>
      <c r="N40" s="142" t="s">
        <v>329</v>
      </c>
      <c r="O40" s="78">
        <v>3595227451.3699999</v>
      </c>
      <c r="P40" s="62">
        <f t="shared" si="35"/>
        <v>5.8324507248934236E-4</v>
      </c>
      <c r="Q40" s="142" t="s">
        <v>329</v>
      </c>
      <c r="R40" s="69">
        <v>1</v>
      </c>
      <c r="S40" s="142" t="s">
        <v>329</v>
      </c>
      <c r="T40" s="69">
        <v>1</v>
      </c>
      <c r="U40" s="63">
        <v>829</v>
      </c>
      <c r="V40" s="64">
        <v>0.15</v>
      </c>
      <c r="W40" s="64">
        <v>0.15</v>
      </c>
      <c r="X40" s="158">
        <f t="shared" si="18"/>
        <v>3.6350547247939062E-2</v>
      </c>
      <c r="Y40" s="158">
        <f t="shared" si="19"/>
        <v>0</v>
      </c>
      <c r="Z40" s="158">
        <f t="shared" si="20"/>
        <v>1.097560975609756E-2</v>
      </c>
      <c r="AA40" s="156">
        <f t="shared" si="21"/>
        <v>0</v>
      </c>
      <c r="AB40" s="157">
        <f t="shared" si="22"/>
        <v>0</v>
      </c>
    </row>
    <row r="41" spans="1:28">
      <c r="A41" s="206">
        <v>33</v>
      </c>
      <c r="B41" s="55" t="s">
        <v>66</v>
      </c>
      <c r="C41" s="56" t="s">
        <v>67</v>
      </c>
      <c r="D41" s="142" t="s">
        <v>329</v>
      </c>
      <c r="E41" s="78">
        <v>104778283339.27</v>
      </c>
      <c r="F41" s="62">
        <f>(E41/$O$77)</f>
        <v>1.6997928027678532E-2</v>
      </c>
      <c r="G41" s="142" t="s">
        <v>329</v>
      </c>
      <c r="H41" s="69">
        <v>100</v>
      </c>
      <c r="I41" s="142" t="s">
        <v>329</v>
      </c>
      <c r="J41" s="69">
        <v>100</v>
      </c>
      <c r="K41" s="63">
        <v>6356</v>
      </c>
      <c r="L41" s="64">
        <v>0.1741</v>
      </c>
      <c r="M41" s="64">
        <v>0.1741</v>
      </c>
      <c r="N41" s="142" t="s">
        <v>329</v>
      </c>
      <c r="O41" s="78">
        <v>104877376369.72</v>
      </c>
      <c r="P41" s="62">
        <f t="shared" si="35"/>
        <v>1.701400365085113E-2</v>
      </c>
      <c r="Q41" s="142" t="s">
        <v>329</v>
      </c>
      <c r="R41" s="69">
        <v>100</v>
      </c>
      <c r="S41" s="142" t="s">
        <v>329</v>
      </c>
      <c r="T41" s="69">
        <v>100</v>
      </c>
      <c r="U41" s="63">
        <v>6504</v>
      </c>
      <c r="V41" s="64">
        <v>0.17499999999999999</v>
      </c>
      <c r="W41" s="64">
        <v>0.17499999999999999</v>
      </c>
      <c r="X41" s="158">
        <f t="shared" si="18"/>
        <v>9.4574016000181717E-4</v>
      </c>
      <c r="Y41" s="158">
        <f t="shared" si="19"/>
        <v>0</v>
      </c>
      <c r="Z41" s="158">
        <f t="shared" si="20"/>
        <v>2.3285084959093771E-2</v>
      </c>
      <c r="AA41" s="156">
        <f t="shared" si="21"/>
        <v>8.9999999999998415E-4</v>
      </c>
      <c r="AB41" s="157">
        <f t="shared" si="22"/>
        <v>8.9999999999998415E-4</v>
      </c>
    </row>
    <row r="42" spans="1:28">
      <c r="A42" s="206">
        <v>34</v>
      </c>
      <c r="B42" s="55" t="s">
        <v>68</v>
      </c>
      <c r="C42" s="56" t="s">
        <v>69</v>
      </c>
      <c r="D42" s="142" t="s">
        <v>329</v>
      </c>
      <c r="E42" s="78">
        <v>46643229754.309998</v>
      </c>
      <c r="F42" s="62">
        <f>(E42/$O$77)</f>
        <v>7.5668185913586759E-3</v>
      </c>
      <c r="G42" s="142" t="s">
        <v>329</v>
      </c>
      <c r="H42" s="69">
        <v>100</v>
      </c>
      <c r="I42" s="142" t="s">
        <v>329</v>
      </c>
      <c r="J42" s="69">
        <v>100</v>
      </c>
      <c r="K42" s="63">
        <v>6025</v>
      </c>
      <c r="L42" s="64">
        <v>0.16039999999999999</v>
      </c>
      <c r="M42" s="64">
        <v>0.16039999999999999</v>
      </c>
      <c r="N42" s="142" t="s">
        <v>329</v>
      </c>
      <c r="O42" s="78">
        <v>46376141374.309998</v>
      </c>
      <c r="P42" s="62">
        <f t="shared" si="35"/>
        <v>7.5234894880790489E-3</v>
      </c>
      <c r="Q42" s="142" t="s">
        <v>329</v>
      </c>
      <c r="R42" s="69">
        <v>100</v>
      </c>
      <c r="S42" s="142" t="s">
        <v>329</v>
      </c>
      <c r="T42" s="69">
        <v>100</v>
      </c>
      <c r="U42" s="63">
        <v>6033</v>
      </c>
      <c r="V42" s="64">
        <v>0.1573</v>
      </c>
      <c r="W42" s="64">
        <v>0.1573</v>
      </c>
      <c r="X42" s="158">
        <f t="shared" si="18"/>
        <v>-5.7261982372762274E-3</v>
      </c>
      <c r="Y42" s="158">
        <f t="shared" si="19"/>
        <v>0</v>
      </c>
      <c r="Z42" s="158">
        <f t="shared" si="20"/>
        <v>1.3278008298755186E-3</v>
      </c>
      <c r="AA42" s="156">
        <f t="shared" si="21"/>
        <v>-3.0999999999999917E-3</v>
      </c>
      <c r="AB42" s="157">
        <f t="shared" si="22"/>
        <v>-3.0999999999999917E-3</v>
      </c>
    </row>
    <row r="43" spans="1:28">
      <c r="A43" s="206">
        <v>35</v>
      </c>
      <c r="B43" s="55" t="s">
        <v>70</v>
      </c>
      <c r="C43" s="56" t="s">
        <v>71</v>
      </c>
      <c r="D43" s="142" t="s">
        <v>329</v>
      </c>
      <c r="E43" s="78">
        <v>85792618365.259995</v>
      </c>
      <c r="F43" s="62">
        <f>(E43/$O$77)</f>
        <v>1.391792942013418E-2</v>
      </c>
      <c r="G43" s="142" t="s">
        <v>329</v>
      </c>
      <c r="H43" s="69">
        <v>1</v>
      </c>
      <c r="I43" s="142" t="s">
        <v>329</v>
      </c>
      <c r="J43" s="69">
        <v>1</v>
      </c>
      <c r="K43" s="63">
        <v>18965</v>
      </c>
      <c r="L43" s="64">
        <v>0.2054</v>
      </c>
      <c r="M43" s="64">
        <v>0.2054</v>
      </c>
      <c r="N43" s="142" t="s">
        <v>329</v>
      </c>
      <c r="O43" s="78">
        <v>91359890399.389999</v>
      </c>
      <c r="P43" s="62">
        <f t="shared" si="35"/>
        <v>1.4821094525829149E-2</v>
      </c>
      <c r="Q43" s="142" t="s">
        <v>329</v>
      </c>
      <c r="R43" s="69">
        <v>1</v>
      </c>
      <c r="S43" s="142" t="s">
        <v>329</v>
      </c>
      <c r="T43" s="69">
        <v>1</v>
      </c>
      <c r="U43" s="63">
        <v>19265</v>
      </c>
      <c r="V43" s="64">
        <v>0.19739999999999999</v>
      </c>
      <c r="W43" s="64">
        <v>0.19739999999999999</v>
      </c>
      <c r="X43" s="158">
        <f t="shared" si="18"/>
        <v>6.4892203317859803E-2</v>
      </c>
      <c r="Y43" s="158">
        <f t="shared" si="19"/>
        <v>0</v>
      </c>
      <c r="Z43" s="158">
        <f t="shared" si="20"/>
        <v>1.5818613234906406E-2</v>
      </c>
      <c r="AA43" s="156">
        <f t="shared" si="21"/>
        <v>-8.0000000000000071E-3</v>
      </c>
      <c r="AB43" s="157">
        <f t="shared" si="22"/>
        <v>-8.0000000000000071E-3</v>
      </c>
    </row>
    <row r="44" spans="1:28">
      <c r="A44" s="206">
        <v>36</v>
      </c>
      <c r="B44" s="55" t="s">
        <v>72</v>
      </c>
      <c r="C44" s="56" t="s">
        <v>73</v>
      </c>
      <c r="D44" s="142" t="s">
        <v>329</v>
      </c>
      <c r="E44" s="78">
        <v>1812149388.8399999</v>
      </c>
      <c r="F44" s="62">
        <v>0</v>
      </c>
      <c r="G44" s="142" t="s">
        <v>329</v>
      </c>
      <c r="H44" s="69">
        <v>1000</v>
      </c>
      <c r="I44" s="142" t="s">
        <v>329</v>
      </c>
      <c r="J44" s="69">
        <v>1000</v>
      </c>
      <c r="K44" s="63">
        <v>300</v>
      </c>
      <c r="L44" s="64">
        <v>0.20330000000000001</v>
      </c>
      <c r="M44" s="64">
        <v>0.20330000000000001</v>
      </c>
      <c r="N44" s="142" t="s">
        <v>329</v>
      </c>
      <c r="O44" s="78">
        <v>1914641339.3299999</v>
      </c>
      <c r="P44" s="62">
        <f t="shared" si="35"/>
        <v>3.106076435645497E-4</v>
      </c>
      <c r="Q44" s="142" t="s">
        <v>329</v>
      </c>
      <c r="R44" s="69">
        <v>1000</v>
      </c>
      <c r="S44" s="142" t="s">
        <v>329</v>
      </c>
      <c r="T44" s="69">
        <v>1000</v>
      </c>
      <c r="U44" s="63">
        <v>307</v>
      </c>
      <c r="V44" s="64">
        <v>0.20849999999999999</v>
      </c>
      <c r="W44" s="64">
        <v>0.20849999999999999</v>
      </c>
      <c r="X44" s="158">
        <f t="shared" si="18"/>
        <v>5.6558223687952984E-2</v>
      </c>
      <c r="Y44" s="158">
        <f t="shared" si="19"/>
        <v>0</v>
      </c>
      <c r="Z44" s="158">
        <f t="shared" si="20"/>
        <v>2.3333333333333334E-2</v>
      </c>
      <c r="AA44" s="156">
        <f t="shared" si="21"/>
        <v>5.1999999999999824E-3</v>
      </c>
      <c r="AB44" s="157">
        <f t="shared" si="22"/>
        <v>5.1999999999999824E-3</v>
      </c>
    </row>
    <row r="45" spans="1:28">
      <c r="A45" s="206">
        <v>37</v>
      </c>
      <c r="B45" s="55" t="s">
        <v>74</v>
      </c>
      <c r="C45" s="56" t="s">
        <v>75</v>
      </c>
      <c r="D45" s="142" t="s">
        <v>329</v>
      </c>
      <c r="E45" s="78">
        <v>96293046221.880005</v>
      </c>
      <c r="F45" s="62">
        <f t="shared" ref="F45:F54" si="36">(E45/$O$77)</f>
        <v>1.5621388488925421E-2</v>
      </c>
      <c r="G45" s="142" t="s">
        <v>329</v>
      </c>
      <c r="H45" s="79">
        <v>100</v>
      </c>
      <c r="I45" s="142" t="s">
        <v>329</v>
      </c>
      <c r="J45" s="79">
        <v>100</v>
      </c>
      <c r="K45" s="63">
        <v>5087</v>
      </c>
      <c r="L45" s="64">
        <v>0.153</v>
      </c>
      <c r="M45" s="64">
        <v>0.153</v>
      </c>
      <c r="N45" s="142" t="s">
        <v>329</v>
      </c>
      <c r="O45" s="78">
        <v>95914361288.460007</v>
      </c>
      <c r="P45" s="62">
        <f t="shared" si="35"/>
        <v>1.5559955346118558E-2</v>
      </c>
      <c r="Q45" s="142" t="s">
        <v>329</v>
      </c>
      <c r="R45" s="79">
        <v>100</v>
      </c>
      <c r="S45" s="142" t="s">
        <v>329</v>
      </c>
      <c r="T45" s="79">
        <v>100</v>
      </c>
      <c r="U45" s="63">
        <v>5087</v>
      </c>
      <c r="V45" s="64">
        <v>0.15290000000000001</v>
      </c>
      <c r="W45" s="64">
        <v>0.15290000000000001</v>
      </c>
      <c r="X45" s="158">
        <f t="shared" si="18"/>
        <v>-3.9326301148208164E-3</v>
      </c>
      <c r="Y45" s="158">
        <f t="shared" si="19"/>
        <v>0</v>
      </c>
      <c r="Z45" s="158">
        <f t="shared" si="20"/>
        <v>0</v>
      </c>
      <c r="AA45" s="156">
        <f t="shared" si="21"/>
        <v>-9.9999999999988987E-5</v>
      </c>
      <c r="AB45" s="157">
        <f t="shared" si="22"/>
        <v>-9.9999999999988987E-5</v>
      </c>
    </row>
    <row r="46" spans="1:28">
      <c r="A46" s="206">
        <v>38</v>
      </c>
      <c r="B46" s="55" t="s">
        <v>76</v>
      </c>
      <c r="C46" s="56" t="s">
        <v>75</v>
      </c>
      <c r="D46" s="142" t="s">
        <v>329</v>
      </c>
      <c r="E46" s="78">
        <v>9545685447.1800003</v>
      </c>
      <c r="F46" s="62">
        <f t="shared" si="36"/>
        <v>1.5485735119427323E-3</v>
      </c>
      <c r="G46" s="142" t="s">
        <v>329</v>
      </c>
      <c r="H46" s="79">
        <v>1000000</v>
      </c>
      <c r="I46" s="142" t="s">
        <v>329</v>
      </c>
      <c r="J46" s="79">
        <v>1000000</v>
      </c>
      <c r="K46" s="63">
        <v>50</v>
      </c>
      <c r="L46" s="64">
        <v>0.15459999999999999</v>
      </c>
      <c r="M46" s="64">
        <v>0.15459999999999999</v>
      </c>
      <c r="N46" s="142" t="s">
        <v>329</v>
      </c>
      <c r="O46" s="78">
        <v>9539709204.5599995</v>
      </c>
      <c r="P46" s="62">
        <f t="shared" si="35"/>
        <v>1.5476040005259267E-3</v>
      </c>
      <c r="Q46" s="142" t="s">
        <v>329</v>
      </c>
      <c r="R46" s="79">
        <v>1000000</v>
      </c>
      <c r="S46" s="142" t="s">
        <v>329</v>
      </c>
      <c r="T46" s="79">
        <v>1000000</v>
      </c>
      <c r="U46" s="63">
        <v>50</v>
      </c>
      <c r="V46" s="64">
        <v>0.15290000000000001</v>
      </c>
      <c r="W46" s="64">
        <v>0.15290000000000001</v>
      </c>
      <c r="X46" s="158">
        <f t="shared" si="18"/>
        <v>-6.2606741580473397E-4</v>
      </c>
      <c r="Y46" s="158">
        <f t="shared" si="19"/>
        <v>0</v>
      </c>
      <c r="Z46" s="158">
        <f t="shared" si="20"/>
        <v>0</v>
      </c>
      <c r="AA46" s="156">
        <f t="shared" si="21"/>
        <v>-1.6999999999999793E-3</v>
      </c>
      <c r="AB46" s="157">
        <f t="shared" si="22"/>
        <v>-1.6999999999999793E-3</v>
      </c>
    </row>
    <row r="47" spans="1:28">
      <c r="A47" s="206">
        <v>39</v>
      </c>
      <c r="B47" s="55" t="s">
        <v>77</v>
      </c>
      <c r="C47" s="56" t="s">
        <v>78</v>
      </c>
      <c r="D47" s="142" t="s">
        <v>329</v>
      </c>
      <c r="E47" s="78">
        <v>8762809886.1200008</v>
      </c>
      <c r="F47" s="62">
        <f t="shared" si="36"/>
        <v>1.4215694991127294E-3</v>
      </c>
      <c r="G47" s="142" t="s">
        <v>329</v>
      </c>
      <c r="H47" s="69">
        <v>1</v>
      </c>
      <c r="I47" s="142" t="s">
        <v>329</v>
      </c>
      <c r="J47" s="69">
        <v>1</v>
      </c>
      <c r="K47" s="63">
        <v>1289</v>
      </c>
      <c r="L47" s="64">
        <v>0.17929999999999999</v>
      </c>
      <c r="M47" s="64">
        <v>0.17929999999999999</v>
      </c>
      <c r="N47" s="142" t="s">
        <v>329</v>
      </c>
      <c r="O47" s="78">
        <v>9077804039.0699997</v>
      </c>
      <c r="P47" s="62">
        <f t="shared" si="35"/>
        <v>1.4726702403192512E-3</v>
      </c>
      <c r="Q47" s="142" t="s">
        <v>329</v>
      </c>
      <c r="R47" s="69">
        <v>1</v>
      </c>
      <c r="S47" s="142" t="s">
        <v>329</v>
      </c>
      <c r="T47" s="69">
        <v>1</v>
      </c>
      <c r="U47" s="63">
        <v>1295</v>
      </c>
      <c r="V47" s="64">
        <v>0.1724</v>
      </c>
      <c r="W47" s="64">
        <v>0.1724</v>
      </c>
      <c r="X47" s="158">
        <f t="shared" si="18"/>
        <v>3.5946706255597205E-2</v>
      </c>
      <c r="Y47" s="158">
        <f t="shared" si="19"/>
        <v>0</v>
      </c>
      <c r="Z47" s="158">
        <f t="shared" si="20"/>
        <v>4.6547711404189293E-3</v>
      </c>
      <c r="AA47" s="156">
        <f t="shared" si="21"/>
        <v>-6.8999999999999895E-3</v>
      </c>
      <c r="AB47" s="157">
        <f t="shared" si="22"/>
        <v>-6.8999999999999895E-3</v>
      </c>
    </row>
    <row r="48" spans="1:28">
      <c r="A48" s="206">
        <v>40</v>
      </c>
      <c r="B48" s="55" t="s">
        <v>317</v>
      </c>
      <c r="C48" s="56" t="s">
        <v>38</v>
      </c>
      <c r="D48" s="142" t="s">
        <v>329</v>
      </c>
      <c r="E48" s="78">
        <v>69126674370.720001</v>
      </c>
      <c r="F48" s="62">
        <f t="shared" si="36"/>
        <v>1.1214253548529795E-2</v>
      </c>
      <c r="G48" s="142" t="s">
        <v>329</v>
      </c>
      <c r="H48" s="69">
        <v>1</v>
      </c>
      <c r="I48" s="142" t="s">
        <v>329</v>
      </c>
      <c r="J48" s="69">
        <v>1</v>
      </c>
      <c r="K48" s="63">
        <v>4085</v>
      </c>
      <c r="L48" s="64">
        <v>0.16</v>
      </c>
      <c r="M48" s="64">
        <v>0.16</v>
      </c>
      <c r="N48" s="142" t="s">
        <v>329</v>
      </c>
      <c r="O48" s="78">
        <v>71988336596.539993</v>
      </c>
      <c r="P48" s="62">
        <f t="shared" si="35"/>
        <v>1.1678494104910278E-2</v>
      </c>
      <c r="Q48" s="142" t="s">
        <v>329</v>
      </c>
      <c r="R48" s="69">
        <v>1</v>
      </c>
      <c r="S48" s="142" t="s">
        <v>329</v>
      </c>
      <c r="T48" s="69">
        <v>1</v>
      </c>
      <c r="U48" s="63">
        <v>4085</v>
      </c>
      <c r="V48" s="64">
        <v>0.1598</v>
      </c>
      <c r="W48" s="64">
        <v>0.1598</v>
      </c>
      <c r="X48" s="158">
        <f>((O48-E48)/E48)</f>
        <v>4.1397365805176167E-2</v>
      </c>
      <c r="Y48" s="158">
        <f>((T48-J48)/J48)</f>
        <v>0</v>
      </c>
      <c r="Z48" s="158">
        <f>((U48-K48)/K48)</f>
        <v>0</v>
      </c>
      <c r="AA48" s="156">
        <f>V48-L48</f>
        <v>-2.0000000000000573E-4</v>
      </c>
      <c r="AB48" s="157">
        <f>W48-M48</f>
        <v>-2.0000000000000573E-4</v>
      </c>
    </row>
    <row r="49" spans="1:28">
      <c r="A49" s="209">
        <v>41</v>
      </c>
      <c r="B49" s="55" t="s">
        <v>321</v>
      </c>
      <c r="C49" s="56" t="s">
        <v>79</v>
      </c>
      <c r="D49" s="142" t="s">
        <v>329</v>
      </c>
      <c r="E49" s="78">
        <v>744422119828.30005</v>
      </c>
      <c r="F49" s="62">
        <f t="shared" si="36"/>
        <v>0.12076580386492032</v>
      </c>
      <c r="G49" s="142" t="s">
        <v>329</v>
      </c>
      <c r="H49" s="69">
        <v>100</v>
      </c>
      <c r="I49" s="142" t="s">
        <v>329</v>
      </c>
      <c r="J49" s="69">
        <v>100</v>
      </c>
      <c r="K49" s="63">
        <v>42943</v>
      </c>
      <c r="L49" s="64">
        <v>0.15290000000000001</v>
      </c>
      <c r="M49" s="64">
        <v>0.15290000000000001</v>
      </c>
      <c r="N49" s="142" t="s">
        <v>329</v>
      </c>
      <c r="O49" s="78">
        <v>743354397383.81006</v>
      </c>
      <c r="P49" s="62">
        <f t="shared" si="35"/>
        <v>0.12059258982965872</v>
      </c>
      <c r="Q49" s="142" t="s">
        <v>329</v>
      </c>
      <c r="R49" s="69">
        <v>100</v>
      </c>
      <c r="S49" s="142" t="s">
        <v>329</v>
      </c>
      <c r="T49" s="69">
        <v>100</v>
      </c>
      <c r="U49" s="63">
        <v>43190</v>
      </c>
      <c r="V49" s="64">
        <v>0.1527</v>
      </c>
      <c r="W49" s="64">
        <v>0.1527</v>
      </c>
      <c r="X49" s="158">
        <f t="shared" si="18"/>
        <v>-1.434297042028062E-3</v>
      </c>
      <c r="Y49" s="158">
        <f t="shared" si="19"/>
        <v>0</v>
      </c>
      <c r="Z49" s="158">
        <f t="shared" si="20"/>
        <v>5.7518105395524301E-3</v>
      </c>
      <c r="AA49" s="156">
        <f t="shared" si="21"/>
        <v>-2.0000000000000573E-4</v>
      </c>
      <c r="AB49" s="157">
        <f t="shared" si="22"/>
        <v>-2.0000000000000573E-4</v>
      </c>
    </row>
    <row r="50" spans="1:28">
      <c r="A50" s="206">
        <v>42</v>
      </c>
      <c r="B50" s="55" t="s">
        <v>80</v>
      </c>
      <c r="C50" s="56" t="s">
        <v>81</v>
      </c>
      <c r="D50" s="142" t="s">
        <v>329</v>
      </c>
      <c r="E50" s="80">
        <v>9069674633.6200008</v>
      </c>
      <c r="F50" s="62">
        <f t="shared" si="36"/>
        <v>1.4713514264931126E-3</v>
      </c>
      <c r="G50" s="142" t="s">
        <v>329</v>
      </c>
      <c r="H50" s="69">
        <v>1</v>
      </c>
      <c r="I50" s="142" t="s">
        <v>329</v>
      </c>
      <c r="J50" s="69">
        <v>1</v>
      </c>
      <c r="K50" s="81">
        <v>2550</v>
      </c>
      <c r="L50" s="82">
        <v>0.17599999999999999</v>
      </c>
      <c r="M50" s="82">
        <v>0.17599999999999999</v>
      </c>
      <c r="N50" s="142" t="s">
        <v>329</v>
      </c>
      <c r="O50" s="80">
        <v>9097369171.9099998</v>
      </c>
      <c r="P50" s="62">
        <f t="shared" si="35"/>
        <v>1.4758442446001711E-3</v>
      </c>
      <c r="Q50" s="142" t="s">
        <v>329</v>
      </c>
      <c r="R50" s="69">
        <v>1</v>
      </c>
      <c r="S50" s="142" t="s">
        <v>329</v>
      </c>
      <c r="T50" s="69">
        <v>1</v>
      </c>
      <c r="U50" s="81">
        <v>2583</v>
      </c>
      <c r="V50" s="82">
        <v>0.1754</v>
      </c>
      <c r="W50" s="82">
        <v>0.1754</v>
      </c>
      <c r="X50" s="158">
        <f t="shared" si="18"/>
        <v>3.0535316214475071E-3</v>
      </c>
      <c r="Y50" s="158">
        <f t="shared" si="19"/>
        <v>0</v>
      </c>
      <c r="Z50" s="158">
        <f t="shared" si="20"/>
        <v>1.2941176470588235E-2</v>
      </c>
      <c r="AA50" s="156">
        <f t="shared" si="21"/>
        <v>-5.9999999999998943E-4</v>
      </c>
      <c r="AB50" s="157">
        <f t="shared" si="22"/>
        <v>-5.9999999999998943E-4</v>
      </c>
    </row>
    <row r="51" spans="1:28">
      <c r="A51" s="206">
        <v>43</v>
      </c>
      <c r="B51" s="55" t="s">
        <v>82</v>
      </c>
      <c r="C51" s="56" t="s">
        <v>83</v>
      </c>
      <c r="D51" s="142" t="s">
        <v>329</v>
      </c>
      <c r="E51" s="78">
        <v>5571593950.8500004</v>
      </c>
      <c r="F51" s="62">
        <f t="shared" si="36"/>
        <v>9.0386623981367101E-4</v>
      </c>
      <c r="G51" s="142" t="s">
        <v>329</v>
      </c>
      <c r="H51" s="69">
        <v>1</v>
      </c>
      <c r="I51" s="142" t="s">
        <v>329</v>
      </c>
      <c r="J51" s="69">
        <v>1</v>
      </c>
      <c r="K51" s="81">
        <v>1026</v>
      </c>
      <c r="L51" s="82">
        <v>0.16089999999999999</v>
      </c>
      <c r="M51" s="82">
        <v>0.16089999999999999</v>
      </c>
      <c r="N51" s="142" t="s">
        <v>329</v>
      </c>
      <c r="O51" s="78">
        <v>6096206392.3000002</v>
      </c>
      <c r="P51" s="62">
        <f t="shared" si="35"/>
        <v>9.8897285005768209E-4</v>
      </c>
      <c r="Q51" s="142" t="s">
        <v>329</v>
      </c>
      <c r="R51" s="69">
        <v>1</v>
      </c>
      <c r="S51" s="142" t="s">
        <v>329</v>
      </c>
      <c r="T51" s="69">
        <v>1</v>
      </c>
      <c r="U51" s="81">
        <v>956</v>
      </c>
      <c r="V51" s="82">
        <v>0.1605</v>
      </c>
      <c r="W51" s="82">
        <v>0.1605</v>
      </c>
      <c r="X51" s="158">
        <f t="shared" si="18"/>
        <v>9.4158412489834281E-2</v>
      </c>
      <c r="Y51" s="158">
        <f t="shared" si="19"/>
        <v>0</v>
      </c>
      <c r="Z51" s="158">
        <f t="shared" si="20"/>
        <v>-6.8226120857699801E-2</v>
      </c>
      <c r="AA51" s="156">
        <f t="shared" si="21"/>
        <v>-3.999999999999837E-4</v>
      </c>
      <c r="AB51" s="157">
        <f t="shared" si="22"/>
        <v>-3.999999999999837E-4</v>
      </c>
    </row>
    <row r="52" spans="1:28">
      <c r="A52" s="206">
        <v>44</v>
      </c>
      <c r="B52" s="55" t="s">
        <v>84</v>
      </c>
      <c r="C52" s="56" t="s">
        <v>85</v>
      </c>
      <c r="D52" s="142" t="s">
        <v>329</v>
      </c>
      <c r="E52" s="78">
        <v>63710000</v>
      </c>
      <c r="F52" s="62">
        <f t="shared" si="36"/>
        <v>1.0335519538308025E-5</v>
      </c>
      <c r="G52" s="142" t="s">
        <v>329</v>
      </c>
      <c r="H52" s="69">
        <v>1</v>
      </c>
      <c r="I52" s="142" t="s">
        <v>329</v>
      </c>
      <c r="J52" s="69">
        <v>1</v>
      </c>
      <c r="K52" s="81">
        <v>30</v>
      </c>
      <c r="L52" s="82">
        <v>0.105</v>
      </c>
      <c r="M52" s="82">
        <v>0.105</v>
      </c>
      <c r="N52" s="142" t="s">
        <v>329</v>
      </c>
      <c r="O52" s="78">
        <v>63710000</v>
      </c>
      <c r="P52" s="62">
        <f t="shared" si="35"/>
        <v>1.0335519538308025E-5</v>
      </c>
      <c r="Q52" s="142" t="s">
        <v>329</v>
      </c>
      <c r="R52" s="69">
        <v>1</v>
      </c>
      <c r="S52" s="142" t="s">
        <v>329</v>
      </c>
      <c r="T52" s="69">
        <v>1</v>
      </c>
      <c r="U52" s="81">
        <v>30</v>
      </c>
      <c r="V52" s="82">
        <v>0.105</v>
      </c>
      <c r="W52" s="82">
        <v>0.105</v>
      </c>
      <c r="X52" s="158">
        <f t="shared" si="18"/>
        <v>0</v>
      </c>
      <c r="Y52" s="158">
        <f t="shared" si="19"/>
        <v>0</v>
      </c>
      <c r="Z52" s="158">
        <f t="shared" si="20"/>
        <v>0</v>
      </c>
      <c r="AA52" s="156">
        <f t="shared" si="21"/>
        <v>0</v>
      </c>
      <c r="AB52" s="157">
        <f t="shared" si="22"/>
        <v>0</v>
      </c>
    </row>
    <row r="53" spans="1:28">
      <c r="A53" s="206">
        <v>45</v>
      </c>
      <c r="B53" s="55" t="s">
        <v>86</v>
      </c>
      <c r="C53" s="56" t="s">
        <v>87</v>
      </c>
      <c r="D53" s="142" t="s">
        <v>329</v>
      </c>
      <c r="E53" s="78">
        <v>2148455535.5500002</v>
      </c>
      <c r="F53" s="62">
        <f t="shared" si="36"/>
        <v>3.4853875631554011E-4</v>
      </c>
      <c r="G53" s="142" t="s">
        <v>329</v>
      </c>
      <c r="H53" s="69">
        <v>10</v>
      </c>
      <c r="I53" s="142" t="s">
        <v>329</v>
      </c>
      <c r="J53" s="69">
        <v>10</v>
      </c>
      <c r="K53" s="63">
        <v>580</v>
      </c>
      <c r="L53" s="64">
        <v>0.16250000000000001</v>
      </c>
      <c r="M53" s="64">
        <v>0.16250000000000001</v>
      </c>
      <c r="N53" s="142" t="s">
        <v>329</v>
      </c>
      <c r="O53" s="78">
        <v>2108222558.1199999</v>
      </c>
      <c r="P53" s="62">
        <f t="shared" si="35"/>
        <v>3.4201185748785099E-4</v>
      </c>
      <c r="Q53" s="142" t="s">
        <v>329</v>
      </c>
      <c r="R53" s="69">
        <v>10</v>
      </c>
      <c r="S53" s="142" t="s">
        <v>329</v>
      </c>
      <c r="T53" s="69">
        <v>10</v>
      </c>
      <c r="U53" s="63">
        <v>584</v>
      </c>
      <c r="V53" s="64">
        <v>0.1633</v>
      </c>
      <c r="W53" s="64">
        <v>0.1633</v>
      </c>
      <c r="X53" s="158">
        <f t="shared" si="18"/>
        <v>-1.8726465018369928E-2</v>
      </c>
      <c r="Y53" s="158">
        <f t="shared" si="19"/>
        <v>0</v>
      </c>
      <c r="Z53" s="158">
        <f t="shared" si="20"/>
        <v>6.8965517241379309E-3</v>
      </c>
      <c r="AA53" s="156">
        <f t="shared" si="21"/>
        <v>7.9999999999999516E-4</v>
      </c>
      <c r="AB53" s="157">
        <f t="shared" si="22"/>
        <v>7.9999999999999516E-4</v>
      </c>
    </row>
    <row r="54" spans="1:28">
      <c r="A54" s="206">
        <v>46</v>
      </c>
      <c r="B54" s="55" t="s">
        <v>88</v>
      </c>
      <c r="C54" s="56" t="s">
        <v>89</v>
      </c>
      <c r="D54" s="142" t="s">
        <v>329</v>
      </c>
      <c r="E54" s="78">
        <v>13733279062.809999</v>
      </c>
      <c r="F54" s="62">
        <f t="shared" si="36"/>
        <v>2.2279167176064867E-3</v>
      </c>
      <c r="G54" s="142" t="s">
        <v>329</v>
      </c>
      <c r="H54" s="69">
        <v>100</v>
      </c>
      <c r="I54" s="142" t="s">
        <v>329</v>
      </c>
      <c r="J54" s="69">
        <v>100</v>
      </c>
      <c r="K54" s="63">
        <v>1127</v>
      </c>
      <c r="L54" s="64">
        <v>0.188</v>
      </c>
      <c r="M54" s="64">
        <v>0.188</v>
      </c>
      <c r="N54" s="142" t="s">
        <v>329</v>
      </c>
      <c r="O54" s="78">
        <v>14536270078.91</v>
      </c>
      <c r="P54" s="62">
        <f t="shared" si="35"/>
        <v>2.3581840121597339E-3</v>
      </c>
      <c r="Q54" s="142" t="s">
        <v>329</v>
      </c>
      <c r="R54" s="69">
        <v>100</v>
      </c>
      <c r="S54" s="142" t="s">
        <v>329</v>
      </c>
      <c r="T54" s="69">
        <v>100</v>
      </c>
      <c r="U54" s="63">
        <v>1130</v>
      </c>
      <c r="V54" s="64">
        <v>0.1888</v>
      </c>
      <c r="W54" s="64">
        <v>0.1888</v>
      </c>
      <c r="X54" s="158">
        <f t="shared" si="18"/>
        <v>5.847045067878337E-2</v>
      </c>
      <c r="Y54" s="158">
        <f t="shared" si="19"/>
        <v>0</v>
      </c>
      <c r="Z54" s="158">
        <f t="shared" si="20"/>
        <v>2.6619343389529724E-3</v>
      </c>
      <c r="AA54" s="156">
        <f t="shared" si="21"/>
        <v>7.9999999999999516E-4</v>
      </c>
      <c r="AB54" s="157">
        <f t="shared" si="22"/>
        <v>7.9999999999999516E-4</v>
      </c>
    </row>
    <row r="55" spans="1:28">
      <c r="A55" s="206">
        <v>47</v>
      </c>
      <c r="B55" s="55" t="s">
        <v>90</v>
      </c>
      <c r="C55" s="55" t="s">
        <v>91</v>
      </c>
      <c r="D55" s="142" t="s">
        <v>329</v>
      </c>
      <c r="E55" s="83">
        <v>157417688.37</v>
      </c>
      <c r="F55" s="62">
        <v>0</v>
      </c>
      <c r="G55" s="142" t="s">
        <v>329</v>
      </c>
      <c r="H55" s="61">
        <v>1.01</v>
      </c>
      <c r="I55" s="142" t="s">
        <v>329</v>
      </c>
      <c r="J55" s="61">
        <v>1.01</v>
      </c>
      <c r="K55" s="63">
        <v>166</v>
      </c>
      <c r="L55" s="64">
        <v>0.16139999999999999</v>
      </c>
      <c r="M55" s="64">
        <v>0.16139999999999999</v>
      </c>
      <c r="N55" s="142" t="s">
        <v>329</v>
      </c>
      <c r="O55" s="83">
        <v>151080953.47999999</v>
      </c>
      <c r="P55" s="84">
        <f>(O55/$O$204)</f>
        <v>9.9572281213013928E-4</v>
      </c>
      <c r="Q55" s="142" t="s">
        <v>329</v>
      </c>
      <c r="R55" s="61">
        <v>1.01</v>
      </c>
      <c r="S55" s="142" t="s">
        <v>329</v>
      </c>
      <c r="T55" s="61">
        <v>1.01</v>
      </c>
      <c r="U55" s="63">
        <v>166</v>
      </c>
      <c r="V55" s="64">
        <v>0.16900000000000001</v>
      </c>
      <c r="W55" s="64">
        <v>0.16900000000000001</v>
      </c>
      <c r="X55" s="156">
        <f t="shared" si="18"/>
        <v>-4.0254274825240313E-2</v>
      </c>
      <c r="Y55" s="156">
        <f t="shared" si="19"/>
        <v>0</v>
      </c>
      <c r="Z55" s="156">
        <f t="shared" si="20"/>
        <v>0</v>
      </c>
      <c r="AA55" s="156">
        <f t="shared" si="21"/>
        <v>7.6000000000000234E-3</v>
      </c>
      <c r="AB55" s="157">
        <f t="shared" si="22"/>
        <v>7.6000000000000234E-3</v>
      </c>
    </row>
    <row r="56" spans="1:28">
      <c r="A56" s="206">
        <v>48</v>
      </c>
      <c r="B56" s="55" t="s">
        <v>92</v>
      </c>
      <c r="C56" s="56" t="s">
        <v>35</v>
      </c>
      <c r="D56" s="142" t="s">
        <v>329</v>
      </c>
      <c r="E56" s="78">
        <v>4900023188.75</v>
      </c>
      <c r="F56" s="62">
        <f t="shared" ref="F56:F76" si="37">(E56/$O$77)</f>
        <v>7.949189358889973E-4</v>
      </c>
      <c r="G56" s="142" t="s">
        <v>329</v>
      </c>
      <c r="H56" s="69">
        <v>100</v>
      </c>
      <c r="I56" s="142" t="s">
        <v>329</v>
      </c>
      <c r="J56" s="69">
        <v>100</v>
      </c>
      <c r="K56" s="63">
        <v>18433</v>
      </c>
      <c r="L56" s="64">
        <v>0.14860000000000001</v>
      </c>
      <c r="M56" s="64">
        <v>0.14860000000000001</v>
      </c>
      <c r="N56" s="142" t="s">
        <v>329</v>
      </c>
      <c r="O56" s="78">
        <v>5225872853.8400002</v>
      </c>
      <c r="P56" s="62">
        <f t="shared" ref="P56:P69" si="38">(O56/$O$77)</f>
        <v>8.4778074063062065E-4</v>
      </c>
      <c r="Q56" s="142" t="s">
        <v>329</v>
      </c>
      <c r="R56" s="69">
        <v>100</v>
      </c>
      <c r="S56" s="142" t="s">
        <v>329</v>
      </c>
      <c r="T56" s="69">
        <v>100</v>
      </c>
      <c r="U56" s="63">
        <v>18927</v>
      </c>
      <c r="V56" s="64">
        <v>0.14849999999999999</v>
      </c>
      <c r="W56" s="64">
        <v>0.14849999999999999</v>
      </c>
      <c r="X56" s="158">
        <f t="shared" ref="X56" si="39">((O56-E56)/E56)</f>
        <v>6.6499616948368909E-2</v>
      </c>
      <c r="Y56" s="158">
        <f t="shared" ref="Y56" si="40">((T56-J56)/J56)</f>
        <v>0</v>
      </c>
      <c r="Z56" s="158">
        <f t="shared" ref="Z56" si="41">((U56-K56)/K56)</f>
        <v>2.6799761297672652E-2</v>
      </c>
      <c r="AA56" s="156">
        <f t="shared" ref="AA56" si="42">V56-L56</f>
        <v>-1.0000000000001674E-4</v>
      </c>
      <c r="AB56" s="157">
        <f t="shared" ref="AB56" si="43">W56-M56</f>
        <v>-1.0000000000001674E-4</v>
      </c>
    </row>
    <row r="57" spans="1:28">
      <c r="A57" s="209">
        <v>49</v>
      </c>
      <c r="B57" s="55" t="s">
        <v>93</v>
      </c>
      <c r="C57" s="56" t="s">
        <v>35</v>
      </c>
      <c r="D57" s="142" t="s">
        <v>329</v>
      </c>
      <c r="E57" s="78">
        <v>558759094544.68005</v>
      </c>
      <c r="F57" s="62">
        <f t="shared" si="37"/>
        <v>9.0646139363896441E-2</v>
      </c>
      <c r="G57" s="142" t="s">
        <v>329</v>
      </c>
      <c r="H57" s="69">
        <v>100</v>
      </c>
      <c r="I57" s="142" t="s">
        <v>329</v>
      </c>
      <c r="J57" s="69">
        <v>100</v>
      </c>
      <c r="K57" s="63">
        <v>53571</v>
      </c>
      <c r="L57" s="64">
        <v>0.16539999999999999</v>
      </c>
      <c r="M57" s="64">
        <v>0.16539999999999999</v>
      </c>
      <c r="N57" s="142" t="s">
        <v>329</v>
      </c>
      <c r="O57" s="78">
        <v>562503838777.38</v>
      </c>
      <c r="P57" s="62">
        <f t="shared" si="38"/>
        <v>9.1253640182967805E-2</v>
      </c>
      <c r="Q57" s="142" t="s">
        <v>329</v>
      </c>
      <c r="R57" s="69">
        <v>100</v>
      </c>
      <c r="S57" s="142" t="s">
        <v>329</v>
      </c>
      <c r="T57" s="69">
        <v>100</v>
      </c>
      <c r="U57" s="63">
        <v>54554</v>
      </c>
      <c r="V57" s="64">
        <v>0.1711</v>
      </c>
      <c r="W57" s="64">
        <v>0.1711</v>
      </c>
      <c r="X57" s="158">
        <f t="shared" si="18"/>
        <v>6.7018940170476462E-3</v>
      </c>
      <c r="Y57" s="158">
        <f t="shared" si="19"/>
        <v>0</v>
      </c>
      <c r="Z57" s="158">
        <f t="shared" si="20"/>
        <v>1.8349480129174367E-2</v>
      </c>
      <c r="AA57" s="156">
        <f t="shared" si="21"/>
        <v>5.7000000000000106E-3</v>
      </c>
      <c r="AB57" s="157">
        <f t="shared" si="22"/>
        <v>5.7000000000000106E-3</v>
      </c>
    </row>
    <row r="58" spans="1:28">
      <c r="A58" s="206">
        <v>50</v>
      </c>
      <c r="B58" s="55" t="s">
        <v>94</v>
      </c>
      <c r="C58" s="56" t="s">
        <v>95</v>
      </c>
      <c r="D58" s="142" t="s">
        <v>329</v>
      </c>
      <c r="E58" s="78">
        <v>6722837943.9700003</v>
      </c>
      <c r="F58" s="62">
        <f t="shared" si="37"/>
        <v>1.0906297743333933E-3</v>
      </c>
      <c r="G58" s="142" t="s">
        <v>329</v>
      </c>
      <c r="H58" s="69">
        <v>100</v>
      </c>
      <c r="I58" s="142" t="s">
        <v>329</v>
      </c>
      <c r="J58" s="69">
        <v>100</v>
      </c>
      <c r="K58" s="63">
        <v>1060</v>
      </c>
      <c r="L58" s="64">
        <v>0.1628</v>
      </c>
      <c r="M58" s="64">
        <v>0.1628</v>
      </c>
      <c r="N58" s="142" t="s">
        <v>329</v>
      </c>
      <c r="O58" s="78">
        <v>6843069811.3000002</v>
      </c>
      <c r="P58" s="62">
        <f t="shared" si="38"/>
        <v>1.1101346999952434E-3</v>
      </c>
      <c r="Q58" s="142" t="s">
        <v>329</v>
      </c>
      <c r="R58" s="69">
        <v>100</v>
      </c>
      <c r="S58" s="142" t="s">
        <v>329</v>
      </c>
      <c r="T58" s="69">
        <v>100</v>
      </c>
      <c r="U58" s="63">
        <v>1069</v>
      </c>
      <c r="V58" s="64">
        <v>0.1636</v>
      </c>
      <c r="W58" s="64">
        <v>0.1636</v>
      </c>
      <c r="X58" s="158">
        <f t="shared" si="18"/>
        <v>1.7884094236994216E-2</v>
      </c>
      <c r="Y58" s="158">
        <f t="shared" si="19"/>
        <v>0</v>
      </c>
      <c r="Z58" s="158">
        <f t="shared" si="20"/>
        <v>8.4905660377358489E-3</v>
      </c>
      <c r="AA58" s="156">
        <f t="shared" si="21"/>
        <v>7.9999999999999516E-4</v>
      </c>
      <c r="AB58" s="157">
        <f t="shared" si="22"/>
        <v>7.9999999999999516E-4</v>
      </c>
    </row>
    <row r="59" spans="1:28">
      <c r="A59" s="206">
        <v>51</v>
      </c>
      <c r="B59" s="55" t="s">
        <v>96</v>
      </c>
      <c r="C59" s="56" t="s">
        <v>40</v>
      </c>
      <c r="D59" s="142" t="s">
        <v>329</v>
      </c>
      <c r="E59" s="80">
        <v>121576323902.42</v>
      </c>
      <c r="F59" s="62">
        <f t="shared" si="37"/>
        <v>1.9723033606798415E-2</v>
      </c>
      <c r="G59" s="142" t="s">
        <v>329</v>
      </c>
      <c r="H59" s="69">
        <v>10</v>
      </c>
      <c r="I59" s="142" t="s">
        <v>329</v>
      </c>
      <c r="J59" s="69">
        <v>10</v>
      </c>
      <c r="K59" s="63">
        <v>11874</v>
      </c>
      <c r="L59" s="64">
        <v>0.17430000000000001</v>
      </c>
      <c r="M59" s="64">
        <v>0.17430000000000001</v>
      </c>
      <c r="N59" s="142" t="s">
        <v>329</v>
      </c>
      <c r="O59" s="80">
        <v>126497917179.2</v>
      </c>
      <c r="P59" s="62">
        <f t="shared" si="38"/>
        <v>2.0521451806009918E-2</v>
      </c>
      <c r="Q59" s="142" t="s">
        <v>329</v>
      </c>
      <c r="R59" s="69">
        <v>10</v>
      </c>
      <c r="S59" s="142" t="s">
        <v>329</v>
      </c>
      <c r="T59" s="69">
        <v>10</v>
      </c>
      <c r="U59" s="63">
        <v>11910</v>
      </c>
      <c r="V59" s="64">
        <v>0.17730000000000001</v>
      </c>
      <c r="W59" s="64">
        <v>0.17730000000000001</v>
      </c>
      <c r="X59" s="158">
        <f t="shared" si="18"/>
        <v>4.0481510863333757E-2</v>
      </c>
      <c r="Y59" s="158">
        <f t="shared" si="19"/>
        <v>0</v>
      </c>
      <c r="Z59" s="158">
        <f t="shared" si="20"/>
        <v>3.0318342597271349E-3</v>
      </c>
      <c r="AA59" s="156">
        <f t="shared" si="21"/>
        <v>3.0000000000000027E-3</v>
      </c>
      <c r="AB59" s="157">
        <f t="shared" si="22"/>
        <v>3.0000000000000027E-3</v>
      </c>
    </row>
    <row r="60" spans="1:28">
      <c r="A60" s="206">
        <v>52</v>
      </c>
      <c r="B60" s="55" t="s">
        <v>338</v>
      </c>
      <c r="C60" s="56" t="s">
        <v>312</v>
      </c>
      <c r="D60" s="142" t="s">
        <v>329</v>
      </c>
      <c r="E60" s="80">
        <v>561102036.75</v>
      </c>
      <c r="F60" s="62">
        <f t="shared" si="37"/>
        <v>9.1026229223262488E-5</v>
      </c>
      <c r="G60" s="142" t="s">
        <v>329</v>
      </c>
      <c r="H60" s="69">
        <v>1</v>
      </c>
      <c r="I60" s="142" t="s">
        <v>329</v>
      </c>
      <c r="J60" s="69">
        <v>1</v>
      </c>
      <c r="K60" s="63">
        <v>353</v>
      </c>
      <c r="L60" s="64">
        <v>0.17866399999999999</v>
      </c>
      <c r="M60" s="64">
        <v>0.17866399999999999</v>
      </c>
      <c r="N60" s="142" t="s">
        <v>329</v>
      </c>
      <c r="O60" s="80">
        <v>596781355.50999999</v>
      </c>
      <c r="P60" s="62">
        <f t="shared" si="38"/>
        <v>9.6814398995001614E-5</v>
      </c>
      <c r="Q60" s="142" t="s">
        <v>329</v>
      </c>
      <c r="R60" s="69">
        <v>1</v>
      </c>
      <c r="S60" s="142" t="s">
        <v>329</v>
      </c>
      <c r="T60" s="69">
        <v>1</v>
      </c>
      <c r="U60" s="63">
        <v>363</v>
      </c>
      <c r="V60" s="64">
        <v>0.19290099999999999</v>
      </c>
      <c r="W60" s="64">
        <v>0.19290099999999999</v>
      </c>
      <c r="X60" s="158">
        <f t="shared" ref="X60" si="44">((O60-E60)/E60)</f>
        <v>6.3587933073030303E-2</v>
      </c>
      <c r="Y60" s="158">
        <f t="shared" ref="Y60" si="45">((T60-J60)/J60)</f>
        <v>0</v>
      </c>
      <c r="Z60" s="158">
        <f t="shared" ref="Z60" si="46">((U60-K60)/K60)</f>
        <v>2.8328611898016998E-2</v>
      </c>
      <c r="AA60" s="156">
        <f t="shared" ref="AA60" si="47">V60-L60</f>
        <v>1.4237E-2</v>
      </c>
      <c r="AB60" s="157">
        <f t="shared" ref="AB60" si="48">W60-M60</f>
        <v>1.4237E-2</v>
      </c>
    </row>
    <row r="61" spans="1:28">
      <c r="A61" s="206">
        <v>53</v>
      </c>
      <c r="B61" s="55" t="s">
        <v>97</v>
      </c>
      <c r="C61" s="56" t="s">
        <v>98</v>
      </c>
      <c r="D61" s="142" t="s">
        <v>329</v>
      </c>
      <c r="E61" s="78">
        <v>48000356980</v>
      </c>
      <c r="F61" s="62">
        <f t="shared" si="37"/>
        <v>7.7869820658067806E-3</v>
      </c>
      <c r="G61" s="142" t="s">
        <v>329</v>
      </c>
      <c r="H61" s="69">
        <v>100</v>
      </c>
      <c r="I61" s="142" t="s">
        <v>329</v>
      </c>
      <c r="J61" s="69">
        <v>100</v>
      </c>
      <c r="K61" s="63">
        <v>6909</v>
      </c>
      <c r="L61" s="64">
        <v>0.17019999999999999</v>
      </c>
      <c r="M61" s="64">
        <v>0.17019999999999999</v>
      </c>
      <c r="N61" s="142" t="s">
        <v>329</v>
      </c>
      <c r="O61" s="78">
        <v>47385786280</v>
      </c>
      <c r="P61" s="62">
        <f t="shared" si="38"/>
        <v>7.6872817443890814E-3</v>
      </c>
      <c r="Q61" s="142" t="s">
        <v>329</v>
      </c>
      <c r="R61" s="69">
        <v>100</v>
      </c>
      <c r="S61" s="142" t="s">
        <v>329</v>
      </c>
      <c r="T61" s="69">
        <v>100</v>
      </c>
      <c r="U61" s="63">
        <v>6954</v>
      </c>
      <c r="V61" s="64">
        <v>0.18010000000000001</v>
      </c>
      <c r="W61" s="64">
        <v>0.18010000000000001</v>
      </c>
      <c r="X61" s="158">
        <f t="shared" si="18"/>
        <v>-1.2803461029593368E-2</v>
      </c>
      <c r="Y61" s="158">
        <f t="shared" si="19"/>
        <v>0</v>
      </c>
      <c r="Z61" s="158">
        <f t="shared" si="20"/>
        <v>6.5132435953104643E-3</v>
      </c>
      <c r="AA61" s="156">
        <f t="shared" si="21"/>
        <v>9.9000000000000199E-3</v>
      </c>
      <c r="AB61" s="157">
        <f t="shared" si="22"/>
        <v>9.9000000000000199E-3</v>
      </c>
    </row>
    <row r="62" spans="1:28">
      <c r="A62" s="206">
        <v>54</v>
      </c>
      <c r="B62" s="55" t="s">
        <v>99</v>
      </c>
      <c r="C62" s="56" t="s">
        <v>100</v>
      </c>
      <c r="D62" s="142" t="s">
        <v>329</v>
      </c>
      <c r="E62" s="78">
        <v>194723418.55000001</v>
      </c>
      <c r="F62" s="62">
        <f t="shared" si="37"/>
        <v>3.1589510233709882E-5</v>
      </c>
      <c r="G62" s="142" t="s">
        <v>329</v>
      </c>
      <c r="H62" s="69">
        <v>1.01</v>
      </c>
      <c r="I62" s="142" t="s">
        <v>329</v>
      </c>
      <c r="J62" s="69">
        <v>1.01</v>
      </c>
      <c r="K62" s="63">
        <v>132</v>
      </c>
      <c r="L62" s="64">
        <v>0.14879999999999999</v>
      </c>
      <c r="M62" s="64">
        <v>0.14879999999999999</v>
      </c>
      <c r="N62" s="142" t="s">
        <v>329</v>
      </c>
      <c r="O62" s="78">
        <v>195279121.47999999</v>
      </c>
      <c r="P62" s="62">
        <f t="shared" si="38"/>
        <v>3.167966057887563E-5</v>
      </c>
      <c r="Q62" s="142" t="s">
        <v>329</v>
      </c>
      <c r="R62" s="69">
        <v>1.01</v>
      </c>
      <c r="S62" s="142" t="s">
        <v>329</v>
      </c>
      <c r="T62" s="69">
        <v>1.01</v>
      </c>
      <c r="U62" s="63">
        <v>135</v>
      </c>
      <c r="V62" s="64">
        <v>0.14760000000000001</v>
      </c>
      <c r="W62" s="64">
        <v>0.14760000000000001</v>
      </c>
      <c r="X62" s="158">
        <f t="shared" si="18"/>
        <v>2.8538063584647214E-3</v>
      </c>
      <c r="Y62" s="158">
        <f t="shared" si="19"/>
        <v>0</v>
      </c>
      <c r="Z62" s="158">
        <f t="shared" si="20"/>
        <v>2.2727272727272728E-2</v>
      </c>
      <c r="AA62" s="156">
        <f t="shared" si="21"/>
        <v>-1.1999999999999789E-3</v>
      </c>
      <c r="AB62" s="157">
        <f t="shared" si="22"/>
        <v>-1.1999999999999789E-3</v>
      </c>
    </row>
    <row r="63" spans="1:28">
      <c r="A63" s="206">
        <v>55</v>
      </c>
      <c r="B63" s="55" t="s">
        <v>101</v>
      </c>
      <c r="C63" s="56" t="s">
        <v>42</v>
      </c>
      <c r="D63" s="142" t="s">
        <v>329</v>
      </c>
      <c r="E63" s="80">
        <v>3012531809.2399998</v>
      </c>
      <c r="F63" s="62">
        <f t="shared" si="37"/>
        <v>4.8871576478063793E-4</v>
      </c>
      <c r="G63" s="142" t="s">
        <v>329</v>
      </c>
      <c r="H63" s="69">
        <v>10</v>
      </c>
      <c r="I63" s="142" t="s">
        <v>329</v>
      </c>
      <c r="J63" s="69">
        <v>10</v>
      </c>
      <c r="K63" s="63">
        <v>1020</v>
      </c>
      <c r="L63" s="64">
        <v>0.1673</v>
      </c>
      <c r="M63" s="64">
        <v>0.1673</v>
      </c>
      <c r="N63" s="142" t="s">
        <v>329</v>
      </c>
      <c r="O63" s="80">
        <v>3080135235.1100001</v>
      </c>
      <c r="P63" s="62">
        <f t="shared" si="38"/>
        <v>4.9968290540119899E-4</v>
      </c>
      <c r="Q63" s="142" t="s">
        <v>329</v>
      </c>
      <c r="R63" s="69">
        <v>10</v>
      </c>
      <c r="S63" s="142" t="s">
        <v>329</v>
      </c>
      <c r="T63" s="69">
        <v>10</v>
      </c>
      <c r="U63" s="63">
        <v>1013</v>
      </c>
      <c r="V63" s="64">
        <v>0.16719999999999999</v>
      </c>
      <c r="W63" s="64">
        <v>0.16719999999999999</v>
      </c>
      <c r="X63" s="158">
        <f t="shared" si="18"/>
        <v>2.244073428955936E-2</v>
      </c>
      <c r="Y63" s="158">
        <f t="shared" si="19"/>
        <v>0</v>
      </c>
      <c r="Z63" s="158">
        <f t="shared" si="20"/>
        <v>-6.8627450980392156E-3</v>
      </c>
      <c r="AA63" s="156">
        <f t="shared" si="21"/>
        <v>-1.0000000000001674E-4</v>
      </c>
      <c r="AB63" s="157">
        <f t="shared" si="22"/>
        <v>-1.0000000000001674E-4</v>
      </c>
    </row>
    <row r="64" spans="1:28" ht="15.6" customHeight="1">
      <c r="A64" s="206">
        <v>56</v>
      </c>
      <c r="B64" s="55" t="s">
        <v>102</v>
      </c>
      <c r="C64" s="56" t="s">
        <v>103</v>
      </c>
      <c r="D64" s="142" t="s">
        <v>329</v>
      </c>
      <c r="E64" s="80">
        <v>2259688855</v>
      </c>
      <c r="F64" s="62">
        <f t="shared" si="37"/>
        <v>3.6658386927247515E-4</v>
      </c>
      <c r="G64" s="142" t="s">
        <v>329</v>
      </c>
      <c r="H64" s="69">
        <v>1</v>
      </c>
      <c r="I64" s="142" t="s">
        <v>329</v>
      </c>
      <c r="J64" s="69">
        <v>1</v>
      </c>
      <c r="K64" s="63">
        <v>299</v>
      </c>
      <c r="L64" s="64">
        <v>0.18160000000000001</v>
      </c>
      <c r="M64" s="64">
        <v>0.18160000000000001</v>
      </c>
      <c r="N64" s="142" t="s">
        <v>329</v>
      </c>
      <c r="O64" s="80">
        <v>2241108725</v>
      </c>
      <c r="P64" s="62">
        <f t="shared" si="38"/>
        <v>3.63569659625021E-4</v>
      </c>
      <c r="Q64" s="142" t="s">
        <v>329</v>
      </c>
      <c r="R64" s="69">
        <v>1</v>
      </c>
      <c r="S64" s="142" t="s">
        <v>329</v>
      </c>
      <c r="T64" s="69">
        <v>1</v>
      </c>
      <c r="U64" s="63">
        <v>300</v>
      </c>
      <c r="V64" s="64">
        <v>0.18490000000000001</v>
      </c>
      <c r="W64" s="64">
        <v>0.18490000000000001</v>
      </c>
      <c r="X64" s="158">
        <f t="shared" si="18"/>
        <v>-8.2224284811990185E-3</v>
      </c>
      <c r="Y64" s="158">
        <f t="shared" si="19"/>
        <v>0</v>
      </c>
      <c r="Z64" s="158">
        <f t="shared" si="20"/>
        <v>3.3444816053511705E-3</v>
      </c>
      <c r="AA64" s="156">
        <f t="shared" si="21"/>
        <v>3.2999999999999974E-3</v>
      </c>
      <c r="AB64" s="157">
        <f t="shared" si="22"/>
        <v>3.2999999999999974E-3</v>
      </c>
    </row>
    <row r="65" spans="1:28">
      <c r="A65" s="206">
        <v>57</v>
      </c>
      <c r="B65" s="55" t="s">
        <v>104</v>
      </c>
      <c r="C65" s="56" t="s">
        <v>105</v>
      </c>
      <c r="D65" s="142" t="s">
        <v>329</v>
      </c>
      <c r="E65" s="80">
        <v>2396894468.5999999</v>
      </c>
      <c r="F65" s="62">
        <f t="shared" si="37"/>
        <v>3.8884240482620828E-4</v>
      </c>
      <c r="G65" s="142" t="s">
        <v>329</v>
      </c>
      <c r="H65" s="69">
        <v>1</v>
      </c>
      <c r="I65" s="142" t="s">
        <v>329</v>
      </c>
      <c r="J65" s="69">
        <v>1</v>
      </c>
      <c r="K65" s="63">
        <v>3385</v>
      </c>
      <c r="L65" s="64">
        <v>0.16930000000000001</v>
      </c>
      <c r="M65" s="64">
        <v>0.16930000000000001</v>
      </c>
      <c r="N65" s="142" t="s">
        <v>329</v>
      </c>
      <c r="O65" s="80">
        <v>2494608550.1700001</v>
      </c>
      <c r="P65" s="62">
        <f t="shared" si="38"/>
        <v>4.046943244500438E-4</v>
      </c>
      <c r="Q65" s="142" t="s">
        <v>329</v>
      </c>
      <c r="R65" s="69">
        <v>1</v>
      </c>
      <c r="S65" s="142" t="s">
        <v>329</v>
      </c>
      <c r="T65" s="69">
        <v>1</v>
      </c>
      <c r="U65" s="63">
        <v>3420</v>
      </c>
      <c r="V65" s="64">
        <v>0.17080000000000001</v>
      </c>
      <c r="W65" s="64">
        <v>0.17080000000000001</v>
      </c>
      <c r="X65" s="158">
        <f t="shared" si="18"/>
        <v>4.0766951924701929E-2</v>
      </c>
      <c r="Y65" s="158">
        <f t="shared" si="19"/>
        <v>0</v>
      </c>
      <c r="Z65" s="158">
        <f t="shared" si="20"/>
        <v>1.03397341211226E-2</v>
      </c>
      <c r="AA65" s="156">
        <f t="shared" si="21"/>
        <v>1.5000000000000013E-3</v>
      </c>
      <c r="AB65" s="157">
        <f t="shared" si="22"/>
        <v>1.5000000000000013E-3</v>
      </c>
    </row>
    <row r="66" spans="1:28">
      <c r="A66" s="206">
        <v>58</v>
      </c>
      <c r="B66" s="55" t="s">
        <v>106</v>
      </c>
      <c r="C66" s="56" t="s">
        <v>107</v>
      </c>
      <c r="D66" s="142" t="s">
        <v>329</v>
      </c>
      <c r="E66" s="80">
        <v>20410568714.759998</v>
      </c>
      <c r="F66" s="62">
        <f t="shared" si="37"/>
        <v>3.3111573024545674E-3</v>
      </c>
      <c r="G66" s="142" t="s">
        <v>329</v>
      </c>
      <c r="H66" s="69">
        <v>100</v>
      </c>
      <c r="I66" s="142" t="s">
        <v>329</v>
      </c>
      <c r="J66" s="69">
        <v>100</v>
      </c>
      <c r="K66" s="63">
        <v>162</v>
      </c>
      <c r="L66" s="64">
        <v>0.16120000000000001</v>
      </c>
      <c r="M66" s="64">
        <v>0.16120000000000001</v>
      </c>
      <c r="N66" s="142" t="s">
        <v>329</v>
      </c>
      <c r="O66" s="80">
        <v>20989618639.720001</v>
      </c>
      <c r="P66" s="62">
        <f t="shared" si="38"/>
        <v>3.4050951742655845E-3</v>
      </c>
      <c r="Q66" s="142" t="s">
        <v>329</v>
      </c>
      <c r="R66" s="69">
        <v>100</v>
      </c>
      <c r="S66" s="142" t="s">
        <v>329</v>
      </c>
      <c r="T66" s="69">
        <v>100</v>
      </c>
      <c r="U66" s="63">
        <v>164</v>
      </c>
      <c r="V66" s="64">
        <v>0.16089999999999999</v>
      </c>
      <c r="W66" s="64">
        <v>0.16089999999999999</v>
      </c>
      <c r="X66" s="158">
        <f t="shared" si="18"/>
        <v>2.8370102423518472E-2</v>
      </c>
      <c r="Y66" s="158">
        <f t="shared" si="19"/>
        <v>0</v>
      </c>
      <c r="Z66" s="158">
        <f t="shared" si="20"/>
        <v>1.2345679012345678E-2</v>
      </c>
      <c r="AA66" s="156">
        <f t="shared" si="21"/>
        <v>-3.0000000000002247E-4</v>
      </c>
      <c r="AB66" s="157">
        <f t="shared" si="22"/>
        <v>-3.0000000000002247E-4</v>
      </c>
    </row>
    <row r="67" spans="1:28">
      <c r="A67" s="206">
        <v>59</v>
      </c>
      <c r="B67" s="55" t="s">
        <v>304</v>
      </c>
      <c r="C67" s="56" t="s">
        <v>73</v>
      </c>
      <c r="D67" s="142" t="s">
        <v>329</v>
      </c>
      <c r="E67" s="80">
        <v>454211206</v>
      </c>
      <c r="F67" s="62">
        <f t="shared" si="37"/>
        <v>7.368558772769504E-5</v>
      </c>
      <c r="G67" s="142" t="s">
        <v>329</v>
      </c>
      <c r="H67" s="69">
        <v>1000</v>
      </c>
      <c r="I67" s="142" t="s">
        <v>329</v>
      </c>
      <c r="J67" s="69">
        <v>1000</v>
      </c>
      <c r="K67" s="63">
        <v>46</v>
      </c>
      <c r="L67" s="64">
        <v>0.2016</v>
      </c>
      <c r="M67" s="64">
        <v>0.2016</v>
      </c>
      <c r="N67" s="142" t="s">
        <v>329</v>
      </c>
      <c r="O67" s="80">
        <v>462661165.14999998</v>
      </c>
      <c r="P67" s="62">
        <f t="shared" si="38"/>
        <v>7.5056404206940523E-5</v>
      </c>
      <c r="Q67" s="142" t="s">
        <v>329</v>
      </c>
      <c r="R67" s="69">
        <v>1000</v>
      </c>
      <c r="S67" s="142" t="s">
        <v>329</v>
      </c>
      <c r="T67" s="69">
        <v>1000</v>
      </c>
      <c r="U67" s="63">
        <v>49</v>
      </c>
      <c r="V67" s="64">
        <v>0.1981</v>
      </c>
      <c r="W67" s="64">
        <v>0.1981</v>
      </c>
      <c r="X67" s="158">
        <f t="shared" si="18"/>
        <v>1.860359022053713E-2</v>
      </c>
      <c r="Y67" s="158">
        <f t="shared" si="19"/>
        <v>0</v>
      </c>
      <c r="Z67" s="158">
        <f t="shared" si="20"/>
        <v>6.5217391304347824E-2</v>
      </c>
      <c r="AA67" s="156">
        <f t="shared" si="21"/>
        <v>-3.5000000000000031E-3</v>
      </c>
      <c r="AB67" s="157">
        <f t="shared" si="22"/>
        <v>-3.5000000000000031E-3</v>
      </c>
    </row>
    <row r="68" spans="1:28">
      <c r="A68" s="206">
        <v>60</v>
      </c>
      <c r="B68" s="55" t="s">
        <v>306</v>
      </c>
      <c r="C68" s="56" t="s">
        <v>31</v>
      </c>
      <c r="D68" s="142" t="s">
        <v>329</v>
      </c>
      <c r="E68" s="67">
        <v>2702575748.8600001</v>
      </c>
      <c r="F68" s="62">
        <f t="shared" si="37"/>
        <v>4.3843234117250002E-4</v>
      </c>
      <c r="G68" s="142" t="s">
        <v>329</v>
      </c>
      <c r="H68" s="61">
        <v>1</v>
      </c>
      <c r="I68" s="142" t="s">
        <v>329</v>
      </c>
      <c r="J68" s="61">
        <v>1</v>
      </c>
      <c r="K68" s="63">
        <v>580</v>
      </c>
      <c r="L68" s="64">
        <v>0.16</v>
      </c>
      <c r="M68" s="64">
        <v>0.16</v>
      </c>
      <c r="N68" s="142" t="s">
        <v>329</v>
      </c>
      <c r="O68" s="67">
        <v>2781211698.7399998</v>
      </c>
      <c r="P68" s="62">
        <f t="shared" si="38"/>
        <v>4.5118926153662098E-4</v>
      </c>
      <c r="Q68" s="142" t="s">
        <v>329</v>
      </c>
      <c r="R68" s="61">
        <v>1</v>
      </c>
      <c r="S68" s="142" t="s">
        <v>329</v>
      </c>
      <c r="T68" s="61">
        <v>1</v>
      </c>
      <c r="U68" s="63">
        <v>600</v>
      </c>
      <c r="V68" s="64">
        <v>0.15970000000000001</v>
      </c>
      <c r="W68" s="64">
        <v>0.15970000000000001</v>
      </c>
      <c r="X68" s="158">
        <f t="shared" si="18"/>
        <v>2.9096668211120388E-2</v>
      </c>
      <c r="Y68" s="158">
        <f t="shared" si="19"/>
        <v>0</v>
      </c>
      <c r="Z68" s="158">
        <f t="shared" si="20"/>
        <v>3.4482758620689655E-2</v>
      </c>
      <c r="AA68" s="156">
        <f t="shared" si="21"/>
        <v>-2.9999999999999472E-4</v>
      </c>
      <c r="AB68" s="157">
        <f t="shared" si="22"/>
        <v>-2.9999999999999472E-4</v>
      </c>
    </row>
    <row r="69" spans="1:28">
      <c r="A69" s="209">
        <v>61</v>
      </c>
      <c r="B69" s="55" t="s">
        <v>108</v>
      </c>
      <c r="C69" s="56" t="s">
        <v>46</v>
      </c>
      <c r="D69" s="142" t="s">
        <v>329</v>
      </c>
      <c r="E69" s="78">
        <v>2882797368208.3999</v>
      </c>
      <c r="F69" s="62">
        <f t="shared" si="37"/>
        <v>0.46766925952128191</v>
      </c>
      <c r="G69" s="142" t="s">
        <v>329</v>
      </c>
      <c r="H69" s="69">
        <v>100</v>
      </c>
      <c r="I69" s="142" t="s">
        <v>329</v>
      </c>
      <c r="J69" s="69">
        <v>100</v>
      </c>
      <c r="K69" s="63">
        <v>347726</v>
      </c>
      <c r="L69" s="64">
        <v>0.15359999999999999</v>
      </c>
      <c r="M69" s="64">
        <v>0.15359999999999999</v>
      </c>
      <c r="N69" s="142" t="s">
        <v>329</v>
      </c>
      <c r="O69" s="78">
        <v>2923586473076.5801</v>
      </c>
      <c r="P69" s="62">
        <f t="shared" si="38"/>
        <v>0.47428637756107428</v>
      </c>
      <c r="Q69" s="142" t="s">
        <v>329</v>
      </c>
      <c r="R69" s="69">
        <v>100</v>
      </c>
      <c r="S69" s="142" t="s">
        <v>329</v>
      </c>
      <c r="T69" s="69">
        <v>100</v>
      </c>
      <c r="U69" s="63">
        <v>350855</v>
      </c>
      <c r="V69" s="64">
        <v>0.15359999999999999</v>
      </c>
      <c r="W69" s="64">
        <v>0.15359999999999999</v>
      </c>
      <c r="X69" s="158">
        <f t="shared" si="18"/>
        <v>1.4149140455726785E-2</v>
      </c>
      <c r="Y69" s="158">
        <f t="shared" si="19"/>
        <v>0</v>
      </c>
      <c r="Z69" s="158">
        <f t="shared" si="20"/>
        <v>8.9984643081046575E-3</v>
      </c>
      <c r="AA69" s="156">
        <f t="shared" si="21"/>
        <v>0</v>
      </c>
      <c r="AB69" s="157">
        <f t="shared" si="22"/>
        <v>0</v>
      </c>
    </row>
    <row r="70" spans="1:28">
      <c r="A70" s="206">
        <v>62</v>
      </c>
      <c r="B70" s="55" t="s">
        <v>109</v>
      </c>
      <c r="C70" s="55" t="s">
        <v>110</v>
      </c>
      <c r="D70" s="142" t="s">
        <v>329</v>
      </c>
      <c r="E70" s="78">
        <v>17322376619.34</v>
      </c>
      <c r="F70" s="62">
        <f t="shared" si="37"/>
        <v>2.8101673520502073E-3</v>
      </c>
      <c r="G70" s="142" t="s">
        <v>329</v>
      </c>
      <c r="H70" s="69">
        <v>100</v>
      </c>
      <c r="I70" s="142" t="s">
        <v>329</v>
      </c>
      <c r="J70" s="69">
        <v>100</v>
      </c>
      <c r="K70" s="63">
        <v>1836</v>
      </c>
      <c r="L70" s="64">
        <v>0.2029</v>
      </c>
      <c r="M70" s="64">
        <v>0.2029</v>
      </c>
      <c r="N70" s="142" t="s">
        <v>329</v>
      </c>
      <c r="O70" s="78">
        <v>17671253955.540001</v>
      </c>
      <c r="P70" s="62">
        <f t="shared" ref="P70:P76" si="49">(O70/$O$77)</f>
        <v>2.8667648802995866E-3</v>
      </c>
      <c r="Q70" s="142" t="s">
        <v>329</v>
      </c>
      <c r="R70" s="69">
        <v>100</v>
      </c>
      <c r="S70" s="142" t="s">
        <v>329</v>
      </c>
      <c r="T70" s="69">
        <v>100</v>
      </c>
      <c r="U70" s="63">
        <v>1870</v>
      </c>
      <c r="V70" s="64">
        <v>0.1888</v>
      </c>
      <c r="W70" s="64">
        <v>0.1888</v>
      </c>
      <c r="X70" s="158">
        <f t="shared" si="18"/>
        <v>2.0140269656213797E-2</v>
      </c>
      <c r="Y70" s="158">
        <f t="shared" si="19"/>
        <v>0</v>
      </c>
      <c r="Z70" s="158">
        <f t="shared" si="20"/>
        <v>1.8518518518518517E-2</v>
      </c>
      <c r="AA70" s="156">
        <f t="shared" si="21"/>
        <v>-1.4100000000000001E-2</v>
      </c>
      <c r="AB70" s="157">
        <f t="shared" si="22"/>
        <v>-1.4100000000000001E-2</v>
      </c>
    </row>
    <row r="71" spans="1:28">
      <c r="A71" s="206">
        <v>63</v>
      </c>
      <c r="B71" s="208" t="s">
        <v>111</v>
      </c>
      <c r="C71" s="56" t="s">
        <v>112</v>
      </c>
      <c r="D71" s="142" t="s">
        <v>329</v>
      </c>
      <c r="E71" s="78">
        <v>17558992868.189999</v>
      </c>
      <c r="F71" s="62">
        <f t="shared" si="37"/>
        <v>2.8485530350367133E-3</v>
      </c>
      <c r="G71" s="142" t="s">
        <v>329</v>
      </c>
      <c r="H71" s="69">
        <v>1</v>
      </c>
      <c r="I71" s="142" t="s">
        <v>329</v>
      </c>
      <c r="J71" s="69">
        <v>1</v>
      </c>
      <c r="K71" s="63">
        <v>994</v>
      </c>
      <c r="L71" s="64">
        <v>0.18746299999999999</v>
      </c>
      <c r="M71" s="64">
        <v>0.18746299999999999</v>
      </c>
      <c r="N71" s="142" t="s">
        <v>329</v>
      </c>
      <c r="O71" s="78">
        <v>17491714099.639999</v>
      </c>
      <c r="P71" s="62">
        <f t="shared" si="49"/>
        <v>2.8376385627896278E-3</v>
      </c>
      <c r="Q71" s="142" t="s">
        <v>329</v>
      </c>
      <c r="R71" s="69">
        <v>1</v>
      </c>
      <c r="S71" s="142" t="s">
        <v>329</v>
      </c>
      <c r="T71" s="69">
        <v>1</v>
      </c>
      <c r="U71" s="63">
        <v>994</v>
      </c>
      <c r="V71" s="64">
        <v>0.18797900000000001</v>
      </c>
      <c r="W71" s="64">
        <v>0.18797900000000001</v>
      </c>
      <c r="X71" s="158">
        <f t="shared" si="18"/>
        <v>-3.8315847073371705E-3</v>
      </c>
      <c r="Y71" s="158">
        <f t="shared" si="19"/>
        <v>0</v>
      </c>
      <c r="Z71" s="158">
        <f t="shared" si="20"/>
        <v>0</v>
      </c>
      <c r="AA71" s="156">
        <f t="shared" si="21"/>
        <v>5.1600000000001645E-4</v>
      </c>
      <c r="AB71" s="157">
        <f t="shared" si="22"/>
        <v>5.1600000000001645E-4</v>
      </c>
    </row>
    <row r="72" spans="1:28">
      <c r="A72" s="209">
        <v>64</v>
      </c>
      <c r="B72" s="55" t="s">
        <v>113</v>
      </c>
      <c r="C72" s="56" t="s">
        <v>49</v>
      </c>
      <c r="D72" s="142" t="s">
        <v>329</v>
      </c>
      <c r="E72" s="78">
        <v>247845076046.44</v>
      </c>
      <c r="F72" s="62">
        <f t="shared" si="37"/>
        <v>4.0207308522232289E-2</v>
      </c>
      <c r="G72" s="142" t="s">
        <v>329</v>
      </c>
      <c r="H72" s="69">
        <v>1</v>
      </c>
      <c r="I72" s="142" t="s">
        <v>329</v>
      </c>
      <c r="J72" s="69">
        <v>1</v>
      </c>
      <c r="K72" s="63">
        <v>96075</v>
      </c>
      <c r="L72" s="64">
        <v>0.1497</v>
      </c>
      <c r="M72" s="64">
        <v>0.1497</v>
      </c>
      <c r="N72" s="142" t="s">
        <v>329</v>
      </c>
      <c r="O72" s="78">
        <v>250404269695.94</v>
      </c>
      <c r="P72" s="62">
        <f t="shared" si="49"/>
        <v>4.0622480331472928E-2</v>
      </c>
      <c r="Q72" s="142" t="s">
        <v>329</v>
      </c>
      <c r="R72" s="69">
        <v>1</v>
      </c>
      <c r="S72" s="142" t="s">
        <v>329</v>
      </c>
      <c r="T72" s="69">
        <v>1</v>
      </c>
      <c r="U72" s="63">
        <v>97096</v>
      </c>
      <c r="V72" s="64">
        <v>0.15110000000000001</v>
      </c>
      <c r="W72" s="64">
        <v>0.15110000000000001</v>
      </c>
      <c r="X72" s="158">
        <f t="shared" si="18"/>
        <v>1.0325779677868083E-2</v>
      </c>
      <c r="Y72" s="158">
        <f t="shared" si="19"/>
        <v>0</v>
      </c>
      <c r="Z72" s="158">
        <f t="shared" si="20"/>
        <v>1.0627114233671612E-2</v>
      </c>
      <c r="AA72" s="156">
        <f t="shared" si="21"/>
        <v>1.4000000000000123E-3</v>
      </c>
      <c r="AB72" s="157">
        <f t="shared" si="22"/>
        <v>1.4000000000000123E-3</v>
      </c>
    </row>
    <row r="73" spans="1:28">
      <c r="A73" s="206">
        <v>65</v>
      </c>
      <c r="B73" s="55" t="s">
        <v>114</v>
      </c>
      <c r="C73" s="56" t="s">
        <v>115</v>
      </c>
      <c r="D73" s="142" t="s">
        <v>329</v>
      </c>
      <c r="E73" s="80">
        <v>3149898972.0300002</v>
      </c>
      <c r="F73" s="62">
        <f t="shared" si="37"/>
        <v>5.1100050806957204E-4</v>
      </c>
      <c r="G73" s="142" t="s">
        <v>329</v>
      </c>
      <c r="H73" s="69">
        <v>1</v>
      </c>
      <c r="I73" s="142" t="s">
        <v>329</v>
      </c>
      <c r="J73" s="69">
        <v>1</v>
      </c>
      <c r="K73" s="63">
        <v>169</v>
      </c>
      <c r="L73" s="64">
        <v>0.1487</v>
      </c>
      <c r="M73" s="64">
        <v>0.1487</v>
      </c>
      <c r="N73" s="142" t="s">
        <v>329</v>
      </c>
      <c r="O73" s="80">
        <v>3682984829.5799999</v>
      </c>
      <c r="P73" s="62">
        <f t="shared" si="49"/>
        <v>5.9748174015721457E-4</v>
      </c>
      <c r="Q73" s="142" t="s">
        <v>329</v>
      </c>
      <c r="R73" s="69">
        <v>1</v>
      </c>
      <c r="S73" s="142" t="s">
        <v>329</v>
      </c>
      <c r="T73" s="69">
        <v>1</v>
      </c>
      <c r="U73" s="63">
        <v>170</v>
      </c>
      <c r="V73" s="64">
        <v>0.14940000000000001</v>
      </c>
      <c r="W73" s="64">
        <v>0.14940000000000001</v>
      </c>
      <c r="X73" s="158">
        <f t="shared" si="18"/>
        <v>0.16923903346857008</v>
      </c>
      <c r="Y73" s="158">
        <f t="shared" si="19"/>
        <v>0</v>
      </c>
      <c r="Z73" s="158">
        <f t="shared" si="20"/>
        <v>5.9171597633136093E-3</v>
      </c>
      <c r="AA73" s="156">
        <f t="shared" si="21"/>
        <v>7.0000000000000617E-4</v>
      </c>
      <c r="AB73" s="157">
        <f t="shared" si="22"/>
        <v>7.0000000000000617E-4</v>
      </c>
    </row>
    <row r="74" spans="1:28">
      <c r="A74" s="206">
        <v>66</v>
      </c>
      <c r="B74" s="55" t="s">
        <v>116</v>
      </c>
      <c r="C74" s="56" t="s">
        <v>117</v>
      </c>
      <c r="D74" s="142" t="s">
        <v>329</v>
      </c>
      <c r="E74" s="78">
        <v>12175709475.209999</v>
      </c>
      <c r="F74" s="62">
        <f t="shared" si="37"/>
        <v>1.9752359625458344E-3</v>
      </c>
      <c r="G74" s="142" t="s">
        <v>329</v>
      </c>
      <c r="H74" s="69">
        <v>1</v>
      </c>
      <c r="I74" s="142" t="s">
        <v>329</v>
      </c>
      <c r="J74" s="69">
        <v>1</v>
      </c>
      <c r="K74" s="63">
        <v>719</v>
      </c>
      <c r="L74" s="64">
        <v>0.1668</v>
      </c>
      <c r="M74" s="64">
        <v>0.1668</v>
      </c>
      <c r="N74" s="142" t="s">
        <v>329</v>
      </c>
      <c r="O74" s="78">
        <v>12141820749.49</v>
      </c>
      <c r="P74" s="62">
        <f>(O74/$O$77)</f>
        <v>1.9697382763614454E-3</v>
      </c>
      <c r="Q74" s="142" t="s">
        <v>329</v>
      </c>
      <c r="R74" s="69">
        <v>1</v>
      </c>
      <c r="S74" s="142" t="s">
        <v>329</v>
      </c>
      <c r="T74" s="69">
        <v>1</v>
      </c>
      <c r="U74" s="63">
        <v>729</v>
      </c>
      <c r="V74" s="64">
        <v>0.16370000000000001</v>
      </c>
      <c r="W74" s="64">
        <v>0.16370000000000001</v>
      </c>
      <c r="X74" s="158">
        <f t="shared" si="18"/>
        <v>-2.783306039701216E-3</v>
      </c>
      <c r="Y74" s="158">
        <f t="shared" si="19"/>
        <v>0</v>
      </c>
      <c r="Z74" s="158">
        <f t="shared" si="20"/>
        <v>1.3908205841446454E-2</v>
      </c>
      <c r="AA74" s="156">
        <f t="shared" si="21"/>
        <v>-3.0999999999999917E-3</v>
      </c>
      <c r="AB74" s="157">
        <f t="shared" si="22"/>
        <v>-3.0999999999999917E-3</v>
      </c>
    </row>
    <row r="75" spans="1:28">
      <c r="A75" s="206">
        <v>67</v>
      </c>
      <c r="B75" s="55" t="s">
        <v>118</v>
      </c>
      <c r="C75" s="56" t="s">
        <v>119</v>
      </c>
      <c r="D75" s="142" t="s">
        <v>329</v>
      </c>
      <c r="E75" s="78">
        <v>20454981963.860001</v>
      </c>
      <c r="F75" s="62">
        <f t="shared" si="37"/>
        <v>3.3183623566663523E-3</v>
      </c>
      <c r="G75" s="142" t="s">
        <v>329</v>
      </c>
      <c r="H75" s="69">
        <v>1</v>
      </c>
      <c r="I75" s="142" t="s">
        <v>329</v>
      </c>
      <c r="J75" s="69">
        <v>1</v>
      </c>
      <c r="K75" s="63">
        <v>8671</v>
      </c>
      <c r="L75" s="64">
        <v>0.1762</v>
      </c>
      <c r="M75" s="64">
        <v>0.1762</v>
      </c>
      <c r="N75" s="142" t="s">
        <v>329</v>
      </c>
      <c r="O75" s="78">
        <v>20658832091.77</v>
      </c>
      <c r="P75" s="62">
        <f t="shared" si="49"/>
        <v>3.3514324709325648E-3</v>
      </c>
      <c r="Q75" s="142" t="s">
        <v>329</v>
      </c>
      <c r="R75" s="69">
        <v>1</v>
      </c>
      <c r="S75" s="142" t="s">
        <v>329</v>
      </c>
      <c r="T75" s="69">
        <v>1</v>
      </c>
      <c r="U75" s="63">
        <v>8861</v>
      </c>
      <c r="V75" s="64">
        <v>0.18390000000000001</v>
      </c>
      <c r="W75" s="64">
        <v>0.18390000000000001</v>
      </c>
      <c r="X75" s="158">
        <f t="shared" si="18"/>
        <v>9.9657935788045968E-3</v>
      </c>
      <c r="Y75" s="158">
        <f t="shared" si="19"/>
        <v>0</v>
      </c>
      <c r="Z75" s="158">
        <f t="shared" si="20"/>
        <v>2.1912120862645601E-2</v>
      </c>
      <c r="AA75" s="156">
        <f t="shared" si="21"/>
        <v>7.7000000000000124E-3</v>
      </c>
      <c r="AB75" s="157">
        <f t="shared" si="22"/>
        <v>7.7000000000000124E-3</v>
      </c>
    </row>
    <row r="76" spans="1:28">
      <c r="A76" s="206">
        <v>68</v>
      </c>
      <c r="B76" s="55" t="s">
        <v>120</v>
      </c>
      <c r="C76" s="56" t="s">
        <v>121</v>
      </c>
      <c r="D76" s="142" t="s">
        <v>329</v>
      </c>
      <c r="E76" s="78">
        <v>160011910518.45999</v>
      </c>
      <c r="F76" s="62">
        <f t="shared" si="37"/>
        <v>2.595834606067397E-2</v>
      </c>
      <c r="G76" s="142" t="s">
        <v>329</v>
      </c>
      <c r="H76" s="69">
        <v>1</v>
      </c>
      <c r="I76" s="142" t="s">
        <v>329</v>
      </c>
      <c r="J76" s="69">
        <v>1</v>
      </c>
      <c r="K76" s="63">
        <v>8997</v>
      </c>
      <c r="L76" s="64">
        <v>0.15746399999999999</v>
      </c>
      <c r="M76" s="64">
        <v>0.15746399999999999</v>
      </c>
      <c r="N76" s="142" t="s">
        <v>329</v>
      </c>
      <c r="O76" s="78">
        <v>163580732523.67999</v>
      </c>
      <c r="P76" s="62">
        <f t="shared" si="49"/>
        <v>2.6537307441362953E-2</v>
      </c>
      <c r="Q76" s="142" t="s">
        <v>329</v>
      </c>
      <c r="R76" s="69">
        <v>1</v>
      </c>
      <c r="S76" s="142" t="s">
        <v>329</v>
      </c>
      <c r="T76" s="69">
        <v>1</v>
      </c>
      <c r="U76" s="63">
        <v>9082</v>
      </c>
      <c r="V76" s="64">
        <v>0.15746399999999999</v>
      </c>
      <c r="W76" s="64">
        <v>0.15746399999999999</v>
      </c>
      <c r="X76" s="158">
        <f t="shared" si="18"/>
        <v>2.2303477245265935E-2</v>
      </c>
      <c r="Y76" s="158">
        <f t="shared" si="19"/>
        <v>0</v>
      </c>
      <c r="Z76" s="158">
        <f t="shared" si="20"/>
        <v>9.4475936423252197E-3</v>
      </c>
      <c r="AA76" s="156">
        <f t="shared" si="21"/>
        <v>0</v>
      </c>
      <c r="AB76" s="157">
        <f t="shared" si="22"/>
        <v>0</v>
      </c>
    </row>
    <row r="77" spans="1:28">
      <c r="B77" s="70"/>
      <c r="C77" s="71" t="s">
        <v>52</v>
      </c>
      <c r="D77" s="116" t="s">
        <v>329</v>
      </c>
      <c r="E77" s="85">
        <f>SUM(E30:E76)</f>
        <v>6078870736633.8916</v>
      </c>
      <c r="F77" s="73">
        <f>(E77/$E$239)</f>
        <v>0.66514909242051656</v>
      </c>
      <c r="G77" s="142" t="s">
        <v>329</v>
      </c>
      <c r="H77" s="74"/>
      <c r="I77" s="142"/>
      <c r="J77" s="79"/>
      <c r="K77" s="76">
        <f>SUM(K30:K76)</f>
        <v>811738</v>
      </c>
      <c r="L77" s="86"/>
      <c r="M77" s="86"/>
      <c r="N77" s="142"/>
      <c r="O77" s="85">
        <f>SUM(O30:O76)</f>
        <v>6164179726414.5693</v>
      </c>
      <c r="P77" s="73">
        <f>(O77/$O$239)</f>
        <v>0.66331479862210918</v>
      </c>
      <c r="Q77" s="142"/>
      <c r="R77" s="74"/>
      <c r="S77" s="74"/>
      <c r="T77" s="79"/>
      <c r="U77" s="76">
        <f>SUM(U30:U76)</f>
        <v>819413</v>
      </c>
      <c r="V77" s="86"/>
      <c r="W77" s="86"/>
      <c r="X77" s="158">
        <f t="shared" si="18"/>
        <v>1.4033690380446658E-2</v>
      </c>
      <c r="Y77" s="158" t="e">
        <f t="shared" si="19"/>
        <v>#DIV/0!</v>
      </c>
      <c r="Z77" s="158">
        <f t="shared" si="20"/>
        <v>9.4550212014221334E-3</v>
      </c>
      <c r="AA77" s="156">
        <f t="shared" si="21"/>
        <v>0</v>
      </c>
      <c r="AB77" s="157">
        <f t="shared" si="22"/>
        <v>0</v>
      </c>
    </row>
    <row r="78" spans="1:28" ht="3" customHeight="1">
      <c r="B78" s="223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</row>
    <row r="79" spans="1:28" ht="15" customHeight="1">
      <c r="A79" s="162"/>
      <c r="B79" s="227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</row>
    <row r="80" spans="1:28" ht="17.399999999999999" customHeight="1">
      <c r="A80" s="206">
        <v>69</v>
      </c>
      <c r="B80" s="55" t="s">
        <v>122</v>
      </c>
      <c r="C80" s="56" t="s">
        <v>21</v>
      </c>
      <c r="D80" s="142" t="s">
        <v>329</v>
      </c>
      <c r="E80" s="67">
        <v>1077145873.3399999</v>
      </c>
      <c r="F80" s="62">
        <f>(E80/$E$118)</f>
        <v>4.7920387568147291E-3</v>
      </c>
      <c r="G80" s="142" t="s">
        <v>329</v>
      </c>
      <c r="H80" s="87">
        <v>1.7289000000000001</v>
      </c>
      <c r="I80" s="142" t="s">
        <v>329</v>
      </c>
      <c r="J80" s="87">
        <v>1.7289000000000001</v>
      </c>
      <c r="K80" s="63">
        <v>570</v>
      </c>
      <c r="L80" s="64">
        <v>-1.0052999999999999E-2</v>
      </c>
      <c r="M80" s="64">
        <v>4.4200000000000003E-2</v>
      </c>
      <c r="N80" s="142" t="s">
        <v>329</v>
      </c>
      <c r="O80" s="67">
        <v>1088012241.1300001</v>
      </c>
      <c r="P80" s="62">
        <f t="shared" ref="P80:P117" si="50">(O80/$O$118)</f>
        <v>4.6205870055273405E-3</v>
      </c>
      <c r="Q80" s="142" t="s">
        <v>329</v>
      </c>
      <c r="R80" s="87">
        <v>1.7464</v>
      </c>
      <c r="S80" s="142" t="s">
        <v>329</v>
      </c>
      <c r="T80" s="87">
        <v>1.7464</v>
      </c>
      <c r="U80" s="63">
        <v>575</v>
      </c>
      <c r="V80" s="64">
        <v>1.4339999999999999E-3</v>
      </c>
      <c r="W80" s="64">
        <v>4.6199999999999998E-2</v>
      </c>
      <c r="X80" s="158">
        <f>((O80-E80)/E80)</f>
        <v>1.00881116095315E-2</v>
      </c>
      <c r="Y80" s="158">
        <f>((T80-J80)/J80)</f>
        <v>1.0122042917461882E-2</v>
      </c>
      <c r="Z80" s="158">
        <f>((U80-K80)/K80)</f>
        <v>8.771929824561403E-3</v>
      </c>
      <c r="AA80" s="156">
        <f>V80-L80</f>
        <v>1.1486999999999999E-2</v>
      </c>
      <c r="AB80" s="157">
        <f>W80-M80</f>
        <v>1.9999999999999948E-3</v>
      </c>
    </row>
    <row r="81" spans="1:28" ht="15" customHeight="1">
      <c r="A81" s="206">
        <v>70</v>
      </c>
      <c r="B81" s="55" t="s">
        <v>123</v>
      </c>
      <c r="C81" s="56" t="s">
        <v>23</v>
      </c>
      <c r="D81" s="142" t="s">
        <v>329</v>
      </c>
      <c r="E81" s="67">
        <v>1310991040.0799999</v>
      </c>
      <c r="F81" s="62">
        <f>(E81/$E$118)</f>
        <v>5.8323761241549166E-3</v>
      </c>
      <c r="G81" s="142" t="s">
        <v>329</v>
      </c>
      <c r="H81" s="87">
        <v>1.3985000000000001</v>
      </c>
      <c r="I81" s="142" t="s">
        <v>329</v>
      </c>
      <c r="J81" s="87">
        <v>1.3985000000000001</v>
      </c>
      <c r="K81" s="63">
        <v>1576</v>
      </c>
      <c r="L81" s="64">
        <v>0.16830000000000001</v>
      </c>
      <c r="M81" s="64">
        <v>0.10340000000000001</v>
      </c>
      <c r="N81" s="142" t="s">
        <v>329</v>
      </c>
      <c r="O81" s="67">
        <v>1307818231.1300001</v>
      </c>
      <c r="P81" s="62">
        <f t="shared" si="50"/>
        <v>5.554062441498764E-3</v>
      </c>
      <c r="Q81" s="142" t="s">
        <v>329</v>
      </c>
      <c r="R81" s="87">
        <v>1.403</v>
      </c>
      <c r="S81" s="142" t="s">
        <v>329</v>
      </c>
      <c r="T81" s="87">
        <v>1.403</v>
      </c>
      <c r="U81" s="63">
        <v>1592</v>
      </c>
      <c r="V81" s="64">
        <v>0.1678</v>
      </c>
      <c r="W81" s="64">
        <v>0.1061</v>
      </c>
      <c r="X81" s="158">
        <f t="shared" ref="X81:X118" si="51">((O81-E81)/E81)</f>
        <v>-2.4201606670066918E-3</v>
      </c>
      <c r="Y81" s="158">
        <f t="shared" ref="Y81:Y118" si="52">((T81-J81)/J81)</f>
        <v>3.2177332856631736E-3</v>
      </c>
      <c r="Z81" s="158">
        <f t="shared" ref="Z81:Z118" si="53">((U81-K81)/K81)</f>
        <v>1.015228426395939E-2</v>
      </c>
      <c r="AA81" s="156">
        <f t="shared" ref="AA81:AA118" si="54">V81-L81</f>
        <v>-5.0000000000000044E-4</v>
      </c>
      <c r="AB81" s="157">
        <f t="shared" ref="AB81:AB118" si="55">W81-M81</f>
        <v>2.6999999999999941E-3</v>
      </c>
    </row>
    <row r="82" spans="1:28" ht="15.6" customHeight="1">
      <c r="A82" s="206">
        <v>71</v>
      </c>
      <c r="B82" s="55" t="s">
        <v>124</v>
      </c>
      <c r="C82" s="56" t="s">
        <v>23</v>
      </c>
      <c r="D82" s="142" t="s">
        <v>329</v>
      </c>
      <c r="E82" s="67">
        <v>693129176.61000001</v>
      </c>
      <c r="F82" s="62">
        <f>(E82/$E$118)</f>
        <v>3.0836137982824287E-3</v>
      </c>
      <c r="G82" s="142" t="s">
        <v>329</v>
      </c>
      <c r="H82" s="87">
        <v>1.2591000000000001</v>
      </c>
      <c r="I82" s="142" t="s">
        <v>329</v>
      </c>
      <c r="J82" s="87">
        <v>1.2591000000000001</v>
      </c>
      <c r="K82" s="63">
        <v>893</v>
      </c>
      <c r="L82" s="64">
        <v>9.1300000000000006E-2</v>
      </c>
      <c r="M82" s="64">
        <v>0.12920000000000001</v>
      </c>
      <c r="N82" s="142" t="s">
        <v>329</v>
      </c>
      <c r="O82" s="67">
        <v>696110310.52999997</v>
      </c>
      <c r="P82" s="62">
        <f t="shared" si="50"/>
        <v>2.9562519001697582E-3</v>
      </c>
      <c r="Q82" s="142" t="s">
        <v>329</v>
      </c>
      <c r="R82" s="87">
        <v>1.2625</v>
      </c>
      <c r="S82" s="142" t="s">
        <v>329</v>
      </c>
      <c r="T82" s="87">
        <v>1.2625</v>
      </c>
      <c r="U82" s="63">
        <v>903</v>
      </c>
      <c r="V82" s="64">
        <v>0.14080000000000001</v>
      </c>
      <c r="W82" s="64">
        <v>0.13</v>
      </c>
      <c r="X82" s="158">
        <f t="shared" si="51"/>
        <v>4.3009788371343354E-3</v>
      </c>
      <c r="Y82" s="158">
        <f t="shared" si="52"/>
        <v>2.7003415137795625E-3</v>
      </c>
      <c r="Z82" s="158">
        <f t="shared" si="53"/>
        <v>1.1198208286674132E-2</v>
      </c>
      <c r="AA82" s="156">
        <f t="shared" si="54"/>
        <v>4.9500000000000002E-2</v>
      </c>
      <c r="AB82" s="157">
        <f t="shared" si="55"/>
        <v>7.9999999999999516E-4</v>
      </c>
    </row>
    <row r="83" spans="1:28" ht="16.2" customHeight="1">
      <c r="A83" s="206">
        <v>72</v>
      </c>
      <c r="B83" s="55" t="s">
        <v>125</v>
      </c>
      <c r="C83" s="56" t="s">
        <v>60</v>
      </c>
      <c r="D83" s="142" t="s">
        <v>329</v>
      </c>
      <c r="E83" s="67">
        <v>318806993.81999999</v>
      </c>
      <c r="F83" s="62">
        <f>(E83/$E$118)</f>
        <v>1.4183180831319081E-3</v>
      </c>
      <c r="G83" s="142" t="s">
        <v>329</v>
      </c>
      <c r="H83" s="66">
        <v>1254.05</v>
      </c>
      <c r="I83" s="142" t="s">
        <v>329</v>
      </c>
      <c r="J83" s="66">
        <v>1254.05</v>
      </c>
      <c r="K83" s="63">
        <v>287</v>
      </c>
      <c r="L83" s="64">
        <v>2.5999999999999999E-3</v>
      </c>
      <c r="M83" s="64">
        <v>4.4600000000000001E-2</v>
      </c>
      <c r="N83" s="142" t="s">
        <v>329</v>
      </c>
      <c r="O83" s="67">
        <v>322123354.64999998</v>
      </c>
      <c r="P83" s="62">
        <f t="shared" si="50"/>
        <v>1.3679983831126998E-3</v>
      </c>
      <c r="Q83" s="142" t="s">
        <v>329</v>
      </c>
      <c r="R83" s="66">
        <v>1252.0899999999999</v>
      </c>
      <c r="S83" s="142" t="s">
        <v>329</v>
      </c>
      <c r="T83" s="66">
        <v>1252.0899999999999</v>
      </c>
      <c r="U83" s="63">
        <v>287</v>
      </c>
      <c r="V83" s="64">
        <v>6.3E-3</v>
      </c>
      <c r="W83" s="64">
        <v>3.9899999999999998E-2</v>
      </c>
      <c r="X83" s="158">
        <f t="shared" si="51"/>
        <v>1.040240927673129E-2</v>
      </c>
      <c r="Y83" s="158">
        <f t="shared" si="52"/>
        <v>-1.5629360870778968E-3</v>
      </c>
      <c r="Z83" s="158">
        <f t="shared" si="53"/>
        <v>0</v>
      </c>
      <c r="AA83" s="156">
        <f t="shared" si="54"/>
        <v>3.7000000000000002E-3</v>
      </c>
      <c r="AB83" s="157">
        <f t="shared" si="55"/>
        <v>-4.7000000000000028E-3</v>
      </c>
    </row>
    <row r="84" spans="1:28" ht="15" customHeight="1">
      <c r="A84" s="206">
        <v>73</v>
      </c>
      <c r="B84" s="55" t="s">
        <v>126</v>
      </c>
      <c r="C84" s="56" t="s">
        <v>27</v>
      </c>
      <c r="D84" s="142" t="s">
        <v>329</v>
      </c>
      <c r="E84" s="67">
        <v>1853830027.72</v>
      </c>
      <c r="F84" s="62">
        <f>(E84/$O$118)</f>
        <v>7.8728736798430454E-3</v>
      </c>
      <c r="G84" s="142" t="s">
        <v>329</v>
      </c>
      <c r="H84" s="66">
        <v>1.1396999999999999</v>
      </c>
      <c r="I84" s="142" t="s">
        <v>329</v>
      </c>
      <c r="J84" s="66">
        <v>1.1396999999999999</v>
      </c>
      <c r="K84" s="63">
        <v>1081</v>
      </c>
      <c r="L84" s="64">
        <v>4.1999999999999997E-3</v>
      </c>
      <c r="M84" s="64">
        <v>5.1400000000000001E-2</v>
      </c>
      <c r="N84" s="142" t="s">
        <v>329</v>
      </c>
      <c r="O84" s="67">
        <v>1858161982.2</v>
      </c>
      <c r="P84" s="62">
        <f t="shared" si="50"/>
        <v>7.8912706903013427E-3</v>
      </c>
      <c r="Q84" s="142" t="s">
        <v>329</v>
      </c>
      <c r="R84" s="66">
        <v>1.0642</v>
      </c>
      <c r="S84" s="142" t="s">
        <v>329</v>
      </c>
      <c r="T84" s="66">
        <v>1.0642</v>
      </c>
      <c r="U84" s="63">
        <v>1081</v>
      </c>
      <c r="V84" s="64">
        <v>0.1361</v>
      </c>
      <c r="W84" s="64">
        <v>5.7200000000000001E-2</v>
      </c>
      <c r="X84" s="158">
        <f t="shared" si="51"/>
        <v>2.3367592579821516E-3</v>
      </c>
      <c r="Y84" s="158">
        <f t="shared" si="52"/>
        <v>-6.6245503202597089E-2</v>
      </c>
      <c r="Z84" s="158">
        <f t="shared" si="53"/>
        <v>0</v>
      </c>
      <c r="AA84" s="156">
        <f t="shared" si="54"/>
        <v>0.13189999999999999</v>
      </c>
      <c r="AB84" s="157">
        <f t="shared" si="55"/>
        <v>5.7999999999999996E-3</v>
      </c>
    </row>
    <row r="85" spans="1:28" ht="15.6" customHeight="1">
      <c r="A85" s="206">
        <v>74</v>
      </c>
      <c r="B85" s="55" t="s">
        <v>127</v>
      </c>
      <c r="C85" s="56" t="s">
        <v>128</v>
      </c>
      <c r="D85" s="142" t="s">
        <v>329</v>
      </c>
      <c r="E85" s="67">
        <v>513923952.38999999</v>
      </c>
      <c r="F85" s="62">
        <f t="shared" ref="F85:F103" si="56">(E85/$E$118)</f>
        <v>2.2863602403932945E-3</v>
      </c>
      <c r="G85" s="142" t="s">
        <v>329</v>
      </c>
      <c r="H85" s="66">
        <v>2.9268999999999998</v>
      </c>
      <c r="I85" s="142" t="s">
        <v>329</v>
      </c>
      <c r="J85" s="66">
        <v>2.9268999999999998</v>
      </c>
      <c r="K85" s="63">
        <v>1390</v>
      </c>
      <c r="L85" s="64">
        <v>0.12529999999999999</v>
      </c>
      <c r="M85" s="64">
        <v>0.13550000000000001</v>
      </c>
      <c r="N85" s="142" t="s">
        <v>329</v>
      </c>
      <c r="O85" s="67">
        <v>513061253.55000001</v>
      </c>
      <c r="P85" s="62">
        <f t="shared" si="50"/>
        <v>2.1788763688270342E-3</v>
      </c>
      <c r="Q85" s="142" t="s">
        <v>329</v>
      </c>
      <c r="R85" s="66">
        <v>2.927</v>
      </c>
      <c r="S85" s="142" t="s">
        <v>329</v>
      </c>
      <c r="T85" s="66">
        <v>2.927</v>
      </c>
      <c r="U85" s="63">
        <v>1390</v>
      </c>
      <c r="V85" s="64">
        <v>1.8E-3</v>
      </c>
      <c r="W85" s="64">
        <v>0.13550000000000001</v>
      </c>
      <c r="X85" s="158">
        <f t="shared" si="51"/>
        <v>-1.6786507731114662E-3</v>
      </c>
      <c r="Y85" s="158">
        <f t="shared" si="52"/>
        <v>3.4165840992248127E-5</v>
      </c>
      <c r="Z85" s="158">
        <f t="shared" si="53"/>
        <v>0</v>
      </c>
      <c r="AA85" s="156">
        <f t="shared" si="54"/>
        <v>-0.1235</v>
      </c>
      <c r="AB85" s="157">
        <f t="shared" si="55"/>
        <v>0</v>
      </c>
    </row>
    <row r="86" spans="1:28" ht="15" customHeight="1">
      <c r="A86" s="206">
        <v>75</v>
      </c>
      <c r="B86" s="56" t="s">
        <v>129</v>
      </c>
      <c r="C86" s="56" t="s">
        <v>130</v>
      </c>
      <c r="D86" s="142" t="s">
        <v>329</v>
      </c>
      <c r="E86" s="67">
        <v>4712673614.4899998</v>
      </c>
      <c r="F86" s="62">
        <f t="shared" si="56"/>
        <v>2.0965883236249316E-2</v>
      </c>
      <c r="G86" s="142" t="s">
        <v>329</v>
      </c>
      <c r="H86" s="66">
        <v>1234.93</v>
      </c>
      <c r="I86" s="142" t="s">
        <v>329</v>
      </c>
      <c r="J86" s="66">
        <v>1234.93</v>
      </c>
      <c r="K86" s="63">
        <v>390</v>
      </c>
      <c r="L86" s="64">
        <v>1.99E-3</v>
      </c>
      <c r="M86" s="64">
        <v>0.10359</v>
      </c>
      <c r="N86" s="142" t="s">
        <v>329</v>
      </c>
      <c r="O86" s="67">
        <v>4850945256.2299995</v>
      </c>
      <c r="P86" s="62">
        <f t="shared" si="50"/>
        <v>2.0601068414617858E-2</v>
      </c>
      <c r="Q86" s="142" t="s">
        <v>329</v>
      </c>
      <c r="R86" s="66">
        <v>1239.01</v>
      </c>
      <c r="S86" s="142" t="s">
        <v>329</v>
      </c>
      <c r="T86" s="66">
        <v>1239.01</v>
      </c>
      <c r="U86" s="63">
        <v>401</v>
      </c>
      <c r="V86" s="64">
        <v>2.47E-3</v>
      </c>
      <c r="W86" s="64">
        <v>0.10723000000000001</v>
      </c>
      <c r="X86" s="158">
        <f t="shared" ref="X86" si="57">((O86-E86)/E86)</f>
        <v>2.9340381501247539E-2</v>
      </c>
      <c r="Y86" s="158">
        <f t="shared" si="52"/>
        <v>3.3038309863716382E-3</v>
      </c>
      <c r="Z86" s="158">
        <f t="shared" ref="Z86" si="58">((U86-K86)/K86)</f>
        <v>2.8205128205128206E-2</v>
      </c>
      <c r="AA86" s="156">
        <f t="shared" si="54"/>
        <v>4.7999999999999996E-4</v>
      </c>
      <c r="AB86" s="157">
        <f t="shared" si="55"/>
        <v>3.6400000000000043E-3</v>
      </c>
    </row>
    <row r="87" spans="1:28" ht="16.2" customHeight="1">
      <c r="A87" s="206">
        <v>76</v>
      </c>
      <c r="B87" s="55" t="s">
        <v>131</v>
      </c>
      <c r="C87" s="56" t="s">
        <v>65</v>
      </c>
      <c r="D87" s="142" t="s">
        <v>329</v>
      </c>
      <c r="E87" s="67">
        <v>195513357.21000001</v>
      </c>
      <c r="F87" s="62">
        <f t="shared" si="56"/>
        <v>8.698056673792303E-4</v>
      </c>
      <c r="G87" s="142" t="s">
        <v>329</v>
      </c>
      <c r="H87" s="66">
        <v>11.552</v>
      </c>
      <c r="I87" s="142" t="s">
        <v>329</v>
      </c>
      <c r="J87" s="66">
        <v>11.608000000000001</v>
      </c>
      <c r="K87" s="63">
        <v>47</v>
      </c>
      <c r="L87" s="64">
        <v>6.96E-3</v>
      </c>
      <c r="M87" s="64">
        <v>9.7900000000000001E-2</v>
      </c>
      <c r="N87" s="142" t="s">
        <v>329</v>
      </c>
      <c r="O87" s="67">
        <v>196819749.16</v>
      </c>
      <c r="P87" s="62">
        <f t="shared" si="50"/>
        <v>8.3585711724651931E-4</v>
      </c>
      <c r="Q87" s="142" t="s">
        <v>329</v>
      </c>
      <c r="R87" s="66">
        <v>11.628</v>
      </c>
      <c r="S87" s="142" t="s">
        <v>329</v>
      </c>
      <c r="T87" s="66">
        <v>11.666</v>
      </c>
      <c r="U87" s="63">
        <v>47</v>
      </c>
      <c r="V87" s="64">
        <v>5.7400000000000003E-3</v>
      </c>
      <c r="W87" s="64">
        <v>0.1062</v>
      </c>
      <c r="X87" s="158">
        <f t="shared" si="51"/>
        <v>6.6818552381400645E-3</v>
      </c>
      <c r="Y87" s="158">
        <f t="shared" si="52"/>
        <v>4.9965541006202468E-3</v>
      </c>
      <c r="Z87" s="158">
        <f t="shared" si="53"/>
        <v>0</v>
      </c>
      <c r="AA87" s="156">
        <f t="shared" si="54"/>
        <v>-1.2199999999999997E-3</v>
      </c>
      <c r="AB87" s="157">
        <f t="shared" si="55"/>
        <v>8.3000000000000018E-3</v>
      </c>
    </row>
    <row r="88" spans="1:28" ht="16.2" customHeight="1">
      <c r="A88" s="206">
        <v>77</v>
      </c>
      <c r="B88" s="55" t="s">
        <v>132</v>
      </c>
      <c r="C88" s="56" t="s">
        <v>67</v>
      </c>
      <c r="D88" s="142" t="s">
        <v>329</v>
      </c>
      <c r="E88" s="67">
        <v>2185507811.6500001</v>
      </c>
      <c r="F88" s="62">
        <f t="shared" si="56"/>
        <v>9.7229524765048633E-3</v>
      </c>
      <c r="G88" s="142" t="s">
        <v>329</v>
      </c>
      <c r="H88" s="67">
        <v>4957.4399999999996</v>
      </c>
      <c r="I88" s="142" t="s">
        <v>329</v>
      </c>
      <c r="J88" s="67">
        <v>4957.4399999999996</v>
      </c>
      <c r="K88" s="63">
        <v>1224</v>
      </c>
      <c r="L88" s="64">
        <v>-0.88749999999999996</v>
      </c>
      <c r="M88" s="64">
        <v>8.5500000000000007E-2</v>
      </c>
      <c r="N88" s="142" t="s">
        <v>329</v>
      </c>
      <c r="O88" s="67">
        <v>2184944954.23</v>
      </c>
      <c r="P88" s="62">
        <f t="shared" si="50"/>
        <v>9.2790576076812632E-3</v>
      </c>
      <c r="Q88" s="142" t="s">
        <v>329</v>
      </c>
      <c r="R88" s="67">
        <v>4971.5200000000004</v>
      </c>
      <c r="S88" s="142" t="s">
        <v>329</v>
      </c>
      <c r="T88" s="67">
        <v>4971.5200000000004</v>
      </c>
      <c r="U88" s="63">
        <v>1223</v>
      </c>
      <c r="V88" s="64">
        <v>0.14810000000000001</v>
      </c>
      <c r="W88" s="64">
        <v>8.7999999999999995E-2</v>
      </c>
      <c r="X88" s="158">
        <f t="shared" si="51"/>
        <v>-2.5754079532442118E-4</v>
      </c>
      <c r="Y88" s="158">
        <f t="shared" si="52"/>
        <v>2.8401755744902283E-3</v>
      </c>
      <c r="Z88" s="158">
        <f t="shared" si="53"/>
        <v>-8.1699346405228761E-4</v>
      </c>
      <c r="AA88" s="156">
        <f t="shared" si="54"/>
        <v>1.0356000000000001</v>
      </c>
      <c r="AB88" s="157">
        <f t="shared" si="55"/>
        <v>2.4999999999999883E-3</v>
      </c>
    </row>
    <row r="89" spans="1:28" ht="15.6" customHeight="1">
      <c r="A89" s="206">
        <v>78</v>
      </c>
      <c r="B89" s="55" t="s">
        <v>133</v>
      </c>
      <c r="C89" s="56" t="s">
        <v>69</v>
      </c>
      <c r="D89" s="142" t="s">
        <v>329</v>
      </c>
      <c r="E89" s="67">
        <v>369718101.27999997</v>
      </c>
      <c r="F89" s="62">
        <f t="shared" si="56"/>
        <v>1.644812939714505E-3</v>
      </c>
      <c r="G89" s="142" t="s">
        <v>329</v>
      </c>
      <c r="H89" s="87">
        <v>114.35</v>
      </c>
      <c r="I89" s="142" t="s">
        <v>329</v>
      </c>
      <c r="J89" s="87">
        <v>114.35</v>
      </c>
      <c r="K89" s="63">
        <v>99</v>
      </c>
      <c r="L89" s="64">
        <v>2.3E-3</v>
      </c>
      <c r="M89" s="64">
        <v>0.12570000000000001</v>
      </c>
      <c r="N89" s="142" t="s">
        <v>329</v>
      </c>
      <c r="O89" s="67">
        <v>370931239.88999999</v>
      </c>
      <c r="P89" s="62">
        <f t="shared" si="50"/>
        <v>1.5752764557132337E-3</v>
      </c>
      <c r="Q89" s="142" t="s">
        <v>329</v>
      </c>
      <c r="R89" s="87">
        <v>114.61</v>
      </c>
      <c r="S89" s="142" t="s">
        <v>329</v>
      </c>
      <c r="T89" s="87">
        <v>114.61</v>
      </c>
      <c r="U89" s="63">
        <v>101</v>
      </c>
      <c r="V89" s="64">
        <v>2.3E-3</v>
      </c>
      <c r="W89" s="64">
        <v>0.12570000000000001</v>
      </c>
      <c r="X89" s="158">
        <f t="shared" si="51"/>
        <v>3.2812529486655122E-3</v>
      </c>
      <c r="Y89" s="158">
        <f t="shared" si="52"/>
        <v>2.2737210319195901E-3</v>
      </c>
      <c r="Z89" s="158">
        <f t="shared" si="53"/>
        <v>2.0202020202020204E-2</v>
      </c>
      <c r="AA89" s="156">
        <f t="shared" si="54"/>
        <v>0</v>
      </c>
      <c r="AB89" s="157">
        <f t="shared" si="55"/>
        <v>0</v>
      </c>
    </row>
    <row r="90" spans="1:28" ht="13.5" customHeight="1">
      <c r="A90" s="206">
        <v>79</v>
      </c>
      <c r="B90" s="55" t="s">
        <v>134</v>
      </c>
      <c r="C90" s="56" t="s">
        <v>71</v>
      </c>
      <c r="D90" s="142" t="s">
        <v>329</v>
      </c>
      <c r="E90" s="67">
        <v>1038673463.0599999</v>
      </c>
      <c r="F90" s="62">
        <f t="shared" si="56"/>
        <v>4.6208815480346666E-3</v>
      </c>
      <c r="G90" s="142" t="s">
        <v>329</v>
      </c>
      <c r="H90" s="87">
        <v>1.52</v>
      </c>
      <c r="I90" s="142" t="s">
        <v>329</v>
      </c>
      <c r="J90" s="87">
        <v>1.52</v>
      </c>
      <c r="K90" s="63">
        <v>3076</v>
      </c>
      <c r="L90" s="64">
        <v>-1.5800000000000002E-2</v>
      </c>
      <c r="M90" s="64">
        <v>3.78E-2</v>
      </c>
      <c r="N90" s="142" t="s">
        <v>329</v>
      </c>
      <c r="O90" s="67">
        <v>1041964833.22</v>
      </c>
      <c r="P90" s="62">
        <f t="shared" si="50"/>
        <v>4.4250321702194347E-3</v>
      </c>
      <c r="Q90" s="142" t="s">
        <v>329</v>
      </c>
      <c r="R90" s="87">
        <v>1.52</v>
      </c>
      <c r="S90" s="142" t="s">
        <v>329</v>
      </c>
      <c r="T90" s="87">
        <v>1.52</v>
      </c>
      <c r="U90" s="63">
        <v>3110</v>
      </c>
      <c r="V90" s="64">
        <v>3.8E-3</v>
      </c>
      <c r="W90" s="64">
        <v>4.1700000000000001E-2</v>
      </c>
      <c r="X90" s="158">
        <f t="shared" si="51"/>
        <v>3.1688208826511212E-3</v>
      </c>
      <c r="Y90" s="158">
        <f t="shared" si="52"/>
        <v>0</v>
      </c>
      <c r="Z90" s="158">
        <f t="shared" si="53"/>
        <v>1.1053315994798439E-2</v>
      </c>
      <c r="AA90" s="156">
        <f t="shared" si="54"/>
        <v>1.9600000000000003E-2</v>
      </c>
      <c r="AB90" s="157">
        <f t="shared" si="55"/>
        <v>3.9000000000000007E-3</v>
      </c>
    </row>
    <row r="91" spans="1:28" ht="15" customHeight="1">
      <c r="A91" s="206">
        <v>80</v>
      </c>
      <c r="B91" s="55" t="s">
        <v>135</v>
      </c>
      <c r="C91" s="56" t="s">
        <v>71</v>
      </c>
      <c r="D91" s="142" t="s">
        <v>329</v>
      </c>
      <c r="E91" s="67">
        <v>168255198.90000001</v>
      </c>
      <c r="F91" s="62">
        <f t="shared" si="56"/>
        <v>7.4853875795323022E-4</v>
      </c>
      <c r="G91" s="142" t="s">
        <v>329</v>
      </c>
      <c r="H91" s="87">
        <v>1.0286999999999999</v>
      </c>
      <c r="I91" s="142" t="s">
        <v>329</v>
      </c>
      <c r="J91" s="87">
        <v>1.0286999999999999</v>
      </c>
      <c r="K91" s="63">
        <v>103</v>
      </c>
      <c r="L91" s="64">
        <v>-4.8999999999999998E-3</v>
      </c>
      <c r="M91" s="64">
        <v>5.16E-2</v>
      </c>
      <c r="N91" s="142" t="s">
        <v>329</v>
      </c>
      <c r="O91" s="67">
        <v>183259504.62</v>
      </c>
      <c r="P91" s="62">
        <f t="shared" si="50"/>
        <v>7.7826926359496221E-4</v>
      </c>
      <c r="Q91" s="142" t="s">
        <v>329</v>
      </c>
      <c r="R91" s="87">
        <v>1.0343</v>
      </c>
      <c r="S91" s="142" t="s">
        <v>329</v>
      </c>
      <c r="T91" s="87">
        <v>1.0343</v>
      </c>
      <c r="U91" s="63">
        <v>154</v>
      </c>
      <c r="V91" s="64">
        <v>5.4000000000000003E-3</v>
      </c>
      <c r="W91" s="64">
        <v>5.7299999999999997E-2</v>
      </c>
      <c r="X91" s="158">
        <f t="shared" ref="X91" si="59">((O91-E91)/E91)</f>
        <v>8.9175881744477839E-2</v>
      </c>
      <c r="Y91" s="158">
        <f t="shared" ref="Y91" si="60">((T91-J91)/J91)</f>
        <v>5.4437639739477496E-3</v>
      </c>
      <c r="Z91" s="158">
        <f t="shared" ref="Z91" si="61">((U91-K91)/K91)</f>
        <v>0.49514563106796117</v>
      </c>
      <c r="AA91" s="156">
        <f t="shared" ref="AA91" si="62">V91-L91</f>
        <v>1.03E-2</v>
      </c>
      <c r="AB91" s="157">
        <f t="shared" ref="AB91" si="63">W91-M91</f>
        <v>5.6999999999999967E-3</v>
      </c>
    </row>
    <row r="92" spans="1:28" ht="15.6" customHeight="1">
      <c r="A92" s="206">
        <v>81</v>
      </c>
      <c r="B92" s="55" t="s">
        <v>136</v>
      </c>
      <c r="C92" s="56" t="s">
        <v>29</v>
      </c>
      <c r="D92" s="142" t="s">
        <v>329</v>
      </c>
      <c r="E92" s="67">
        <v>340871611.67000002</v>
      </c>
      <c r="F92" s="62">
        <f t="shared" si="56"/>
        <v>1.5164798145264184E-3</v>
      </c>
      <c r="G92" s="142" t="s">
        <v>329</v>
      </c>
      <c r="H92" s="87">
        <v>150.63659999999999</v>
      </c>
      <c r="I92" s="142" t="s">
        <v>329</v>
      </c>
      <c r="J92" s="87">
        <v>150.63659999999999</v>
      </c>
      <c r="K92" s="63">
        <v>523</v>
      </c>
      <c r="L92" s="64">
        <v>3.28E-4</v>
      </c>
      <c r="M92" s="64">
        <v>0.1086</v>
      </c>
      <c r="N92" s="142" t="s">
        <v>329</v>
      </c>
      <c r="O92" s="67">
        <v>345070828.00999999</v>
      </c>
      <c r="P92" s="62">
        <f t="shared" si="50"/>
        <v>1.4654520635113489E-3</v>
      </c>
      <c r="Q92" s="142" t="s">
        <v>329</v>
      </c>
      <c r="R92" s="87">
        <v>150.9504</v>
      </c>
      <c r="S92" s="142" t="s">
        <v>329</v>
      </c>
      <c r="T92" s="87">
        <v>150.9504</v>
      </c>
      <c r="U92" s="63">
        <v>534</v>
      </c>
      <c r="V92" s="64">
        <v>3.28E-4</v>
      </c>
      <c r="W92" s="64">
        <v>0.1091</v>
      </c>
      <c r="X92" s="158">
        <f t="shared" si="51"/>
        <v>1.231905560990295E-2</v>
      </c>
      <c r="Y92" s="158">
        <f t="shared" si="52"/>
        <v>2.083159072894733E-3</v>
      </c>
      <c r="Z92" s="158">
        <f t="shared" si="53"/>
        <v>2.1032504780114723E-2</v>
      </c>
      <c r="AA92" s="156">
        <f t="shared" si="54"/>
        <v>0</v>
      </c>
      <c r="AB92" s="157">
        <f t="shared" si="55"/>
        <v>5.0000000000000044E-4</v>
      </c>
    </row>
    <row r="93" spans="1:28" ht="15" customHeight="1">
      <c r="A93" s="206">
        <v>82</v>
      </c>
      <c r="B93" s="55" t="s">
        <v>137</v>
      </c>
      <c r="C93" s="56" t="s">
        <v>73</v>
      </c>
      <c r="D93" s="142" t="s">
        <v>329</v>
      </c>
      <c r="E93" s="67">
        <v>3315661929.8800001</v>
      </c>
      <c r="F93" s="62">
        <f t="shared" si="56"/>
        <v>1.4750815897583451E-2</v>
      </c>
      <c r="G93" s="142" t="s">
        <v>329</v>
      </c>
      <c r="H93" s="66">
        <v>1402.17</v>
      </c>
      <c r="I93" s="142" t="s">
        <v>329</v>
      </c>
      <c r="J93" s="66">
        <v>1402.17</v>
      </c>
      <c r="K93" s="63">
        <v>331</v>
      </c>
      <c r="L93" s="64">
        <v>3.5999999999999999E-3</v>
      </c>
      <c r="M93" s="64">
        <v>0.16919999999999999</v>
      </c>
      <c r="N93" s="142" t="s">
        <v>329</v>
      </c>
      <c r="O93" s="67">
        <v>3320895536.48</v>
      </c>
      <c r="P93" s="62">
        <f t="shared" si="50"/>
        <v>1.4103229892557627E-2</v>
      </c>
      <c r="Q93" s="142" t="s">
        <v>329</v>
      </c>
      <c r="R93" s="66">
        <v>1406.25</v>
      </c>
      <c r="S93" s="142" t="s">
        <v>329</v>
      </c>
      <c r="T93" s="66">
        <v>1406.25</v>
      </c>
      <c r="U93" s="63">
        <v>331</v>
      </c>
      <c r="V93" s="64">
        <v>2.8999999999999998E-3</v>
      </c>
      <c r="W93" s="64">
        <v>0.16919999999999999</v>
      </c>
      <c r="X93" s="158">
        <f t="shared" si="51"/>
        <v>1.5784500080770654E-3</v>
      </c>
      <c r="Y93" s="158">
        <f t="shared" si="52"/>
        <v>2.9097755621643076E-3</v>
      </c>
      <c r="Z93" s="158">
        <f t="shared" si="53"/>
        <v>0</v>
      </c>
      <c r="AA93" s="156">
        <f t="shared" si="54"/>
        <v>-7.000000000000001E-4</v>
      </c>
      <c r="AB93" s="157">
        <f t="shared" si="55"/>
        <v>0</v>
      </c>
    </row>
    <row r="94" spans="1:28" ht="14.4" customHeight="1">
      <c r="A94" s="206">
        <v>83</v>
      </c>
      <c r="B94" s="55" t="s">
        <v>138</v>
      </c>
      <c r="C94" s="56" t="s">
        <v>75</v>
      </c>
      <c r="D94" s="142" t="s">
        <v>329</v>
      </c>
      <c r="E94" s="67">
        <v>149181864.33000001</v>
      </c>
      <c r="F94" s="62">
        <f t="shared" si="56"/>
        <v>6.6368473702315724E-4</v>
      </c>
      <c r="G94" s="142" t="s">
        <v>329</v>
      </c>
      <c r="H94" s="66">
        <v>1018.37</v>
      </c>
      <c r="I94" s="142" t="s">
        <v>329</v>
      </c>
      <c r="J94" s="66">
        <v>1036.3599999999999</v>
      </c>
      <c r="K94" s="63">
        <v>70</v>
      </c>
      <c r="L94" s="64">
        <v>1.2999999999999999E-3</v>
      </c>
      <c r="M94" s="64">
        <v>4.8800000000000003E-2</v>
      </c>
      <c r="N94" s="142" t="s">
        <v>329</v>
      </c>
      <c r="O94" s="67">
        <v>148333237.18000001</v>
      </c>
      <c r="P94" s="62">
        <f t="shared" si="50"/>
        <v>6.2994385751568053E-4</v>
      </c>
      <c r="Q94" s="142" t="s">
        <v>329</v>
      </c>
      <c r="R94" s="66">
        <v>1018.37</v>
      </c>
      <c r="S94" s="142" t="s">
        <v>329</v>
      </c>
      <c r="T94" s="66">
        <v>1036.3599999999999</v>
      </c>
      <c r="U94" s="63">
        <v>70</v>
      </c>
      <c r="V94" s="64">
        <v>0</v>
      </c>
      <c r="W94" s="64">
        <v>4.8800000000000003E-2</v>
      </c>
      <c r="X94" s="158">
        <f t="shared" si="51"/>
        <v>-5.6885409886203555E-3</v>
      </c>
      <c r="Y94" s="158">
        <f t="shared" si="52"/>
        <v>0</v>
      </c>
      <c r="Z94" s="158">
        <f t="shared" si="53"/>
        <v>0</v>
      </c>
      <c r="AA94" s="156">
        <f t="shared" si="54"/>
        <v>-1.2999999999999999E-3</v>
      </c>
      <c r="AB94" s="157">
        <f t="shared" si="55"/>
        <v>0</v>
      </c>
    </row>
    <row r="95" spans="1:28" ht="15" customHeight="1">
      <c r="A95" s="206">
        <v>84</v>
      </c>
      <c r="B95" s="55" t="s">
        <v>139</v>
      </c>
      <c r="C95" s="56" t="s">
        <v>78</v>
      </c>
      <c r="D95" s="142" t="s">
        <v>329</v>
      </c>
      <c r="E95" s="67">
        <v>771846950.14999998</v>
      </c>
      <c r="F95" s="62">
        <f t="shared" si="56"/>
        <v>3.4338157820529001E-3</v>
      </c>
      <c r="G95" s="142" t="s">
        <v>329</v>
      </c>
      <c r="H95" s="88">
        <v>1.2</v>
      </c>
      <c r="I95" s="142" t="s">
        <v>329</v>
      </c>
      <c r="J95" s="88">
        <v>1.2</v>
      </c>
      <c r="K95" s="63">
        <v>70</v>
      </c>
      <c r="L95" s="64">
        <v>1.2999999999999999E-3</v>
      </c>
      <c r="M95" s="64">
        <v>0.13869999999999999</v>
      </c>
      <c r="N95" s="142" t="s">
        <v>329</v>
      </c>
      <c r="O95" s="67">
        <v>788647970.64999998</v>
      </c>
      <c r="P95" s="62">
        <f t="shared" si="50"/>
        <v>3.3492422487234642E-3</v>
      </c>
      <c r="Q95" s="142" t="s">
        <v>329</v>
      </c>
      <c r="R95" s="88">
        <v>1.21</v>
      </c>
      <c r="S95" s="142" t="s">
        <v>329</v>
      </c>
      <c r="T95" s="88">
        <v>1.21</v>
      </c>
      <c r="U95" s="63">
        <v>70</v>
      </c>
      <c r="V95" s="64">
        <v>1.6999999999999999E-3</v>
      </c>
      <c r="W95" s="64">
        <v>0.1384</v>
      </c>
      <c r="X95" s="158">
        <f t="shared" si="51"/>
        <v>2.1767295312542085E-2</v>
      </c>
      <c r="Y95" s="158">
        <f t="shared" si="52"/>
        <v>8.3333333333333419E-3</v>
      </c>
      <c r="Z95" s="158">
        <f t="shared" si="53"/>
        <v>0</v>
      </c>
      <c r="AA95" s="156">
        <f t="shared" si="54"/>
        <v>3.9999999999999996E-4</v>
      </c>
      <c r="AB95" s="157">
        <f t="shared" si="55"/>
        <v>-2.9999999999999472E-4</v>
      </c>
    </row>
    <row r="96" spans="1:28" ht="15" customHeight="1">
      <c r="A96" s="206">
        <v>85</v>
      </c>
      <c r="B96" s="55" t="s">
        <v>316</v>
      </c>
      <c r="C96" s="56" t="s">
        <v>38</v>
      </c>
      <c r="D96" s="142" t="s">
        <v>329</v>
      </c>
      <c r="E96" s="67">
        <v>1054074062.4400001</v>
      </c>
      <c r="F96" s="62">
        <f t="shared" si="56"/>
        <v>4.6893961948747441E-3</v>
      </c>
      <c r="G96" s="142" t="s">
        <v>329</v>
      </c>
      <c r="H96" s="87">
        <v>3.89</v>
      </c>
      <c r="I96" s="142" t="s">
        <v>329</v>
      </c>
      <c r="J96" s="87">
        <v>3.91</v>
      </c>
      <c r="K96" s="81">
        <v>816</v>
      </c>
      <c r="L96" s="82">
        <v>1.2999999999999999E-2</v>
      </c>
      <c r="M96" s="82">
        <v>0.15160000000000001</v>
      </c>
      <c r="N96" s="142" t="s">
        <v>329</v>
      </c>
      <c r="O96" s="67">
        <v>1051193885.71</v>
      </c>
      <c r="P96" s="62">
        <f t="shared" si="50"/>
        <v>4.4642262513120649E-3</v>
      </c>
      <c r="Q96" s="142" t="s">
        <v>329</v>
      </c>
      <c r="R96" s="87">
        <v>3.9</v>
      </c>
      <c r="S96" s="142" t="s">
        <v>329</v>
      </c>
      <c r="T96" s="87">
        <v>3.93</v>
      </c>
      <c r="U96" s="81">
        <v>816</v>
      </c>
      <c r="V96" s="82">
        <v>5.0000000000000001E-4</v>
      </c>
      <c r="W96" s="82">
        <v>0.15359999999999999</v>
      </c>
      <c r="X96" s="158">
        <f>((O96-E96)/E96)</f>
        <v>-2.7324234915077081E-3</v>
      </c>
      <c r="Y96" s="158">
        <f>((T96-J96)/J96)</f>
        <v>5.1150895140665009E-3</v>
      </c>
      <c r="Z96" s="158">
        <f>((U96-K96)/K96)</f>
        <v>0</v>
      </c>
      <c r="AA96" s="156">
        <f>V96-L96</f>
        <v>-1.2499999999999999E-2</v>
      </c>
      <c r="AB96" s="157">
        <f>W96-M96</f>
        <v>1.999999999999974E-3</v>
      </c>
    </row>
    <row r="97" spans="1:28" ht="14.4" customHeight="1">
      <c r="A97" s="206">
        <v>86</v>
      </c>
      <c r="B97" s="55" t="s">
        <v>322</v>
      </c>
      <c r="C97" s="56" t="s">
        <v>79</v>
      </c>
      <c r="D97" s="142" t="s">
        <v>329</v>
      </c>
      <c r="E97" s="88">
        <v>11677946854.27</v>
      </c>
      <c r="F97" s="62">
        <f t="shared" si="56"/>
        <v>5.195319901487512E-2</v>
      </c>
      <c r="G97" s="142" t="s">
        <v>329</v>
      </c>
      <c r="H97" s="88">
        <v>1745.34</v>
      </c>
      <c r="I97" s="142" t="s">
        <v>329</v>
      </c>
      <c r="J97" s="88">
        <v>1745.34</v>
      </c>
      <c r="K97" s="63">
        <v>2301</v>
      </c>
      <c r="L97" s="64">
        <v>2.3999999999999998E-3</v>
      </c>
      <c r="M97" s="64">
        <v>4.7500000000000001E-2</v>
      </c>
      <c r="N97" s="142" t="s">
        <v>329</v>
      </c>
      <c r="O97" s="88">
        <v>11711480578.620001</v>
      </c>
      <c r="P97" s="62">
        <f t="shared" si="50"/>
        <v>4.9736494619633281E-2</v>
      </c>
      <c r="Q97" s="142" t="s">
        <v>329</v>
      </c>
      <c r="R97" s="88">
        <v>1749.29</v>
      </c>
      <c r="S97" s="142" t="s">
        <v>329</v>
      </c>
      <c r="T97" s="88">
        <v>1749.29</v>
      </c>
      <c r="U97" s="63">
        <v>2298</v>
      </c>
      <c r="V97" s="64">
        <v>2.3E-3</v>
      </c>
      <c r="W97" s="64">
        <v>4.9799999999999997E-2</v>
      </c>
      <c r="X97" s="158">
        <f t="shared" si="51"/>
        <v>2.8715428121458605E-3</v>
      </c>
      <c r="Y97" s="158">
        <f t="shared" si="52"/>
        <v>2.2631693538222039E-3</v>
      </c>
      <c r="Z97" s="158">
        <f t="shared" si="53"/>
        <v>-1.3037809647979139E-3</v>
      </c>
      <c r="AA97" s="156">
        <f t="shared" si="54"/>
        <v>-9.9999999999999829E-5</v>
      </c>
      <c r="AB97" s="157">
        <f t="shared" si="55"/>
        <v>2.2999999999999965E-3</v>
      </c>
    </row>
    <row r="98" spans="1:28" ht="13.8" customHeight="1">
      <c r="A98" s="206">
        <v>87</v>
      </c>
      <c r="B98" s="55" t="s">
        <v>140</v>
      </c>
      <c r="C98" s="56" t="s">
        <v>87</v>
      </c>
      <c r="D98" s="142" t="s">
        <v>329</v>
      </c>
      <c r="E98" s="67">
        <v>24065596.940000001</v>
      </c>
      <c r="F98" s="62">
        <f t="shared" si="56"/>
        <v>1.0706374697864185E-4</v>
      </c>
      <c r="G98" s="142" t="s">
        <v>329</v>
      </c>
      <c r="H98" s="87">
        <v>0.73509999999999998</v>
      </c>
      <c r="I98" s="142" t="s">
        <v>329</v>
      </c>
      <c r="J98" s="87">
        <v>0.73509999999999998</v>
      </c>
      <c r="K98" s="63">
        <v>744</v>
      </c>
      <c r="L98" s="64">
        <v>2.2000000000000001E-3</v>
      </c>
      <c r="M98" s="64">
        <v>7.7999999999999996E-3</v>
      </c>
      <c r="N98" s="142" t="s">
        <v>329</v>
      </c>
      <c r="O98" s="67">
        <v>24147593.98</v>
      </c>
      <c r="P98" s="62">
        <f t="shared" si="50"/>
        <v>1.025503709800694E-4</v>
      </c>
      <c r="Q98" s="142" t="s">
        <v>329</v>
      </c>
      <c r="R98" s="87">
        <v>0.73760000000000003</v>
      </c>
      <c r="S98" s="142" t="s">
        <v>329</v>
      </c>
      <c r="T98" s="87">
        <v>0.73760000000000003</v>
      </c>
      <c r="U98" s="63">
        <v>744</v>
      </c>
      <c r="V98" s="64">
        <v>3.3999999999999998E-3</v>
      </c>
      <c r="W98" s="64">
        <v>1.12E-2</v>
      </c>
      <c r="X98" s="158">
        <f t="shared" si="51"/>
        <v>3.4072306705889301E-3</v>
      </c>
      <c r="Y98" s="158">
        <f t="shared" si="52"/>
        <v>3.4008978370290541E-3</v>
      </c>
      <c r="Z98" s="158">
        <f t="shared" si="53"/>
        <v>0</v>
      </c>
      <c r="AA98" s="156">
        <f t="shared" si="54"/>
        <v>1.1999999999999997E-3</v>
      </c>
      <c r="AB98" s="157">
        <f t="shared" si="55"/>
        <v>3.4000000000000002E-3</v>
      </c>
    </row>
    <row r="99" spans="1:28" ht="15.6" customHeight="1">
      <c r="A99" s="206">
        <v>88</v>
      </c>
      <c r="B99" s="55" t="s">
        <v>141</v>
      </c>
      <c r="C99" s="56" t="s">
        <v>35</v>
      </c>
      <c r="D99" s="142" t="s">
        <v>329</v>
      </c>
      <c r="E99" s="67">
        <v>13351089131.73</v>
      </c>
      <c r="F99" s="62">
        <f t="shared" si="56"/>
        <v>5.9396724388455405E-2</v>
      </c>
      <c r="G99" s="142" t="s">
        <v>329</v>
      </c>
      <c r="H99" s="87">
        <v>1</v>
      </c>
      <c r="I99" s="142" t="s">
        <v>329</v>
      </c>
      <c r="J99" s="87">
        <v>1</v>
      </c>
      <c r="K99" s="63">
        <v>6953</v>
      </c>
      <c r="L99" s="64">
        <v>0.06</v>
      </c>
      <c r="M99" s="64">
        <v>0.06</v>
      </c>
      <c r="N99" s="142" t="s">
        <v>329</v>
      </c>
      <c r="O99" s="67">
        <v>13419470378.889999</v>
      </c>
      <c r="P99" s="62">
        <f t="shared" si="50"/>
        <v>5.6990011793763895E-2</v>
      </c>
      <c r="Q99" s="142" t="s">
        <v>329</v>
      </c>
      <c r="R99" s="87">
        <v>1</v>
      </c>
      <c r="S99" s="142" t="s">
        <v>329</v>
      </c>
      <c r="T99" s="87">
        <v>1</v>
      </c>
      <c r="U99" s="63">
        <v>7021</v>
      </c>
      <c r="V99" s="64">
        <v>0.06</v>
      </c>
      <c r="W99" s="64">
        <v>0.06</v>
      </c>
      <c r="X99" s="158">
        <f t="shared" si="51"/>
        <v>5.1217729494057529E-3</v>
      </c>
      <c r="Y99" s="158">
        <f t="shared" si="52"/>
        <v>0</v>
      </c>
      <c r="Z99" s="158">
        <f t="shared" si="53"/>
        <v>9.7799511002444987E-3</v>
      </c>
      <c r="AA99" s="156">
        <f t="shared" si="54"/>
        <v>0</v>
      </c>
      <c r="AB99" s="157">
        <f t="shared" si="55"/>
        <v>0</v>
      </c>
    </row>
    <row r="100" spans="1:28" ht="14.4" customHeight="1">
      <c r="A100" s="206">
        <v>89</v>
      </c>
      <c r="B100" s="55" t="s">
        <v>142</v>
      </c>
      <c r="C100" s="56" t="s">
        <v>143</v>
      </c>
      <c r="D100" s="142" t="s">
        <v>329</v>
      </c>
      <c r="E100" s="67">
        <v>1992510837.6600001</v>
      </c>
      <c r="F100" s="62">
        <f t="shared" si="56"/>
        <v>8.8643417700085513E-3</v>
      </c>
      <c r="G100" s="142" t="s">
        <v>329</v>
      </c>
      <c r="H100" s="67">
        <v>289.23</v>
      </c>
      <c r="I100" s="142" t="s">
        <v>329</v>
      </c>
      <c r="J100" s="67">
        <v>288.20999999999998</v>
      </c>
      <c r="K100" s="63">
        <v>560</v>
      </c>
      <c r="L100" s="64">
        <v>3.0000000000000001E-3</v>
      </c>
      <c r="M100" s="64">
        <v>0.1681</v>
      </c>
      <c r="N100" s="142" t="s">
        <v>329</v>
      </c>
      <c r="O100" s="67">
        <v>1998944668.9200001</v>
      </c>
      <c r="P100" s="62">
        <f t="shared" si="50"/>
        <v>8.4891487547853004E-3</v>
      </c>
      <c r="Q100" s="142" t="s">
        <v>329</v>
      </c>
      <c r="R100" s="67">
        <v>290.8</v>
      </c>
      <c r="S100" s="142" t="s">
        <v>329</v>
      </c>
      <c r="T100" s="67">
        <v>290.8</v>
      </c>
      <c r="U100" s="63">
        <v>560</v>
      </c>
      <c r="V100" s="64">
        <v>3.0000000000000001E-3</v>
      </c>
      <c r="W100" s="64">
        <v>0.1681</v>
      </c>
      <c r="X100" s="158">
        <f t="shared" si="51"/>
        <v>3.2290069084672415E-3</v>
      </c>
      <c r="Y100" s="158">
        <f t="shared" si="52"/>
        <v>8.9865028971931309E-3</v>
      </c>
      <c r="Z100" s="158">
        <f t="shared" si="53"/>
        <v>0</v>
      </c>
      <c r="AA100" s="156">
        <f t="shared" si="54"/>
        <v>0</v>
      </c>
      <c r="AB100" s="157">
        <f t="shared" si="55"/>
        <v>0</v>
      </c>
    </row>
    <row r="101" spans="1:28" ht="13.8" customHeight="1">
      <c r="A101" s="206">
        <v>90</v>
      </c>
      <c r="B101" s="55" t="s">
        <v>144</v>
      </c>
      <c r="C101" s="56" t="s">
        <v>40</v>
      </c>
      <c r="D101" s="142" t="s">
        <v>329</v>
      </c>
      <c r="E101" s="67">
        <v>779522179.66999996</v>
      </c>
      <c r="F101" s="62">
        <f t="shared" si="56"/>
        <v>3.4679615725513044E-3</v>
      </c>
      <c r="G101" s="142" t="s">
        <v>329</v>
      </c>
      <c r="H101" s="87">
        <v>115.55</v>
      </c>
      <c r="I101" s="142" t="s">
        <v>329</v>
      </c>
      <c r="J101" s="87">
        <v>115.55</v>
      </c>
      <c r="K101" s="81">
        <v>214</v>
      </c>
      <c r="L101" s="82">
        <v>0.14510000000000001</v>
      </c>
      <c r="M101" s="82">
        <v>0.1709</v>
      </c>
      <c r="N101" s="142" t="s">
        <v>329</v>
      </c>
      <c r="O101" s="67">
        <v>776585200.10000002</v>
      </c>
      <c r="P101" s="62">
        <f t="shared" si="50"/>
        <v>3.2980138904872558E-3</v>
      </c>
      <c r="Q101" s="142" t="s">
        <v>329</v>
      </c>
      <c r="R101" s="87">
        <v>116.09</v>
      </c>
      <c r="S101" s="142" t="s">
        <v>329</v>
      </c>
      <c r="T101" s="87">
        <v>116.09</v>
      </c>
      <c r="U101" s="81">
        <v>216</v>
      </c>
      <c r="V101" s="82">
        <v>0.14360000000000001</v>
      </c>
      <c r="W101" s="82">
        <v>0.16950000000000001</v>
      </c>
      <c r="X101" s="158">
        <f t="shared" si="51"/>
        <v>-3.7676664585005949E-3</v>
      </c>
      <c r="Y101" s="158">
        <f t="shared" si="52"/>
        <v>4.6733016010385656E-3</v>
      </c>
      <c r="Z101" s="158">
        <f t="shared" si="53"/>
        <v>9.3457943925233638E-3</v>
      </c>
      <c r="AA101" s="156">
        <f t="shared" si="54"/>
        <v>-1.5000000000000013E-3</v>
      </c>
      <c r="AB101" s="157">
        <f t="shared" si="55"/>
        <v>-1.3999999999999846E-3</v>
      </c>
    </row>
    <row r="102" spans="1:28" ht="15.6" customHeight="1">
      <c r="A102" s="206">
        <v>91</v>
      </c>
      <c r="B102" s="56" t="s">
        <v>145</v>
      </c>
      <c r="C102" s="89" t="s">
        <v>44</v>
      </c>
      <c r="D102" s="142" t="s">
        <v>329</v>
      </c>
      <c r="E102" s="67">
        <v>1201104851</v>
      </c>
      <c r="F102" s="62">
        <f t="shared" si="56"/>
        <v>5.3435111617174498E-3</v>
      </c>
      <c r="G102" s="142" t="s">
        <v>329</v>
      </c>
      <c r="H102" s="87">
        <v>106</v>
      </c>
      <c r="I102" s="142" t="s">
        <v>329</v>
      </c>
      <c r="J102" s="87">
        <v>106.7</v>
      </c>
      <c r="K102" s="63">
        <v>3943</v>
      </c>
      <c r="L102" s="64">
        <v>-6.9999999999999999E-4</v>
      </c>
      <c r="M102" s="64">
        <v>4.2599999999999999E-2</v>
      </c>
      <c r="N102" s="142" t="s">
        <v>329</v>
      </c>
      <c r="O102" s="67">
        <v>1213145553</v>
      </c>
      <c r="P102" s="62">
        <f t="shared" si="50"/>
        <v>5.1520050658467901E-3</v>
      </c>
      <c r="Q102" s="142" t="s">
        <v>329</v>
      </c>
      <c r="R102" s="87">
        <v>107.1336</v>
      </c>
      <c r="S102" s="142" t="s">
        <v>329</v>
      </c>
      <c r="T102" s="87">
        <v>107.89</v>
      </c>
      <c r="U102" s="63">
        <v>4053</v>
      </c>
      <c r="V102" s="64">
        <v>1.6000000000000001E-3</v>
      </c>
      <c r="W102" s="64">
        <v>5.3699999999999998E-2</v>
      </c>
      <c r="X102" s="158">
        <f t="shared" si="51"/>
        <v>1.0024688510728528E-2</v>
      </c>
      <c r="Y102" s="158">
        <f t="shared" si="52"/>
        <v>1.1152764761012162E-2</v>
      </c>
      <c r="Z102" s="158">
        <f t="shared" si="53"/>
        <v>2.7897539944204922E-2</v>
      </c>
      <c r="AA102" s="156">
        <f t="shared" si="54"/>
        <v>2.3E-3</v>
      </c>
      <c r="AB102" s="157">
        <f t="shared" si="55"/>
        <v>1.1099999999999999E-2</v>
      </c>
    </row>
    <row r="103" spans="1:28" ht="13.2" customHeight="1">
      <c r="A103" s="206">
        <v>92</v>
      </c>
      <c r="B103" s="55" t="s">
        <v>146</v>
      </c>
      <c r="C103" s="56" t="s">
        <v>19</v>
      </c>
      <c r="D103" s="142" t="s">
        <v>329</v>
      </c>
      <c r="E103" s="68">
        <v>1789742301.04</v>
      </c>
      <c r="F103" s="58">
        <f t="shared" si="56"/>
        <v>7.9622590436154283E-3</v>
      </c>
      <c r="G103" s="142" t="s">
        <v>329</v>
      </c>
      <c r="H103" s="90">
        <v>410.85399999999998</v>
      </c>
      <c r="I103" s="142" t="s">
        <v>329</v>
      </c>
      <c r="J103" s="90">
        <v>410.85399999999998</v>
      </c>
      <c r="K103" s="59">
        <v>96</v>
      </c>
      <c r="L103" s="60">
        <v>7.3000000000000001E-3</v>
      </c>
      <c r="M103" s="60">
        <v>6.8199999999999997E-2</v>
      </c>
      <c r="N103" s="142" t="s">
        <v>329</v>
      </c>
      <c r="O103" s="68">
        <v>1796583825.8800001</v>
      </c>
      <c r="P103" s="58">
        <f t="shared" si="50"/>
        <v>7.629759635406394E-3</v>
      </c>
      <c r="Q103" s="142" t="s">
        <v>329</v>
      </c>
      <c r="R103" s="90">
        <v>412.26920000000001</v>
      </c>
      <c r="S103" s="142" t="s">
        <v>329</v>
      </c>
      <c r="T103" s="90">
        <v>412.26920000000001</v>
      </c>
      <c r="U103" s="59">
        <v>96</v>
      </c>
      <c r="V103" s="60">
        <v>3.3999999999999998E-3</v>
      </c>
      <c r="W103" s="60">
        <v>7.1800000000000003E-2</v>
      </c>
      <c r="X103" s="156">
        <f t="shared" si="51"/>
        <v>3.8226312447465854E-3</v>
      </c>
      <c r="Y103" s="156">
        <f t="shared" si="52"/>
        <v>3.444532607690389E-3</v>
      </c>
      <c r="Z103" s="156">
        <f t="shared" si="53"/>
        <v>0</v>
      </c>
      <c r="AA103" s="156">
        <f t="shared" si="54"/>
        <v>-3.9000000000000003E-3</v>
      </c>
      <c r="AB103" s="157">
        <f t="shared" si="55"/>
        <v>3.600000000000006E-3</v>
      </c>
    </row>
    <row r="104" spans="1:28" ht="14.4" customHeight="1">
      <c r="A104" s="206">
        <v>93</v>
      </c>
      <c r="B104" s="55" t="s">
        <v>147</v>
      </c>
      <c r="C104" s="56" t="s">
        <v>98</v>
      </c>
      <c r="D104" s="142" t="s">
        <v>329</v>
      </c>
      <c r="E104" s="78">
        <v>5621028532</v>
      </c>
      <c r="F104" s="62">
        <f>(E104/$O$77)</f>
        <v>9.1188589260513073E-4</v>
      </c>
      <c r="G104" s="142" t="s">
        <v>329</v>
      </c>
      <c r="H104" s="87">
        <v>103.7</v>
      </c>
      <c r="I104" s="163" t="s">
        <v>329</v>
      </c>
      <c r="J104" s="87">
        <v>103.7</v>
      </c>
      <c r="K104" s="63">
        <v>505</v>
      </c>
      <c r="L104" s="64">
        <v>-7.7999999999999996E-3</v>
      </c>
      <c r="M104" s="64">
        <v>9.2499999999999999E-2</v>
      </c>
      <c r="N104" s="142" t="s">
        <v>329</v>
      </c>
      <c r="O104" s="78">
        <v>5341472934</v>
      </c>
      <c r="P104" s="62">
        <f t="shared" si="50"/>
        <v>2.2684248849611469E-2</v>
      </c>
      <c r="Q104" s="142" t="s">
        <v>329</v>
      </c>
      <c r="R104" s="87">
        <v>104.38</v>
      </c>
      <c r="S104" s="163" t="s">
        <v>329</v>
      </c>
      <c r="T104" s="87">
        <v>104.38</v>
      </c>
      <c r="U104" s="63">
        <v>505</v>
      </c>
      <c r="V104" s="64">
        <v>6.6E-3</v>
      </c>
      <c r="W104" s="64">
        <v>0.1021</v>
      </c>
      <c r="X104" s="158">
        <f t="shared" si="51"/>
        <v>-4.9733887029485016E-2</v>
      </c>
      <c r="Y104" s="158">
        <f t="shared" si="52"/>
        <v>6.5573770491802567E-3</v>
      </c>
      <c r="Z104" s="158">
        <f t="shared" si="53"/>
        <v>0</v>
      </c>
      <c r="AA104" s="156">
        <f t="shared" si="54"/>
        <v>1.44E-2</v>
      </c>
      <c r="AB104" s="157">
        <f t="shared" si="55"/>
        <v>9.5999999999999974E-3</v>
      </c>
    </row>
    <row r="105" spans="1:28" ht="14.4" customHeight="1">
      <c r="A105" s="206">
        <v>94</v>
      </c>
      <c r="B105" s="55" t="s">
        <v>148</v>
      </c>
      <c r="C105" s="56" t="s">
        <v>42</v>
      </c>
      <c r="D105" s="142" t="s">
        <v>329</v>
      </c>
      <c r="E105" s="67">
        <v>61729819.049999997</v>
      </c>
      <c r="F105" s="62">
        <f t="shared" ref="F105:F117" si="64">(E105/$E$118)</f>
        <v>2.7462546407155714E-4</v>
      </c>
      <c r="G105" s="142" t="s">
        <v>329</v>
      </c>
      <c r="H105" s="67">
        <v>13.6</v>
      </c>
      <c r="I105" s="142" t="s">
        <v>329</v>
      </c>
      <c r="J105" s="67">
        <v>13.9</v>
      </c>
      <c r="K105" s="63">
        <v>54</v>
      </c>
      <c r="L105" s="64">
        <v>4.3900000000000002E-2</v>
      </c>
      <c r="M105" s="64">
        <v>6.6E-3</v>
      </c>
      <c r="N105" s="142" t="s">
        <v>329</v>
      </c>
      <c r="O105" s="67">
        <v>63996240.729999997</v>
      </c>
      <c r="P105" s="62">
        <f t="shared" si="50"/>
        <v>2.7178021270470802E-4</v>
      </c>
      <c r="Q105" s="142" t="s">
        <v>329</v>
      </c>
      <c r="R105" s="67">
        <v>13.42</v>
      </c>
      <c r="S105" s="142" t="s">
        <v>329</v>
      </c>
      <c r="T105" s="67">
        <v>14.1</v>
      </c>
      <c r="U105" s="63">
        <v>54</v>
      </c>
      <c r="V105" s="64">
        <v>2.9999999999999997E-4</v>
      </c>
      <c r="W105" s="64">
        <v>6.6E-3</v>
      </c>
      <c r="X105" s="158">
        <f t="shared" si="51"/>
        <v>3.6715184247733505E-2</v>
      </c>
      <c r="Y105" s="158">
        <f t="shared" si="52"/>
        <v>1.4388489208633042E-2</v>
      </c>
      <c r="Z105" s="158">
        <f t="shared" si="53"/>
        <v>0</v>
      </c>
      <c r="AA105" s="156">
        <f t="shared" si="54"/>
        <v>-4.36E-2</v>
      </c>
      <c r="AB105" s="157">
        <f t="shared" si="55"/>
        <v>0</v>
      </c>
    </row>
    <row r="106" spans="1:28" ht="13.8" customHeight="1">
      <c r="A106" s="206">
        <v>95</v>
      </c>
      <c r="B106" s="55" t="s">
        <v>149</v>
      </c>
      <c r="C106" s="56" t="s">
        <v>150</v>
      </c>
      <c r="D106" s="142" t="s">
        <v>329</v>
      </c>
      <c r="E106" s="67">
        <v>1143388331.4000001</v>
      </c>
      <c r="F106" s="62">
        <f t="shared" si="64"/>
        <v>5.0867401841951194E-3</v>
      </c>
      <c r="G106" s="142" t="s">
        <v>329</v>
      </c>
      <c r="H106" s="67">
        <v>168.5</v>
      </c>
      <c r="I106" s="142" t="s">
        <v>329</v>
      </c>
      <c r="J106" s="67">
        <v>168.5</v>
      </c>
      <c r="K106" s="63">
        <v>189</v>
      </c>
      <c r="L106" s="64">
        <v>0.2472</v>
      </c>
      <c r="M106" s="64">
        <v>0.16769999999999999</v>
      </c>
      <c r="N106" s="142" t="s">
        <v>329</v>
      </c>
      <c r="O106" s="67">
        <v>1150747044.7</v>
      </c>
      <c r="P106" s="62">
        <f t="shared" si="50"/>
        <v>4.887010127631917E-3</v>
      </c>
      <c r="Q106" s="142" t="s">
        <v>329</v>
      </c>
      <c r="R106" s="67">
        <v>169.16</v>
      </c>
      <c r="S106" s="142" t="s">
        <v>329</v>
      </c>
      <c r="T106" s="67">
        <v>169.16</v>
      </c>
      <c r="U106" s="63">
        <v>190</v>
      </c>
      <c r="V106" s="64">
        <v>0.24660000000000001</v>
      </c>
      <c r="W106" s="64">
        <v>0.16980000000000001</v>
      </c>
      <c r="X106" s="158">
        <f t="shared" si="51"/>
        <v>6.4358828036925261E-3</v>
      </c>
      <c r="Y106" s="158">
        <f t="shared" si="52"/>
        <v>3.9169139465875169E-3</v>
      </c>
      <c r="Z106" s="158">
        <f t="shared" si="53"/>
        <v>5.2910052910052907E-3</v>
      </c>
      <c r="AA106" s="156">
        <f t="shared" si="54"/>
        <v>-5.9999999999998943E-4</v>
      </c>
      <c r="AB106" s="157">
        <f t="shared" si="55"/>
        <v>2.1000000000000185E-3</v>
      </c>
    </row>
    <row r="107" spans="1:28" ht="14.4" customHeight="1">
      <c r="A107" s="209">
        <v>96</v>
      </c>
      <c r="B107" s="55" t="s">
        <v>151</v>
      </c>
      <c r="C107" s="56" t="s">
        <v>152</v>
      </c>
      <c r="D107" s="142" t="s">
        <v>329</v>
      </c>
      <c r="E107" s="67">
        <v>12321668329.370001</v>
      </c>
      <c r="F107" s="62">
        <f t="shared" si="64"/>
        <v>5.4817006353901576E-2</v>
      </c>
      <c r="G107" s="142" t="s">
        <v>329</v>
      </c>
      <c r="H107" s="67">
        <v>1.07</v>
      </c>
      <c r="I107" s="142" t="s">
        <v>329</v>
      </c>
      <c r="J107" s="67">
        <v>1.07</v>
      </c>
      <c r="K107" s="63">
        <v>5513</v>
      </c>
      <c r="L107" s="64">
        <v>0.1605</v>
      </c>
      <c r="M107" s="64">
        <v>0.1605</v>
      </c>
      <c r="N107" s="142" t="s">
        <v>329</v>
      </c>
      <c r="O107" s="67">
        <v>12539674518.7644</v>
      </c>
      <c r="P107" s="62">
        <f t="shared" si="50"/>
        <v>5.3253681295688762E-2</v>
      </c>
      <c r="Q107" s="142" t="s">
        <v>329</v>
      </c>
      <c r="R107" s="67">
        <v>1.0709475783233808</v>
      </c>
      <c r="S107" s="142" t="s">
        <v>329</v>
      </c>
      <c r="T107" s="67">
        <v>1.0709475783233808</v>
      </c>
      <c r="U107" s="63">
        <v>5519</v>
      </c>
      <c r="V107" s="64">
        <v>0.16009999999999999</v>
      </c>
      <c r="W107" s="64">
        <v>0.16009999999999999</v>
      </c>
      <c r="X107" s="158">
        <f t="shared" si="51"/>
        <v>1.7692911671283895E-2</v>
      </c>
      <c r="Y107" s="158">
        <f t="shared" si="52"/>
        <v>8.8558721811287007E-4</v>
      </c>
      <c r="Z107" s="158">
        <f t="shared" si="53"/>
        <v>1.0883366588064574E-3</v>
      </c>
      <c r="AA107" s="156">
        <f t="shared" si="54"/>
        <v>-4.0000000000001146E-4</v>
      </c>
      <c r="AB107" s="157">
        <f t="shared" si="55"/>
        <v>-4.0000000000001146E-4</v>
      </c>
    </row>
    <row r="108" spans="1:28" ht="13.5" customHeight="1">
      <c r="A108" s="206">
        <v>97</v>
      </c>
      <c r="B108" s="55" t="s">
        <v>153</v>
      </c>
      <c r="C108" s="56" t="s">
        <v>46</v>
      </c>
      <c r="D108" s="142" t="s">
        <v>329</v>
      </c>
      <c r="E108" s="67">
        <v>14969085472.09</v>
      </c>
      <c r="F108" s="62">
        <f t="shared" si="64"/>
        <v>6.6594914868773142E-2</v>
      </c>
      <c r="G108" s="142" t="s">
        <v>329</v>
      </c>
      <c r="H108" s="87">
        <v>259.25</v>
      </c>
      <c r="I108" s="142" t="s">
        <v>329</v>
      </c>
      <c r="J108" s="87">
        <v>259.25</v>
      </c>
      <c r="K108" s="63">
        <v>5895</v>
      </c>
      <c r="L108" s="64">
        <v>0</v>
      </c>
      <c r="M108" s="64">
        <v>0</v>
      </c>
      <c r="N108" s="142" t="s">
        <v>329</v>
      </c>
      <c r="O108" s="67">
        <v>14948232434.389999</v>
      </c>
      <c r="P108" s="62">
        <f t="shared" si="50"/>
        <v>6.3482381843617555E-2</v>
      </c>
      <c r="Q108" s="142" t="s">
        <v>329</v>
      </c>
      <c r="R108" s="87">
        <v>259.25</v>
      </c>
      <c r="S108" s="142" t="s">
        <v>329</v>
      </c>
      <c r="T108" s="87">
        <v>259.25</v>
      </c>
      <c r="U108" s="63">
        <v>5901</v>
      </c>
      <c r="V108" s="64">
        <v>0</v>
      </c>
      <c r="W108" s="64">
        <v>0</v>
      </c>
      <c r="X108" s="158">
        <f t="shared" si="51"/>
        <v>-1.393073594167222E-3</v>
      </c>
      <c r="Y108" s="158">
        <f t="shared" si="52"/>
        <v>0</v>
      </c>
      <c r="Z108" s="158">
        <f t="shared" si="53"/>
        <v>1.0178117048346056E-3</v>
      </c>
      <c r="AA108" s="156">
        <f t="shared" si="54"/>
        <v>0</v>
      </c>
      <c r="AB108" s="157">
        <f t="shared" si="55"/>
        <v>0</v>
      </c>
    </row>
    <row r="109" spans="1:28" ht="13.5" customHeight="1">
      <c r="A109" s="206">
        <v>98</v>
      </c>
      <c r="B109" s="55" t="s">
        <v>154</v>
      </c>
      <c r="C109" s="56" t="s">
        <v>46</v>
      </c>
      <c r="D109" s="142" t="s">
        <v>329</v>
      </c>
      <c r="E109" s="67">
        <v>1319492910.6900001</v>
      </c>
      <c r="F109" s="62">
        <f t="shared" si="64"/>
        <v>5.8701995002425162E-3</v>
      </c>
      <c r="G109" s="142" t="s">
        <v>329</v>
      </c>
      <c r="H109" s="66">
        <v>10634.38</v>
      </c>
      <c r="I109" s="142" t="s">
        <v>329</v>
      </c>
      <c r="J109" s="66">
        <v>10674.67</v>
      </c>
      <c r="K109" s="63">
        <v>31</v>
      </c>
      <c r="L109" s="64">
        <v>-4.7000000000000002E-3</v>
      </c>
      <c r="M109" s="64">
        <v>0.13270000000000001</v>
      </c>
      <c r="N109" s="142" t="s">
        <v>329</v>
      </c>
      <c r="O109" s="67">
        <v>1305369511.22</v>
      </c>
      <c r="P109" s="62">
        <f t="shared" si="50"/>
        <v>5.543663180379633E-3</v>
      </c>
      <c r="Q109" s="142" t="s">
        <v>329</v>
      </c>
      <c r="R109" s="66">
        <v>10804.72</v>
      </c>
      <c r="S109" s="142" t="s">
        <v>329</v>
      </c>
      <c r="T109" s="66">
        <v>10848.32</v>
      </c>
      <c r="U109" s="63">
        <v>31</v>
      </c>
      <c r="V109" s="64">
        <v>1.6299999999999999E-2</v>
      </c>
      <c r="W109" s="64">
        <v>0.1512</v>
      </c>
      <c r="X109" s="158">
        <f t="shared" si="51"/>
        <v>-1.0703656954560298E-2</v>
      </c>
      <c r="Y109" s="158">
        <f t="shared" si="52"/>
        <v>1.6267481805058107E-2</v>
      </c>
      <c r="Z109" s="158">
        <f t="shared" si="53"/>
        <v>0</v>
      </c>
      <c r="AA109" s="156">
        <f t="shared" si="54"/>
        <v>2.0999999999999998E-2</v>
      </c>
      <c r="AB109" s="157">
        <f t="shared" si="55"/>
        <v>1.8499999999999989E-2</v>
      </c>
    </row>
    <row r="110" spans="1:28" ht="15" customHeight="1">
      <c r="A110" s="206">
        <v>99</v>
      </c>
      <c r="B110" s="55" t="s">
        <v>155</v>
      </c>
      <c r="C110" s="56" t="s">
        <v>46</v>
      </c>
      <c r="D110" s="142" t="s">
        <v>329</v>
      </c>
      <c r="E110" s="67">
        <v>5912060556.4499998</v>
      </c>
      <c r="F110" s="62">
        <f t="shared" si="64"/>
        <v>2.6301751712881936E-2</v>
      </c>
      <c r="G110" s="142" t="s">
        <v>329</v>
      </c>
      <c r="H110" s="87">
        <v>174.25</v>
      </c>
      <c r="I110" s="142" t="s">
        <v>329</v>
      </c>
      <c r="J110" s="87">
        <v>174.25</v>
      </c>
      <c r="K110" s="63">
        <v>6803</v>
      </c>
      <c r="L110" s="64">
        <v>3.5999999999999999E-3</v>
      </c>
      <c r="M110" s="64">
        <v>0.1575</v>
      </c>
      <c r="N110" s="142" t="s">
        <v>329</v>
      </c>
      <c r="O110" s="67">
        <v>5944890934.0900002</v>
      </c>
      <c r="P110" s="62">
        <f t="shared" si="50"/>
        <v>2.5246853629886188E-2</v>
      </c>
      <c r="Q110" s="142" t="s">
        <v>329</v>
      </c>
      <c r="R110" s="87">
        <v>175.14</v>
      </c>
      <c r="S110" s="142" t="s">
        <v>329</v>
      </c>
      <c r="T110" s="87">
        <v>175.14</v>
      </c>
      <c r="U110" s="63">
        <v>6854</v>
      </c>
      <c r="V110" s="64">
        <v>5.1000000000000004E-3</v>
      </c>
      <c r="W110" s="64">
        <v>0.1623</v>
      </c>
      <c r="X110" s="158">
        <f t="shared" si="51"/>
        <v>5.5531193103532618E-3</v>
      </c>
      <c r="Y110" s="158">
        <f t="shared" si="52"/>
        <v>5.1076040172165641E-3</v>
      </c>
      <c r="Z110" s="158">
        <f t="shared" si="53"/>
        <v>7.4966926356019401E-3</v>
      </c>
      <c r="AA110" s="156">
        <f t="shared" si="54"/>
        <v>1.5000000000000005E-3</v>
      </c>
      <c r="AB110" s="157">
        <f t="shared" si="55"/>
        <v>4.7999999999999987E-3</v>
      </c>
    </row>
    <row r="111" spans="1:28" ht="15" customHeight="1">
      <c r="A111" s="206">
        <v>100</v>
      </c>
      <c r="B111" s="55" t="s">
        <v>156</v>
      </c>
      <c r="C111" s="56" t="s">
        <v>46</v>
      </c>
      <c r="D111" s="142" t="s">
        <v>329</v>
      </c>
      <c r="E111" s="67">
        <v>5583053703.75</v>
      </c>
      <c r="F111" s="62">
        <f t="shared" si="64"/>
        <v>2.4838056192694601E-2</v>
      </c>
      <c r="G111" s="142" t="s">
        <v>329</v>
      </c>
      <c r="H111" s="87">
        <v>393.55</v>
      </c>
      <c r="I111" s="142" t="s">
        <v>329</v>
      </c>
      <c r="J111" s="87">
        <v>393.55</v>
      </c>
      <c r="K111" s="63">
        <v>13027</v>
      </c>
      <c r="L111" s="64">
        <v>2.2000000000000001E-3</v>
      </c>
      <c r="M111" s="64">
        <v>2.1600000000000001E-2</v>
      </c>
      <c r="N111" s="142" t="s">
        <v>329</v>
      </c>
      <c r="O111" s="67">
        <v>5600496652.1300001</v>
      </c>
      <c r="P111" s="62">
        <f t="shared" si="50"/>
        <v>2.3784274732474537E-2</v>
      </c>
      <c r="Q111" s="142" t="s">
        <v>329</v>
      </c>
      <c r="R111" s="87">
        <v>394.41</v>
      </c>
      <c r="S111" s="142" t="s">
        <v>329</v>
      </c>
      <c r="T111" s="87">
        <v>394.41</v>
      </c>
      <c r="U111" s="63">
        <v>13249</v>
      </c>
      <c r="V111" s="64">
        <v>2.2000000000000001E-3</v>
      </c>
      <c r="W111" s="64">
        <v>2.3800000000000002E-2</v>
      </c>
      <c r="X111" s="158">
        <f t="shared" si="51"/>
        <v>3.1242666299778048E-3</v>
      </c>
      <c r="Y111" s="158">
        <f t="shared" si="52"/>
        <v>2.1852369457502569E-3</v>
      </c>
      <c r="Z111" s="158">
        <f t="shared" si="53"/>
        <v>1.7041529131803179E-2</v>
      </c>
      <c r="AA111" s="156">
        <f t="shared" si="54"/>
        <v>0</v>
      </c>
      <c r="AB111" s="157">
        <f t="shared" si="55"/>
        <v>2.2000000000000006E-3</v>
      </c>
    </row>
    <row r="112" spans="1:28" ht="15" customHeight="1">
      <c r="A112" s="206">
        <v>101</v>
      </c>
      <c r="B112" s="55" t="s">
        <v>157</v>
      </c>
      <c r="C112" s="56" t="s">
        <v>112</v>
      </c>
      <c r="D112" s="142" t="s">
        <v>329</v>
      </c>
      <c r="E112" s="67">
        <v>115348361.19</v>
      </c>
      <c r="F112" s="62">
        <f t="shared" si="64"/>
        <v>5.1316523698277943E-4</v>
      </c>
      <c r="G112" s="142" t="s">
        <v>329</v>
      </c>
      <c r="H112" s="87">
        <v>118.944</v>
      </c>
      <c r="I112" s="142" t="s">
        <v>329</v>
      </c>
      <c r="J112" s="87">
        <v>118.944</v>
      </c>
      <c r="K112" s="63">
        <v>24</v>
      </c>
      <c r="L112" s="64">
        <v>2.1534000000000002E-3</v>
      </c>
      <c r="M112" s="64">
        <v>9.8699999999999996E-2</v>
      </c>
      <c r="N112" s="142" t="s">
        <v>329</v>
      </c>
      <c r="O112" s="67">
        <v>115661926.44</v>
      </c>
      <c r="P112" s="62">
        <f t="shared" si="50"/>
        <v>4.9119483599547827E-4</v>
      </c>
      <c r="Q112" s="142" t="s">
        <v>329</v>
      </c>
      <c r="R112" s="87">
        <v>119.42700000000001</v>
      </c>
      <c r="S112" s="142" t="s">
        <v>329</v>
      </c>
      <c r="T112" s="87">
        <v>119.42700000000001</v>
      </c>
      <c r="U112" s="63">
        <v>20</v>
      </c>
      <c r="V112" s="64">
        <v>6.1067999999999999E-3</v>
      </c>
      <c r="W112" s="64">
        <v>0.1048</v>
      </c>
      <c r="X112" s="158">
        <f t="shared" ref="X112" si="65">((O112-E112)/E112)</f>
        <v>2.7184196356591513E-3</v>
      </c>
      <c r="Y112" s="158">
        <f t="shared" ref="Y112" si="66">((T112-J112)/J112)</f>
        <v>4.0607344632768707E-3</v>
      </c>
      <c r="Z112" s="158">
        <f t="shared" ref="Z112" si="67">((U112-K112)/K112)</f>
        <v>-0.16666666666666666</v>
      </c>
      <c r="AA112" s="156">
        <f t="shared" ref="AA112" si="68">V112-L112</f>
        <v>3.9533999999999993E-3</v>
      </c>
      <c r="AB112" s="157">
        <f t="shared" ref="AB112" si="69">W112-M112</f>
        <v>6.1000000000000082E-3</v>
      </c>
    </row>
    <row r="113" spans="1:34" ht="13.8" customHeight="1">
      <c r="A113" s="209">
        <v>102</v>
      </c>
      <c r="B113" s="55" t="s">
        <v>158</v>
      </c>
      <c r="C113" s="56" t="s">
        <v>49</v>
      </c>
      <c r="D113" s="142" t="s">
        <v>329</v>
      </c>
      <c r="E113" s="67">
        <v>71031903880.619995</v>
      </c>
      <c r="F113" s="62">
        <f t="shared" si="64"/>
        <v>0.31600885710196336</v>
      </c>
      <c r="G113" s="142" t="s">
        <v>329</v>
      </c>
      <c r="H113" s="67">
        <v>1.88489</v>
      </c>
      <c r="I113" s="142" t="s">
        <v>329</v>
      </c>
      <c r="J113" s="67">
        <v>1.88489</v>
      </c>
      <c r="K113" s="63">
        <v>7164</v>
      </c>
      <c r="L113" s="64">
        <v>1.5E-3</v>
      </c>
      <c r="M113" s="64">
        <v>8.7300000000000003E-2</v>
      </c>
      <c r="N113" s="142" t="s">
        <v>329</v>
      </c>
      <c r="O113" s="67">
        <v>77837666000.210007</v>
      </c>
      <c r="P113" s="62">
        <f t="shared" si="50"/>
        <v>0.33056218897648831</v>
      </c>
      <c r="Q113" s="142" t="s">
        <v>329</v>
      </c>
      <c r="R113" s="67">
        <v>1.8876900000000001</v>
      </c>
      <c r="S113" s="142" t="s">
        <v>329</v>
      </c>
      <c r="T113" s="67">
        <v>1.8876900000000001</v>
      </c>
      <c r="U113" s="63">
        <v>7209</v>
      </c>
      <c r="V113" s="64">
        <v>1.5E-3</v>
      </c>
      <c r="W113" s="64">
        <v>0.1051</v>
      </c>
      <c r="X113" s="158">
        <f t="shared" si="51"/>
        <v>9.5812751000284857E-2</v>
      </c>
      <c r="Y113" s="158">
        <f t="shared" si="52"/>
        <v>1.4854978274594995E-3</v>
      </c>
      <c r="Z113" s="158">
        <f t="shared" si="53"/>
        <v>6.2814070351758797E-3</v>
      </c>
      <c r="AA113" s="156">
        <f t="shared" si="54"/>
        <v>0</v>
      </c>
      <c r="AB113" s="157">
        <f t="shared" si="55"/>
        <v>1.7799999999999996E-2</v>
      </c>
    </row>
    <row r="114" spans="1:34" ht="12.6" customHeight="1">
      <c r="A114" s="209">
        <v>103</v>
      </c>
      <c r="B114" s="55" t="s">
        <v>159</v>
      </c>
      <c r="C114" s="56" t="s">
        <v>49</v>
      </c>
      <c r="D114" s="142" t="s">
        <v>329</v>
      </c>
      <c r="E114" s="67">
        <v>53072965634.760002</v>
      </c>
      <c r="F114" s="62">
        <f t="shared" si="64"/>
        <v>0.23611259584762656</v>
      </c>
      <c r="G114" s="142" t="s">
        <v>329</v>
      </c>
      <c r="H114" s="67">
        <v>127.21684999999999</v>
      </c>
      <c r="I114" s="142" t="s">
        <v>329</v>
      </c>
      <c r="J114" s="67">
        <v>127.21684999999999</v>
      </c>
      <c r="K114" s="63">
        <v>1783</v>
      </c>
      <c r="L114" s="64">
        <v>2E-3</v>
      </c>
      <c r="M114" s="64">
        <v>0.1525</v>
      </c>
      <c r="N114" s="142" t="s">
        <v>329</v>
      </c>
      <c r="O114" s="67">
        <v>56856168399.360001</v>
      </c>
      <c r="P114" s="62">
        <f t="shared" si="50"/>
        <v>0.24145764446299783</v>
      </c>
      <c r="Q114" s="142" t="s">
        <v>329</v>
      </c>
      <c r="R114" s="67">
        <v>127.57689000000001</v>
      </c>
      <c r="S114" s="142" t="s">
        <v>329</v>
      </c>
      <c r="T114" s="67">
        <v>127.57689000000001</v>
      </c>
      <c r="U114" s="63">
        <v>1823</v>
      </c>
      <c r="V114" s="64">
        <v>2.8E-3</v>
      </c>
      <c r="W114" s="64">
        <v>0.17510000000000001</v>
      </c>
      <c r="X114" s="158">
        <f t="shared" ref="X114:X116" si="70">((O114-E114)/E114)</f>
        <v>7.1283048146120548E-2</v>
      </c>
      <c r="Y114" s="158">
        <f t="shared" ref="Y114:Y116" si="71">((T114-J114)/J114)</f>
        <v>2.8301282416599073E-3</v>
      </c>
      <c r="Z114" s="158">
        <f t="shared" ref="Z114:Z116" si="72">((U114-K114)/K114)</f>
        <v>2.2434099831744252E-2</v>
      </c>
      <c r="AA114" s="156">
        <f t="shared" ref="AA114:AA116" si="73">V114-L114</f>
        <v>7.9999999999999993E-4</v>
      </c>
      <c r="AB114" s="157">
        <f t="shared" ref="AB114:AB116" si="74">W114-M114</f>
        <v>2.2600000000000009E-2</v>
      </c>
      <c r="AD114" s="48"/>
    </row>
    <row r="115" spans="1:34" ht="15" customHeight="1">
      <c r="A115" s="206">
        <v>104</v>
      </c>
      <c r="B115" s="55" t="s">
        <v>160</v>
      </c>
      <c r="C115" s="55" t="s">
        <v>161</v>
      </c>
      <c r="D115" s="142" t="s">
        <v>329</v>
      </c>
      <c r="E115" s="67">
        <v>119909501.18000001</v>
      </c>
      <c r="F115" s="62">
        <f t="shared" si="64"/>
        <v>5.3345697290111251E-4</v>
      </c>
      <c r="G115" s="142" t="s">
        <v>329</v>
      </c>
      <c r="H115" s="67">
        <v>120.89</v>
      </c>
      <c r="I115" s="142" t="s">
        <v>329</v>
      </c>
      <c r="J115" s="67">
        <v>120.89</v>
      </c>
      <c r="K115" s="91">
        <v>89</v>
      </c>
      <c r="L115" s="92">
        <v>1.5E-3</v>
      </c>
      <c r="M115" s="92">
        <v>1.9099999999999999E-2</v>
      </c>
      <c r="N115" s="142" t="s">
        <v>329</v>
      </c>
      <c r="O115" s="67">
        <v>119909601.18000001</v>
      </c>
      <c r="P115" s="62">
        <f t="shared" si="50"/>
        <v>5.0923392596653099E-4</v>
      </c>
      <c r="Q115" s="142" t="s">
        <v>329</v>
      </c>
      <c r="R115" s="67">
        <v>120.99</v>
      </c>
      <c r="S115" s="142" t="s">
        <v>329</v>
      </c>
      <c r="T115" s="67">
        <v>120.99</v>
      </c>
      <c r="U115" s="91">
        <v>89</v>
      </c>
      <c r="V115" s="92">
        <v>1.5E-3</v>
      </c>
      <c r="W115" s="92">
        <v>1.9099999999999999E-2</v>
      </c>
      <c r="X115" s="158">
        <f t="shared" si="70"/>
        <v>8.3396227167926242E-7</v>
      </c>
      <c r="Y115" s="158">
        <f t="shared" si="71"/>
        <v>8.271982794275318E-4</v>
      </c>
      <c r="Z115" s="158">
        <f t="shared" si="72"/>
        <v>0</v>
      </c>
      <c r="AA115" s="156">
        <f t="shared" si="73"/>
        <v>0</v>
      </c>
      <c r="AB115" s="157">
        <f t="shared" si="74"/>
        <v>0</v>
      </c>
      <c r="AD115" s="40"/>
    </row>
    <row r="116" spans="1:34" ht="15.6" customHeight="1">
      <c r="A116" s="206">
        <v>105</v>
      </c>
      <c r="B116" s="55" t="s">
        <v>162</v>
      </c>
      <c r="C116" s="56" t="s">
        <v>119</v>
      </c>
      <c r="D116" s="142" t="s">
        <v>329</v>
      </c>
      <c r="E116" s="67">
        <v>503967690.41000003</v>
      </c>
      <c r="F116" s="62">
        <f t="shared" si="64"/>
        <v>2.2420665245076088E-3</v>
      </c>
      <c r="G116" s="142" t="s">
        <v>329</v>
      </c>
      <c r="H116" s="67">
        <v>1.41</v>
      </c>
      <c r="I116" s="142" t="s">
        <v>329</v>
      </c>
      <c r="J116" s="67">
        <v>1.41</v>
      </c>
      <c r="K116" s="63">
        <v>946</v>
      </c>
      <c r="L116" s="64">
        <v>-3.1899999999999998E-2</v>
      </c>
      <c r="M116" s="64">
        <v>0.03</v>
      </c>
      <c r="N116" s="142" t="s">
        <v>329</v>
      </c>
      <c r="O116" s="67">
        <v>510872081.83999997</v>
      </c>
      <c r="P116" s="62">
        <f t="shared" si="50"/>
        <v>2.1695793609683833E-3</v>
      </c>
      <c r="Q116" s="142" t="s">
        <v>329</v>
      </c>
      <c r="R116" s="67">
        <v>1.43</v>
      </c>
      <c r="S116" s="142" t="s">
        <v>329</v>
      </c>
      <c r="T116" s="67">
        <v>1.43</v>
      </c>
      <c r="U116" s="63">
        <v>949</v>
      </c>
      <c r="V116" s="64">
        <v>1.04E-2</v>
      </c>
      <c r="W116" s="64">
        <v>3.8899999999999997E-2</v>
      </c>
      <c r="X116" s="158">
        <f t="shared" si="70"/>
        <v>1.3700067606284283E-2</v>
      </c>
      <c r="Y116" s="158">
        <f t="shared" si="71"/>
        <v>1.4184397163120581E-2</v>
      </c>
      <c r="Z116" s="158">
        <f t="shared" si="72"/>
        <v>3.1712473572938688E-3</v>
      </c>
      <c r="AA116" s="156">
        <f t="shared" si="73"/>
        <v>4.2299999999999997E-2</v>
      </c>
      <c r="AB116" s="157">
        <f t="shared" si="74"/>
        <v>8.8999999999999982E-3</v>
      </c>
    </row>
    <row r="117" spans="1:34" ht="16.8" customHeight="1">
      <c r="A117" s="206">
        <v>106</v>
      </c>
      <c r="B117" s="55" t="s">
        <v>163</v>
      </c>
      <c r="C117" s="56" t="s">
        <v>121</v>
      </c>
      <c r="D117" s="142" t="s">
        <v>329</v>
      </c>
      <c r="E117" s="67">
        <v>2116816182.8399999</v>
      </c>
      <c r="F117" s="62">
        <f t="shared" si="64"/>
        <v>9.4173551050870472E-3</v>
      </c>
      <c r="G117" s="142" t="s">
        <v>329</v>
      </c>
      <c r="H117" s="87">
        <v>32.193100000000001</v>
      </c>
      <c r="I117" s="142" t="s">
        <v>329</v>
      </c>
      <c r="J117" s="87">
        <v>32.193100000000001</v>
      </c>
      <c r="K117" s="63">
        <v>1554</v>
      </c>
      <c r="L117" s="64">
        <v>0.14710000000000001</v>
      </c>
      <c r="M117" s="64">
        <v>0.14710000000000001</v>
      </c>
      <c r="N117" s="142" t="s">
        <v>329</v>
      </c>
      <c r="O117" s="67">
        <v>1926756350.77</v>
      </c>
      <c r="P117" s="62">
        <f t="shared" si="50"/>
        <v>8.1825783025555182E-3</v>
      </c>
      <c r="Q117" s="142" t="s">
        <v>329</v>
      </c>
      <c r="R117" s="87">
        <v>32.272300000000001</v>
      </c>
      <c r="S117" s="142" t="s">
        <v>329</v>
      </c>
      <c r="T117" s="87">
        <v>32.272300000000001</v>
      </c>
      <c r="U117" s="63">
        <v>1558</v>
      </c>
      <c r="V117" s="64">
        <v>0.15179999999999999</v>
      </c>
      <c r="W117" s="64">
        <v>0.15179999999999999</v>
      </c>
      <c r="X117" s="158">
        <f t="shared" si="51"/>
        <v>-8.9785704403964134E-2</v>
      </c>
      <c r="Y117" s="158">
        <f t="shared" si="52"/>
        <v>2.4601545051579424E-3</v>
      </c>
      <c r="Z117" s="158">
        <f t="shared" si="53"/>
        <v>2.5740025740025739E-3</v>
      </c>
      <c r="AA117" s="156">
        <f t="shared" si="54"/>
        <v>4.699999999999982E-3</v>
      </c>
      <c r="AB117" s="157">
        <f t="shared" si="55"/>
        <v>4.699999999999982E-3</v>
      </c>
    </row>
    <row r="118" spans="1:34">
      <c r="B118" s="70"/>
      <c r="C118" s="71" t="s">
        <v>52</v>
      </c>
      <c r="D118" s="116" t="s">
        <v>329</v>
      </c>
      <c r="E118" s="85">
        <f>SUM(E80:E117)</f>
        <v>224778205687.13</v>
      </c>
      <c r="F118" s="73">
        <f>(E118/$E$239)</f>
        <v>2.4595196375486149E-2</v>
      </c>
      <c r="G118" s="142" t="s">
        <v>329</v>
      </c>
      <c r="H118" s="74"/>
      <c r="I118" s="142" t="s">
        <v>329</v>
      </c>
      <c r="J118" s="79"/>
      <c r="K118" s="76">
        <f>SUM(K80:K117)</f>
        <v>70934</v>
      </c>
      <c r="L118" s="82"/>
      <c r="M118" s="82"/>
      <c r="N118" s="142" t="s">
        <v>329</v>
      </c>
      <c r="O118" s="85">
        <f>SUM(O80:O117)</f>
        <v>235470566797.78436</v>
      </c>
      <c r="P118" s="73">
        <f>(O118/$O$239)</f>
        <v>2.5338507072984989E-2</v>
      </c>
      <c r="Q118" s="144"/>
      <c r="R118" s="74"/>
      <c r="S118" s="74"/>
      <c r="T118" s="79"/>
      <c r="U118" s="76">
        <f>SUM(U80:U117)</f>
        <v>71624</v>
      </c>
      <c r="V118" s="82"/>
      <c r="W118" s="82"/>
      <c r="X118" s="158">
        <f t="shared" si="51"/>
        <v>4.7568495699877207E-2</v>
      </c>
      <c r="Y118" s="158" t="e">
        <f t="shared" si="52"/>
        <v>#DIV/0!</v>
      </c>
      <c r="Z118" s="158">
        <f t="shared" si="53"/>
        <v>9.7273521865395996E-3</v>
      </c>
      <c r="AA118" s="156">
        <f t="shared" si="54"/>
        <v>0</v>
      </c>
      <c r="AB118" s="157">
        <f t="shared" si="55"/>
        <v>0</v>
      </c>
    </row>
    <row r="119" spans="1:34" ht="3.75" customHeight="1">
      <c r="B119" s="223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</row>
    <row r="120" spans="1:34" ht="15" customHeight="1">
      <c r="A120" s="162"/>
      <c r="B120" s="227" t="s">
        <v>164</v>
      </c>
      <c r="C120" s="227"/>
      <c r="D120" s="227"/>
      <c r="E120" s="227"/>
      <c r="F120" s="227"/>
      <c r="G120" s="227"/>
      <c r="H120" s="227"/>
      <c r="I120" s="227"/>
      <c r="J120" s="227"/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</row>
    <row r="121" spans="1:34">
      <c r="A121" s="164"/>
      <c r="B121" s="226" t="s">
        <v>337</v>
      </c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  <c r="AA121" s="226"/>
      <c r="AB121" s="226"/>
      <c r="AF121" s="23"/>
      <c r="AH121" s="25"/>
    </row>
    <row r="122" spans="1:34" ht="16.5" customHeight="1">
      <c r="A122" s="209">
        <v>107</v>
      </c>
      <c r="B122" s="55" t="s">
        <v>165</v>
      </c>
      <c r="C122" s="56" t="s">
        <v>19</v>
      </c>
      <c r="D122" s="160">
        <v>3278287.17</v>
      </c>
      <c r="E122" s="67">
        <v>4491877608.7771673</v>
      </c>
      <c r="F122" s="62">
        <f t="shared" ref="F122:F127" si="75">(E122/$E$162)</f>
        <v>2.4823891523037211E-3</v>
      </c>
      <c r="G122" s="145">
        <v>119.28319999999999</v>
      </c>
      <c r="H122" s="67">
        <v>163440.69552127999</v>
      </c>
      <c r="I122" s="145">
        <v>119.28319999999999</v>
      </c>
      <c r="J122" s="67">
        <v>163440.69552127999</v>
      </c>
      <c r="K122" s="63">
        <v>190</v>
      </c>
      <c r="L122" s="64">
        <v>2.5999999999999999E-3</v>
      </c>
      <c r="M122" s="64">
        <v>4.1300000000000003E-2</v>
      </c>
      <c r="N122" s="145">
        <v>3309108.45</v>
      </c>
      <c r="O122" s="67">
        <f>N122*C270</f>
        <v>4565312530.6998453</v>
      </c>
      <c r="P122" s="62">
        <f t="shared" ref="P122:P139" si="76">(O122/$O$162)</f>
        <v>2.4777030656560031E-3</v>
      </c>
      <c r="Q122" s="145">
        <v>119.7484</v>
      </c>
      <c r="R122" s="93">
        <f>Q122*C270</f>
        <v>165207.29958284003</v>
      </c>
      <c r="S122" s="145">
        <v>119.7484</v>
      </c>
      <c r="T122" s="67">
        <f>S122*C270</f>
        <v>165207.29958284003</v>
      </c>
      <c r="U122" s="63">
        <v>190</v>
      </c>
      <c r="V122" s="64">
        <v>3.8999999999999998E-3</v>
      </c>
      <c r="W122" s="64">
        <v>4.5400000000000003E-2</v>
      </c>
      <c r="X122" s="158">
        <f>((O122-E122)/E122)</f>
        <v>1.6348379969032444E-2</v>
      </c>
      <c r="Y122" s="158">
        <f>((T122-J122)/J122)</f>
        <v>1.0808838373610713E-2</v>
      </c>
      <c r="Z122" s="158">
        <f>((U122-K122)/K122)</f>
        <v>0</v>
      </c>
      <c r="AA122" s="158">
        <f>V122-L122</f>
        <v>1.2999999999999999E-3</v>
      </c>
      <c r="AB122" s="159">
        <f>W122-M122</f>
        <v>4.0999999999999995E-3</v>
      </c>
      <c r="AD122" s="23"/>
      <c r="AE122" s="26"/>
      <c r="AF122" s="23"/>
      <c r="AG122" s="27"/>
    </row>
    <row r="123" spans="1:34" ht="16.5" customHeight="1">
      <c r="A123" s="209">
        <v>108</v>
      </c>
      <c r="B123" s="55" t="s">
        <v>166</v>
      </c>
      <c r="C123" s="56" t="s">
        <v>56</v>
      </c>
      <c r="D123" s="160">
        <v>4077902.84</v>
      </c>
      <c r="E123" s="67">
        <v>5587503323.5007353</v>
      </c>
      <c r="F123" s="62">
        <f t="shared" si="75"/>
        <v>3.0878752376548324E-3</v>
      </c>
      <c r="G123" s="145">
        <v>107</v>
      </c>
      <c r="H123" s="67">
        <v>146610.37279999998</v>
      </c>
      <c r="I123" s="145">
        <v>107</v>
      </c>
      <c r="J123" s="67">
        <v>146610.37279999998</v>
      </c>
      <c r="K123" s="63">
        <v>117</v>
      </c>
      <c r="L123" s="64">
        <v>1.9819999999999998E-3</v>
      </c>
      <c r="M123" s="64">
        <v>6.9977999999999999E-2</v>
      </c>
      <c r="N123" s="145">
        <v>4083660.57</v>
      </c>
      <c r="O123" s="67">
        <f>4083660.57*C270</f>
        <v>5633900203.9494572</v>
      </c>
      <c r="P123" s="62">
        <f t="shared" si="76"/>
        <v>3.0576508646573798E-3</v>
      </c>
      <c r="Q123" s="145">
        <v>107.15</v>
      </c>
      <c r="R123" s="67">
        <f>107.15*C270</f>
        <v>147826.29371500001</v>
      </c>
      <c r="S123" s="145">
        <v>107.15</v>
      </c>
      <c r="T123" s="67">
        <f>107.15*C270</f>
        <v>147826.29371500001</v>
      </c>
      <c r="U123" s="63">
        <v>117</v>
      </c>
      <c r="V123" s="64">
        <v>1.5100000000000001E-3</v>
      </c>
      <c r="W123" s="64">
        <v>7.1487999999999996E-2</v>
      </c>
      <c r="X123" s="158">
        <f>((O123-E123)/E123)</f>
        <v>8.3036873112144974E-3</v>
      </c>
      <c r="Y123" s="156">
        <f>((T123-J123)/J123)</f>
        <v>8.2935531216385017E-3</v>
      </c>
      <c r="Z123" s="156">
        <f>((U123-K123)/K123)</f>
        <v>0</v>
      </c>
      <c r="AA123" s="156">
        <f>V123-L123</f>
        <v>-4.7199999999999976E-4</v>
      </c>
      <c r="AB123" s="157">
        <f>W123-M123</f>
        <v>1.5099999999999975E-3</v>
      </c>
      <c r="AD123" s="23"/>
      <c r="AE123" s="26"/>
      <c r="AF123" s="23"/>
      <c r="AG123" s="27"/>
    </row>
    <row r="124" spans="1:34">
      <c r="A124" s="209">
        <v>109</v>
      </c>
      <c r="B124" s="55" t="s">
        <v>167</v>
      </c>
      <c r="C124" s="56" t="s">
        <v>23</v>
      </c>
      <c r="D124" s="160">
        <v>12696713.65</v>
      </c>
      <c r="E124" s="67">
        <v>17377440935.382591</v>
      </c>
      <c r="F124" s="62">
        <f t="shared" si="75"/>
        <v>9.6034608753589358E-3</v>
      </c>
      <c r="G124" s="145">
        <v>1.2367999999999999</v>
      </c>
      <c r="H124" s="67">
        <v>1692.7544828799998</v>
      </c>
      <c r="I124" s="145">
        <v>1.2367999999999999</v>
      </c>
      <c r="J124" s="67">
        <v>1692.7544828799998</v>
      </c>
      <c r="K124" s="63">
        <v>345</v>
      </c>
      <c r="L124" s="64">
        <v>5.91E-2</v>
      </c>
      <c r="M124" s="64">
        <v>4.8500000000000001E-2</v>
      </c>
      <c r="N124" s="145">
        <v>12766153.59</v>
      </c>
      <c r="O124" s="67">
        <f>12766153.59*1378.8217</f>
        <v>17602249595.424904</v>
      </c>
      <c r="P124" s="62">
        <f t="shared" si="76"/>
        <v>9.5531570931334901E-3</v>
      </c>
      <c r="Q124" s="145">
        <v>1.2390000000000001</v>
      </c>
      <c r="R124" s="67">
        <f>1.239*1378.8217</f>
        <v>1708.3600863000001</v>
      </c>
      <c r="S124" s="145">
        <v>1.2390000000000001</v>
      </c>
      <c r="T124" s="67">
        <f>1.239*1378.8217</f>
        <v>1708.3600863000001</v>
      </c>
      <c r="U124" s="63">
        <v>345</v>
      </c>
      <c r="V124" s="64">
        <v>9.2799999999999994E-2</v>
      </c>
      <c r="W124" s="64">
        <v>5.0200000000000002E-2</v>
      </c>
      <c r="X124" s="156">
        <f t="shared" ref="X124:X137" si="77">((O124-E124)/E124)</f>
        <v>1.2936810481949316E-2</v>
      </c>
      <c r="Y124" s="156">
        <f t="shared" ref="Y124:Y137" si="78">((T124-J124)/J124)</f>
        <v>9.2190589821681754E-3</v>
      </c>
      <c r="Z124" s="156">
        <f t="shared" ref="Z124:Z137" si="79">((U124-K124)/K124)</f>
        <v>0</v>
      </c>
      <c r="AA124" s="156">
        <f t="shared" ref="AA124:AA137" si="80">V124-L124</f>
        <v>3.3699999999999994E-2</v>
      </c>
      <c r="AB124" s="157">
        <f t="shared" ref="AB124:AB137" si="81">W124-M124</f>
        <v>1.7000000000000001E-3</v>
      </c>
    </row>
    <row r="125" spans="1:34">
      <c r="A125" s="209">
        <v>110</v>
      </c>
      <c r="B125" s="55" t="s">
        <v>168</v>
      </c>
      <c r="C125" s="56" t="s">
        <v>23</v>
      </c>
      <c r="D125" s="160">
        <v>3166941.4</v>
      </c>
      <c r="E125" s="67">
        <v>4334455248.9232397</v>
      </c>
      <c r="F125" s="62">
        <f t="shared" si="75"/>
        <v>2.3953913325795487E-3</v>
      </c>
      <c r="G125" s="145">
        <v>1.069357304</v>
      </c>
      <c r="H125" s="67">
        <v>1463.5829318778065</v>
      </c>
      <c r="I125" s="145">
        <v>1.069357304</v>
      </c>
      <c r="J125" s="67">
        <v>1463.5829318778065</v>
      </c>
      <c r="K125" s="63">
        <v>128</v>
      </c>
      <c r="L125" s="64">
        <v>5.6500000000000002E-2</v>
      </c>
      <c r="M125" s="64">
        <v>4.7399999999999998E-2</v>
      </c>
      <c r="N125" s="145">
        <v>3108742.59</v>
      </c>
      <c r="O125" s="67">
        <f>3108742.59*1378.8217</f>
        <v>4286401742.8062029</v>
      </c>
      <c r="P125" s="62">
        <f t="shared" si="76"/>
        <v>2.3263315857055011E-3</v>
      </c>
      <c r="Q125" s="145">
        <v>1.0704573040000001</v>
      </c>
      <c r="R125" s="67">
        <f>1.070457304*1378.8217</f>
        <v>1475.9697596786968</v>
      </c>
      <c r="S125" s="145">
        <v>1.0704573040000001</v>
      </c>
      <c r="T125" s="67">
        <f>1.070457304*1378.8217</f>
        <v>1475.9697596786968</v>
      </c>
      <c r="U125" s="63">
        <v>127</v>
      </c>
      <c r="V125" s="64">
        <v>5.3600000000000002E-2</v>
      </c>
      <c r="W125" s="64">
        <v>4.7699999999999999E-2</v>
      </c>
      <c r="X125" s="156">
        <f t="shared" si="77"/>
        <v>-1.1086400333461562E-2</v>
      </c>
      <c r="Y125" s="156">
        <f t="shared" ref="Y125" si="82">((T125-J125)/J125)</f>
        <v>8.4633590151245042E-3</v>
      </c>
      <c r="Z125" s="156">
        <f t="shared" ref="Z125" si="83">((U125-K125)/K125)</f>
        <v>-7.8125E-3</v>
      </c>
      <c r="AA125" s="156">
        <f t="shared" ref="AA125" si="84">V125-L125</f>
        <v>-2.8999999999999998E-3</v>
      </c>
      <c r="AB125" s="157">
        <f t="shared" ref="AB125" si="85">W125-M125</f>
        <v>3.0000000000000165E-4</v>
      </c>
    </row>
    <row r="126" spans="1:34">
      <c r="A126" s="209">
        <v>111</v>
      </c>
      <c r="B126" s="55" t="s">
        <v>169</v>
      </c>
      <c r="C126" s="56" t="s">
        <v>27</v>
      </c>
      <c r="D126" s="160">
        <v>36166149.43</v>
      </c>
      <c r="E126" s="67">
        <v>49554510753.951469</v>
      </c>
      <c r="F126" s="62">
        <f t="shared" si="75"/>
        <v>2.7385781772628362E-2</v>
      </c>
      <c r="G126" s="145">
        <v>1.2988</v>
      </c>
      <c r="H126" s="67">
        <v>1779.6032915199999</v>
      </c>
      <c r="I126" s="145">
        <v>1.2988</v>
      </c>
      <c r="J126" s="67">
        <v>1779.6032915199999</v>
      </c>
      <c r="K126" s="63">
        <v>649</v>
      </c>
      <c r="L126" s="64">
        <v>4.7999999999999996E-3</v>
      </c>
      <c r="M126" s="64">
        <v>7.0300000000000001E-2</v>
      </c>
      <c r="N126" s="145">
        <v>34592501.920000002</v>
      </c>
      <c r="O126" s="67">
        <f>34592501.92*C270</f>
        <v>47724510958.120598</v>
      </c>
      <c r="P126" s="62">
        <f t="shared" si="76"/>
        <v>2.5901220631162809E-2</v>
      </c>
      <c r="Q126" s="145">
        <v>1.304</v>
      </c>
      <c r="R126" s="67">
        <f>1.304*C270</f>
        <v>1799.0246104000003</v>
      </c>
      <c r="S126" s="145">
        <v>1.304</v>
      </c>
      <c r="T126" s="67">
        <f>1.304*C270</f>
        <v>1799.0246104000003</v>
      </c>
      <c r="U126" s="63">
        <v>650</v>
      </c>
      <c r="V126" s="64">
        <v>4.0000000000000001E-3</v>
      </c>
      <c r="W126" s="64">
        <v>7.4499999999999997E-2</v>
      </c>
      <c r="X126" s="156">
        <f t="shared" si="77"/>
        <v>-3.6929025591983022E-2</v>
      </c>
      <c r="Y126" s="156">
        <f t="shared" ref="Y126:Z129" si="86">((T126-J126)/J126)</f>
        <v>1.0913285546585052E-2</v>
      </c>
      <c r="Z126" s="156">
        <f t="shared" si="86"/>
        <v>1.5408320493066256E-3</v>
      </c>
      <c r="AA126" s="156">
        <f t="shared" si="80"/>
        <v>-7.999999999999995E-4</v>
      </c>
      <c r="AB126" s="157">
        <f t="shared" si="81"/>
        <v>4.1999999999999954E-3</v>
      </c>
    </row>
    <row r="127" spans="1:34">
      <c r="A127" s="209">
        <v>112</v>
      </c>
      <c r="B127" s="55" t="s">
        <v>170</v>
      </c>
      <c r="C127" s="56" t="s">
        <v>65</v>
      </c>
      <c r="D127" s="160">
        <v>985023.7</v>
      </c>
      <c r="E127" s="67">
        <v>1349670017.5124798</v>
      </c>
      <c r="F127" s="62">
        <f t="shared" si="75"/>
        <v>7.4588101067487472E-4</v>
      </c>
      <c r="G127" s="145">
        <v>1.087</v>
      </c>
      <c r="H127" s="67">
        <v>1489.3969648</v>
      </c>
      <c r="I127" s="145">
        <v>1.0900000000000001</v>
      </c>
      <c r="J127" s="67">
        <v>1493.5075360000001</v>
      </c>
      <c r="K127" s="63">
        <v>80</v>
      </c>
      <c r="L127" s="64">
        <v>3.47E-3</v>
      </c>
      <c r="M127" s="64">
        <v>7.1599999999999997E-2</v>
      </c>
      <c r="N127" s="145">
        <v>1002199.41</v>
      </c>
      <c r="O127" s="67">
        <f>N127*C270</f>
        <v>1382654450.2441411</v>
      </c>
      <c r="P127" s="62">
        <f t="shared" si="76"/>
        <v>7.5039926556521219E-4</v>
      </c>
      <c r="Q127" s="145">
        <v>1.0085</v>
      </c>
      <c r="R127" s="67">
        <f>Q127*C270</f>
        <v>1391.34687085</v>
      </c>
      <c r="S127" s="67">
        <v>1.1000000000000001</v>
      </c>
      <c r="T127" s="67">
        <f>S127*C270</f>
        <v>1517.5821100000003</v>
      </c>
      <c r="U127" s="63">
        <v>81</v>
      </c>
      <c r="V127" s="64">
        <v>1.1199999999999999E-3</v>
      </c>
      <c r="W127" s="64">
        <v>7.1499999999999994E-2</v>
      </c>
      <c r="X127" s="156">
        <f t="shared" si="77"/>
        <v>2.4438886767636392E-2</v>
      </c>
      <c r="Y127" s="156">
        <f t="shared" si="86"/>
        <v>1.6119486122231533E-2</v>
      </c>
      <c r="Z127" s="156">
        <f t="shared" si="86"/>
        <v>1.2500000000000001E-2</v>
      </c>
      <c r="AA127" s="156">
        <f t="shared" si="80"/>
        <v>-2.3500000000000001E-3</v>
      </c>
      <c r="AB127" s="157">
        <f t="shared" si="81"/>
        <v>-1.0000000000000286E-4</v>
      </c>
    </row>
    <row r="128" spans="1:34">
      <c r="A128" s="209">
        <v>113</v>
      </c>
      <c r="B128" s="55" t="s">
        <v>171</v>
      </c>
      <c r="C128" s="56" t="s">
        <v>29</v>
      </c>
      <c r="D128" s="160">
        <v>710973.78</v>
      </c>
      <c r="E128" s="67">
        <v>974169448.00771201</v>
      </c>
      <c r="F128" s="62">
        <v>0</v>
      </c>
      <c r="G128" s="145">
        <v>1.5208999999999999</v>
      </c>
      <c r="H128" s="67">
        <v>2083.9225793599999</v>
      </c>
      <c r="I128" s="145">
        <v>1.5208999999999999</v>
      </c>
      <c r="J128" s="67">
        <v>2083.9225793599999</v>
      </c>
      <c r="K128" s="63">
        <v>87</v>
      </c>
      <c r="L128" s="64">
        <v>2.1800000000000001E-4</v>
      </c>
      <c r="M128" s="64">
        <v>7.7200000000000005E-2</v>
      </c>
      <c r="N128" s="145">
        <v>711973.78</v>
      </c>
      <c r="O128" s="67">
        <f>711973.78*C270</f>
        <v>982253337.56097806</v>
      </c>
      <c r="P128" s="62">
        <f t="shared" si="76"/>
        <v>5.3309211348836051E-4</v>
      </c>
      <c r="Q128" s="145">
        <v>1.5236000000000001</v>
      </c>
      <c r="R128" s="67">
        <f>1.5236*C270</f>
        <v>2101.9891843600003</v>
      </c>
      <c r="S128" s="145">
        <v>1.5236000000000001</v>
      </c>
      <c r="T128" s="67">
        <f>1.5236*C270</f>
        <v>2101.9891843600003</v>
      </c>
      <c r="U128" s="63">
        <v>89</v>
      </c>
      <c r="V128" s="64">
        <v>3.9399999999999998E-4</v>
      </c>
      <c r="W128" s="64">
        <v>7.9100000000000004E-2</v>
      </c>
      <c r="X128" s="156">
        <f t="shared" si="77"/>
        <v>8.2982376113298634E-3</v>
      </c>
      <c r="Y128" s="156">
        <f t="shared" si="86"/>
        <v>8.6695183299702657E-3</v>
      </c>
      <c r="Z128" s="156">
        <f t="shared" si="86"/>
        <v>2.2988505747126436E-2</v>
      </c>
      <c r="AA128" s="156">
        <f t="shared" si="80"/>
        <v>1.7599999999999997E-4</v>
      </c>
      <c r="AB128" s="157">
        <f t="shared" si="81"/>
        <v>1.8999999999999989E-3</v>
      </c>
    </row>
    <row r="129" spans="1:111">
      <c r="A129" s="209">
        <v>114</v>
      </c>
      <c r="B129" s="55" t="s">
        <v>172</v>
      </c>
      <c r="C129" s="56" t="s">
        <v>75</v>
      </c>
      <c r="D129" s="160">
        <v>2997356.01</v>
      </c>
      <c r="E129" s="67">
        <v>4106948430.2843037</v>
      </c>
      <c r="F129" s="62">
        <f t="shared" ref="F129:F139" si="87">(E129/$E$162)</f>
        <v>2.2696620701524342E-3</v>
      </c>
      <c r="G129" s="145">
        <v>111.09</v>
      </c>
      <c r="H129" s="67">
        <v>152214.45153600001</v>
      </c>
      <c r="I129" s="145">
        <v>111.67</v>
      </c>
      <c r="J129" s="67">
        <v>153009.161968</v>
      </c>
      <c r="K129" s="63">
        <v>85</v>
      </c>
      <c r="L129" s="64">
        <v>-2.9999999999999997E-4</v>
      </c>
      <c r="M129" s="64">
        <v>3.73E-2</v>
      </c>
      <c r="N129" s="145">
        <v>2924139.11</v>
      </c>
      <c r="O129" s="67">
        <f>2924139.11*C270</f>
        <v>4034201091.3521109</v>
      </c>
      <c r="P129" s="62">
        <f t="shared" si="76"/>
        <v>2.189456328411242E-3</v>
      </c>
      <c r="Q129" s="145">
        <v>111.09</v>
      </c>
      <c r="R129" s="67">
        <f>111.09*C270</f>
        <v>153261.99690900001</v>
      </c>
      <c r="S129" s="67">
        <v>111.67</v>
      </c>
      <c r="T129" s="67">
        <f>111.67*C270</f>
        <v>154062.17656700002</v>
      </c>
      <c r="U129" s="63">
        <v>85</v>
      </c>
      <c r="V129" s="64">
        <v>0</v>
      </c>
      <c r="W129" s="64">
        <v>3.73E-2</v>
      </c>
      <c r="X129" s="156">
        <f t="shared" si="77"/>
        <v>-1.7713234087810757E-2</v>
      </c>
      <c r="Y129" s="156">
        <f t="shared" si="86"/>
        <v>6.8820362483930321E-3</v>
      </c>
      <c r="Z129" s="156">
        <f t="shared" si="86"/>
        <v>0</v>
      </c>
      <c r="AA129" s="156">
        <f t="shared" si="80"/>
        <v>2.9999999999999997E-4</v>
      </c>
      <c r="AB129" s="157">
        <f t="shared" si="81"/>
        <v>0</v>
      </c>
    </row>
    <row r="130" spans="1:111">
      <c r="A130" s="209">
        <v>115</v>
      </c>
      <c r="B130" s="55" t="s">
        <v>173</v>
      </c>
      <c r="C130" s="56" t="s">
        <v>78</v>
      </c>
      <c r="D130" s="160">
        <v>3246399.38</v>
      </c>
      <c r="E130" s="67">
        <v>4447567150.5999994</v>
      </c>
      <c r="F130" s="62">
        <f t="shared" si="87"/>
        <v>2.457901441307839E-3</v>
      </c>
      <c r="G130" s="145">
        <v>114.91</v>
      </c>
      <c r="H130" s="67">
        <v>157426.69999999998</v>
      </c>
      <c r="I130" s="145">
        <v>114.91</v>
      </c>
      <c r="J130" s="67">
        <v>157426.69999999998</v>
      </c>
      <c r="K130" s="63">
        <v>69</v>
      </c>
      <c r="L130" s="64">
        <v>6.9999999999999999E-4</v>
      </c>
      <c r="M130" s="64">
        <v>5.6399999999999999E-2</v>
      </c>
      <c r="N130" s="145">
        <v>3248110.04</v>
      </c>
      <c r="O130" s="67">
        <f>N130*1381.7</f>
        <v>4487913642.2680006</v>
      </c>
      <c r="P130" s="62">
        <f t="shared" si="76"/>
        <v>2.4356968586643976E-3</v>
      </c>
      <c r="Q130" s="145">
        <v>115.08</v>
      </c>
      <c r="R130" s="67">
        <f>Q130*1381.7</f>
        <v>159006.03599999999</v>
      </c>
      <c r="S130" s="145">
        <v>115.08</v>
      </c>
      <c r="T130" s="67">
        <f>S130*1381.7</f>
        <v>159006.03599999999</v>
      </c>
      <c r="U130" s="63">
        <v>68</v>
      </c>
      <c r="V130" s="64">
        <v>6.9999999999999999E-4</v>
      </c>
      <c r="W130" s="64">
        <v>5.7000000000000002E-2</v>
      </c>
      <c r="X130" s="156">
        <f t="shared" si="77"/>
        <v>9.0715868477799656E-3</v>
      </c>
      <c r="Y130" s="156">
        <f t="shared" si="78"/>
        <v>1.0032199112348861E-2</v>
      </c>
      <c r="Z130" s="156">
        <f t="shared" si="79"/>
        <v>-1.4492753623188406E-2</v>
      </c>
      <c r="AA130" s="156">
        <f t="shared" si="80"/>
        <v>0</v>
      </c>
      <c r="AB130" s="157">
        <f t="shared" si="81"/>
        <v>6.0000000000000331E-4</v>
      </c>
      <c r="AD130" s="24"/>
    </row>
    <row r="131" spans="1:111">
      <c r="A131" s="209">
        <v>116</v>
      </c>
      <c r="B131" s="55" t="s">
        <v>319</v>
      </c>
      <c r="C131" s="56" t="s">
        <v>38</v>
      </c>
      <c r="D131" s="160">
        <v>8381887.0300000003</v>
      </c>
      <c r="E131" s="67">
        <v>11484781142.390512</v>
      </c>
      <c r="F131" s="62">
        <f t="shared" si="87"/>
        <v>6.3469441083488908E-3</v>
      </c>
      <c r="G131" s="145">
        <v>1.53</v>
      </c>
      <c r="H131" s="67">
        <v>2096.3913119999997</v>
      </c>
      <c r="I131" s="145">
        <v>1.53</v>
      </c>
      <c r="J131" s="67">
        <v>2096.3913119999997</v>
      </c>
      <c r="K131" s="81">
        <v>121</v>
      </c>
      <c r="L131" s="82">
        <v>6.3E-3</v>
      </c>
      <c r="M131" s="82">
        <v>6.4500000000000002E-2</v>
      </c>
      <c r="N131" s="146">
        <v>8351820.3399999999</v>
      </c>
      <c r="O131" s="67">
        <f>8351820.34*C270</f>
        <v>11522339212.652834</v>
      </c>
      <c r="P131" s="62">
        <f t="shared" si="76"/>
        <v>6.253445957694787E-3</v>
      </c>
      <c r="Q131" s="145" t="s">
        <v>347</v>
      </c>
      <c r="R131" s="67">
        <f>1.54*C270</f>
        <v>2124.6149540000001</v>
      </c>
      <c r="S131" s="67">
        <v>1.54</v>
      </c>
      <c r="T131" s="67">
        <f>1.54*C270</f>
        <v>2124.6149540000001</v>
      </c>
      <c r="U131" s="81">
        <v>121</v>
      </c>
      <c r="V131" s="82">
        <v>2.8999999999999998E-3</v>
      </c>
      <c r="W131" s="82">
        <v>6.9099999999999995E-2</v>
      </c>
      <c r="X131" s="156">
        <f>((O131-E131)/E131)</f>
        <v>3.2702469291029002E-3</v>
      </c>
      <c r="Y131" s="156">
        <f>((T131-J131)/J131)</f>
        <v>1.3462964589885872E-2</v>
      </c>
      <c r="Z131" s="156">
        <f>((U131-K131)/K131)</f>
        <v>0</v>
      </c>
      <c r="AA131" s="156">
        <f>V131-L131</f>
        <v>-3.4000000000000002E-3</v>
      </c>
      <c r="AB131" s="157">
        <f>W131-M131</f>
        <v>4.599999999999993E-3</v>
      </c>
      <c r="AD131" s="24"/>
    </row>
    <row r="132" spans="1:111">
      <c r="A132" s="209">
        <v>117</v>
      </c>
      <c r="B132" s="55" t="s">
        <v>323</v>
      </c>
      <c r="C132" s="56" t="s">
        <v>79</v>
      </c>
      <c r="D132" s="160">
        <v>38504388.899999999</v>
      </c>
      <c r="E132" s="67">
        <v>52811464683.572998</v>
      </c>
      <c r="F132" s="62">
        <f t="shared" si="87"/>
        <v>2.9185703277312118E-2</v>
      </c>
      <c r="G132" s="145">
        <v>132.72999999999999</v>
      </c>
      <c r="H132" s="67">
        <v>182048.48609999998</v>
      </c>
      <c r="I132" s="145">
        <v>132.78</v>
      </c>
      <c r="J132" s="67">
        <v>182117.06459999998</v>
      </c>
      <c r="K132" s="63">
        <v>2712</v>
      </c>
      <c r="L132" s="64">
        <v>1.8E-3</v>
      </c>
      <c r="M132" s="64">
        <v>3.7600000000000001E-2</v>
      </c>
      <c r="N132" s="145">
        <v>38627305.25</v>
      </c>
      <c r="O132" s="66">
        <f>N132*1381.58000016529</f>
        <v>53366712393.679703</v>
      </c>
      <c r="P132" s="62">
        <f t="shared" si="76"/>
        <v>2.8963376770512694E-2</v>
      </c>
      <c r="Q132" s="145">
        <v>132.96</v>
      </c>
      <c r="R132" s="67">
        <f>Q132*1381.58000016529</f>
        <v>183694.87682197697</v>
      </c>
      <c r="S132" s="67">
        <v>133</v>
      </c>
      <c r="T132" s="67">
        <f>S132*1381.58000016529</f>
        <v>183750.14002198356</v>
      </c>
      <c r="U132" s="63">
        <v>2713</v>
      </c>
      <c r="V132" s="64">
        <v>1.6999999999999999E-3</v>
      </c>
      <c r="W132" s="64">
        <v>3.95E-2</v>
      </c>
      <c r="X132" s="156">
        <f t="shared" si="77"/>
        <v>1.0513772216573543E-2</v>
      </c>
      <c r="Y132" s="156">
        <f t="shared" si="78"/>
        <v>8.9671740842652472E-3</v>
      </c>
      <c r="Z132" s="156">
        <f t="shared" si="79"/>
        <v>3.687315634218289E-4</v>
      </c>
      <c r="AA132" s="156">
        <f t="shared" si="80"/>
        <v>-1.0000000000000005E-4</v>
      </c>
      <c r="AB132" s="157">
        <f t="shared" si="81"/>
        <v>1.8999999999999989E-3</v>
      </c>
      <c r="DG132" s="166" t="s">
        <v>339</v>
      </c>
    </row>
    <row r="133" spans="1:111">
      <c r="A133" s="209">
        <v>118</v>
      </c>
      <c r="B133" s="210" t="s">
        <v>324</v>
      </c>
      <c r="C133" s="56" t="s">
        <v>79</v>
      </c>
      <c r="D133" s="160">
        <v>118807563.29000001</v>
      </c>
      <c r="E133" s="67">
        <v>162952889581.66531</v>
      </c>
      <c r="F133" s="62">
        <f t="shared" si="87"/>
        <v>9.0054209100366225E-2</v>
      </c>
      <c r="G133" s="145">
        <v>129.6</v>
      </c>
      <c r="H133" s="67">
        <v>177755.47199999998</v>
      </c>
      <c r="I133" s="145">
        <v>129.63999999999999</v>
      </c>
      <c r="J133" s="67">
        <v>177810.33479999998</v>
      </c>
      <c r="K133" s="63">
        <v>1100</v>
      </c>
      <c r="L133" s="64">
        <v>1.6000000000000001E-3</v>
      </c>
      <c r="M133" s="64">
        <v>3.95E-2</v>
      </c>
      <c r="N133" s="145">
        <v>118731523.58</v>
      </c>
      <c r="O133" s="66">
        <f>N133*1381.58000016529</f>
        <v>164037098367.28152</v>
      </c>
      <c r="P133" s="62">
        <f t="shared" si="76"/>
        <v>8.9026812244029183E-2</v>
      </c>
      <c r="Q133" s="145">
        <v>129.81</v>
      </c>
      <c r="R133" s="67">
        <f>Q133*1381.58000016529</f>
        <v>179342.89982145629</v>
      </c>
      <c r="S133" s="67">
        <v>129.85</v>
      </c>
      <c r="T133" s="67">
        <f>S133*1381.58000016529</f>
        <v>179398.16302146288</v>
      </c>
      <c r="U133" s="63">
        <v>1099</v>
      </c>
      <c r="V133" s="64">
        <v>1.6000000000000001E-3</v>
      </c>
      <c r="W133" s="64">
        <v>4.1099999999999998E-2</v>
      </c>
      <c r="X133" s="156">
        <f t="shared" si="77"/>
        <v>6.6535106459272081E-3</v>
      </c>
      <c r="Y133" s="156">
        <f t="shared" si="78"/>
        <v>8.929898384415505E-3</v>
      </c>
      <c r="Z133" s="156">
        <f t="shared" si="79"/>
        <v>-9.0909090909090909E-4</v>
      </c>
      <c r="AA133" s="156">
        <f t="shared" si="80"/>
        <v>0</v>
      </c>
      <c r="AB133" s="157">
        <f t="shared" si="81"/>
        <v>1.5999999999999973E-3</v>
      </c>
      <c r="AD133" s="23"/>
    </row>
    <row r="134" spans="1:111">
      <c r="A134" s="209">
        <v>119</v>
      </c>
      <c r="B134" s="55" t="s">
        <v>174</v>
      </c>
      <c r="C134" s="56" t="s">
        <v>83</v>
      </c>
      <c r="D134" s="160">
        <v>1539424.49</v>
      </c>
      <c r="E134" s="67">
        <v>2109304657.7228959</v>
      </c>
      <c r="F134" s="62">
        <f t="shared" si="87"/>
        <v>1.1656851448943347E-3</v>
      </c>
      <c r="G134" s="145">
        <v>1</v>
      </c>
      <c r="H134" s="67">
        <v>1370.1904</v>
      </c>
      <c r="I134" s="145">
        <v>1</v>
      </c>
      <c r="J134" s="67">
        <v>1370.1904</v>
      </c>
      <c r="K134" s="63">
        <v>16</v>
      </c>
      <c r="L134" s="64">
        <v>8.3299999999999999E-2</v>
      </c>
      <c r="M134" s="64">
        <v>8.4699999999999998E-2</v>
      </c>
      <c r="N134" s="145">
        <v>1542058.45</v>
      </c>
      <c r="O134" s="67">
        <f>N134*C270</f>
        <v>2127454832.9948452</v>
      </c>
      <c r="P134" s="62">
        <f t="shared" si="76"/>
        <v>1.1546200454644346E-3</v>
      </c>
      <c r="Q134" s="145">
        <v>1</v>
      </c>
      <c r="R134" s="67">
        <f>1*C270</f>
        <v>1379.6201000000001</v>
      </c>
      <c r="S134" s="67">
        <v>1</v>
      </c>
      <c r="T134" s="67">
        <f>1*C270</f>
        <v>1379.6201000000001</v>
      </c>
      <c r="U134" s="63">
        <v>16</v>
      </c>
      <c r="V134" s="64">
        <v>8.6300000000000002E-2</v>
      </c>
      <c r="W134" s="64">
        <v>8.4000000000000005E-2</v>
      </c>
      <c r="X134" s="156">
        <f t="shared" ref="X134" si="88">((O134-E134)/E134)</f>
        <v>8.6048144849513349E-3</v>
      </c>
      <c r="Y134" s="156">
        <f t="shared" ref="Y134" si="89">((T134-J134)/J134)</f>
        <v>6.882036248393026E-3</v>
      </c>
      <c r="Z134" s="156">
        <f t="shared" si="79"/>
        <v>0</v>
      </c>
      <c r="AA134" s="156">
        <f t="shared" si="80"/>
        <v>3.0000000000000027E-3</v>
      </c>
      <c r="AB134" s="157">
        <f t="shared" si="81"/>
        <v>-6.999999999999923E-4</v>
      </c>
    </row>
    <row r="135" spans="1:111">
      <c r="A135" s="209">
        <v>120</v>
      </c>
      <c r="B135" s="55" t="s">
        <v>175</v>
      </c>
      <c r="C135" s="56" t="s">
        <v>33</v>
      </c>
      <c r="D135" s="160">
        <v>214653.00200000001</v>
      </c>
      <c r="E135" s="67">
        <v>294115482.67158079</v>
      </c>
      <c r="F135" s="62">
        <f t="shared" si="87"/>
        <v>1.6253984353488746E-4</v>
      </c>
      <c r="G135" s="145">
        <v>147.0575</v>
      </c>
      <c r="H135" s="67">
        <v>201496.774748</v>
      </c>
      <c r="I135" s="145">
        <v>147.0575</v>
      </c>
      <c r="J135" s="67">
        <v>201496.774748</v>
      </c>
      <c r="K135" s="63">
        <v>11</v>
      </c>
      <c r="L135" s="64">
        <v>1.1000000000000001E-3</v>
      </c>
      <c r="M135" s="64">
        <v>8.7099999999999997E-2</v>
      </c>
      <c r="N135" s="145">
        <v>214904.6586</v>
      </c>
      <c r="O135" s="67">
        <f>N135*C270</f>
        <v>296486786.58819789</v>
      </c>
      <c r="P135" s="62">
        <f t="shared" si="76"/>
        <v>1.6091039005898305E-4</v>
      </c>
      <c r="Q135" s="145">
        <v>147.22989999999999</v>
      </c>
      <c r="R135" s="67">
        <f>Q135*C270</f>
        <v>203121.32936099</v>
      </c>
      <c r="S135" s="145">
        <v>147.22989999999999</v>
      </c>
      <c r="T135" s="67">
        <f>S135*C270</f>
        <v>203121.32936099</v>
      </c>
      <c r="U135" s="63">
        <v>11</v>
      </c>
      <c r="V135" s="64">
        <v>1.1999999999999999E-3</v>
      </c>
      <c r="W135" s="64">
        <v>8.8300000000000003E-2</v>
      </c>
      <c r="X135" s="156">
        <f t="shared" si="77"/>
        <v>8.0624926477093108E-3</v>
      </c>
      <c r="Y135" s="156">
        <f t="shared" si="78"/>
        <v>8.0624348207148071E-3</v>
      </c>
      <c r="Z135" s="156">
        <f t="shared" si="79"/>
        <v>0</v>
      </c>
      <c r="AA135" s="156">
        <f t="shared" si="80"/>
        <v>9.9999999999999829E-5</v>
      </c>
      <c r="AB135" s="157">
        <f t="shared" si="81"/>
        <v>1.2000000000000066E-3</v>
      </c>
    </row>
    <row r="136" spans="1:111">
      <c r="A136" s="209">
        <v>121</v>
      </c>
      <c r="B136" s="55" t="s">
        <v>314</v>
      </c>
      <c r="C136" s="56" t="s">
        <v>312</v>
      </c>
      <c r="D136" s="160">
        <v>55010.18</v>
      </c>
      <c r="E136" s="67">
        <v>75374420.538271993</v>
      </c>
      <c r="F136" s="62">
        <f t="shared" si="87"/>
        <v>4.1654884705623618E-5</v>
      </c>
      <c r="G136" s="145">
        <v>1</v>
      </c>
      <c r="H136" s="61">
        <v>1370.1904</v>
      </c>
      <c r="I136" s="145">
        <v>1</v>
      </c>
      <c r="J136" s="61">
        <v>1370.1904</v>
      </c>
      <c r="K136" s="63">
        <v>3</v>
      </c>
      <c r="L136" s="64">
        <v>9.7099999999999997E-4</v>
      </c>
      <c r="M136" s="64">
        <v>0</v>
      </c>
      <c r="N136" s="145">
        <v>50046.07</v>
      </c>
      <c r="O136" s="67">
        <f>50046.07*C270</f>
        <v>69044564.098007008</v>
      </c>
      <c r="P136" s="62">
        <f t="shared" si="76"/>
        <v>3.7472117622205747E-5</v>
      </c>
      <c r="Q136" s="145">
        <v>1</v>
      </c>
      <c r="R136" s="61">
        <f>Q136*C270</f>
        <v>1379.6201000000001</v>
      </c>
      <c r="S136" s="61">
        <v>1</v>
      </c>
      <c r="T136" s="61">
        <f>1*C270</f>
        <v>1379.6201000000001</v>
      </c>
      <c r="U136" s="63">
        <v>3</v>
      </c>
      <c r="V136" s="64">
        <v>-9.0240000000000001E-2</v>
      </c>
      <c r="W136" s="64">
        <v>0</v>
      </c>
      <c r="X136" s="156">
        <f>((O136-E136)/E136)</f>
        <v>-8.3978840501346838E-2</v>
      </c>
      <c r="Y136" s="156">
        <f>((T136-J136)/J136)</f>
        <v>6.882036248393026E-3</v>
      </c>
      <c r="Z136" s="156">
        <f>((U136-K136)/K136)</f>
        <v>0</v>
      </c>
      <c r="AA136" s="156">
        <f>V136-L136</f>
        <v>-9.1211E-2</v>
      </c>
      <c r="AB136" s="157">
        <f>W136-M136</f>
        <v>0</v>
      </c>
    </row>
    <row r="137" spans="1:111">
      <c r="A137" s="209">
        <v>122</v>
      </c>
      <c r="B137" s="55" t="s">
        <v>176</v>
      </c>
      <c r="C137" s="56" t="s">
        <v>98</v>
      </c>
      <c r="D137" s="160">
        <v>32604353</v>
      </c>
      <c r="E137" s="67">
        <v>44674171478.811195</v>
      </c>
      <c r="F137" s="62">
        <f t="shared" si="87"/>
        <v>2.4688713345719891E-2</v>
      </c>
      <c r="G137" s="145">
        <v>104.9</v>
      </c>
      <c r="H137" s="67">
        <v>143732.97296000001</v>
      </c>
      <c r="I137" s="145">
        <v>104.9</v>
      </c>
      <c r="J137" s="67">
        <v>143732.97296000001</v>
      </c>
      <c r="K137" s="63">
        <v>958</v>
      </c>
      <c r="L137" s="82">
        <v>-4.7399999999999998E-2</v>
      </c>
      <c r="M137" s="64">
        <v>0.14929999999999999</v>
      </c>
      <c r="N137" s="145">
        <v>32852690</v>
      </c>
      <c r="O137" s="67">
        <f>32852690*C270</f>
        <v>45324231463.069</v>
      </c>
      <c r="P137" s="62">
        <f t="shared" si="76"/>
        <v>2.4598532190157237E-2</v>
      </c>
      <c r="Q137" s="145">
        <v>105.14</v>
      </c>
      <c r="R137" s="67">
        <f>105.14*C270</f>
        <v>145053.25731400002</v>
      </c>
      <c r="S137" s="145">
        <v>105.14</v>
      </c>
      <c r="T137" s="67">
        <f>105.14*C270</f>
        <v>145053.25731400002</v>
      </c>
      <c r="U137" s="63">
        <v>962</v>
      </c>
      <c r="V137" s="82">
        <v>2.3E-3</v>
      </c>
      <c r="W137" s="64">
        <v>0.14829999999999999</v>
      </c>
      <c r="X137" s="156">
        <f t="shared" si="77"/>
        <v>1.4551136881545215E-2</v>
      </c>
      <c r="Y137" s="156">
        <f t="shared" si="78"/>
        <v>9.185674844194797E-3</v>
      </c>
      <c r="Z137" s="156">
        <f t="shared" si="79"/>
        <v>4.1753653444676405E-3</v>
      </c>
      <c r="AA137" s="156">
        <f t="shared" si="80"/>
        <v>4.9699999999999994E-2</v>
      </c>
      <c r="AB137" s="157">
        <f t="shared" si="81"/>
        <v>-1.0000000000000009E-3</v>
      </c>
    </row>
    <row r="138" spans="1:111">
      <c r="A138" s="209">
        <v>123</v>
      </c>
      <c r="B138" s="55" t="s">
        <v>177</v>
      </c>
      <c r="C138" s="56" t="s">
        <v>42</v>
      </c>
      <c r="D138" s="160">
        <v>2042884.53</v>
      </c>
      <c r="E138" s="67">
        <v>2799140771.3145118</v>
      </c>
      <c r="F138" s="62">
        <f t="shared" si="87"/>
        <v>1.5469158538301837E-3</v>
      </c>
      <c r="G138" s="145">
        <v>162.34</v>
      </c>
      <c r="H138" s="67">
        <v>222436.70953600001</v>
      </c>
      <c r="I138" s="145">
        <v>168.85</v>
      </c>
      <c r="J138" s="67">
        <v>232726.83943999998</v>
      </c>
      <c r="K138" s="63">
        <v>53</v>
      </c>
      <c r="L138" s="64">
        <v>0</v>
      </c>
      <c r="M138" s="64">
        <v>-2.0000000000000001E-4</v>
      </c>
      <c r="N138" s="145">
        <v>2050238.59</v>
      </c>
      <c r="O138" s="67">
        <f>2050238.59*C270</f>
        <v>2828550368.5596595</v>
      </c>
      <c r="P138" s="62">
        <f t="shared" si="76"/>
        <v>1.5351211713140567E-3</v>
      </c>
      <c r="Q138" s="145">
        <v>162.91999999999999</v>
      </c>
      <c r="R138" s="67">
        <f>162.92*C270</f>
        <v>224767.70669200001</v>
      </c>
      <c r="S138" s="67">
        <v>169.49</v>
      </c>
      <c r="T138" s="67">
        <f>169.49*C270</f>
        <v>233831.81074900003</v>
      </c>
      <c r="U138" s="63">
        <v>53</v>
      </c>
      <c r="V138" s="64">
        <v>-1E-4</v>
      </c>
      <c r="W138" s="64">
        <v>-2.0000000000000001E-4</v>
      </c>
      <c r="X138" s="156">
        <f t="shared" ref="X138:X139" si="90">((O138-E138)/E138)</f>
        <v>1.0506651736324282E-2</v>
      </c>
      <c r="Y138" s="156">
        <f t="shared" ref="Y138:Y139" si="91">((T138-J138)/J138)</f>
        <v>4.7479324329711449E-3</v>
      </c>
      <c r="Z138" s="156">
        <f t="shared" ref="Z138:Z139" si="92">((U138-K138)/K138)</f>
        <v>0</v>
      </c>
      <c r="AA138" s="156">
        <f t="shared" ref="AA138:AA139" si="93">V138-L138</f>
        <v>-1E-4</v>
      </c>
      <c r="AB138" s="157">
        <f t="shared" ref="AB138:AB139" si="94">W138-M138</f>
        <v>0</v>
      </c>
    </row>
    <row r="139" spans="1:111" ht="15" customHeight="1">
      <c r="A139" s="209">
        <v>124</v>
      </c>
      <c r="B139" s="55" t="s">
        <v>178</v>
      </c>
      <c r="C139" s="56" t="s">
        <v>49</v>
      </c>
      <c r="D139" s="160">
        <v>104398709.69</v>
      </c>
      <c r="E139" s="61">
        <v>143190138249.51328</v>
      </c>
      <c r="F139" s="62">
        <f t="shared" si="87"/>
        <v>7.9132531396871195E-2</v>
      </c>
      <c r="G139" s="145">
        <v>120.78</v>
      </c>
      <c r="H139" s="67">
        <v>165658.22459999999</v>
      </c>
      <c r="I139" s="145">
        <v>120.78</v>
      </c>
      <c r="J139" s="67">
        <v>175971.333744</v>
      </c>
      <c r="K139" s="63">
        <v>4511</v>
      </c>
      <c r="L139" s="64">
        <v>1.1000000000000001E-3</v>
      </c>
      <c r="M139" s="64">
        <v>5.91E-2</v>
      </c>
      <c r="N139" s="145">
        <v>108829829.93000001</v>
      </c>
      <c r="O139" s="61">
        <f>108829829.93*1381.58</f>
        <v>150357116434.68939</v>
      </c>
      <c r="P139" s="62">
        <f t="shared" si="76"/>
        <v>8.1602362560776867E-2</v>
      </c>
      <c r="Q139" s="145">
        <v>120.9645</v>
      </c>
      <c r="R139" s="67">
        <f>120.9645*1381.58</f>
        <v>167122.13391</v>
      </c>
      <c r="S139" s="145">
        <v>120.9645</v>
      </c>
      <c r="T139" s="67">
        <f>120.9645*1381.58</f>
        <v>167122.13391</v>
      </c>
      <c r="U139" s="63">
        <v>4535</v>
      </c>
      <c r="V139" s="64">
        <v>1.5E-3</v>
      </c>
      <c r="W139" s="64">
        <v>7.6399999999999996E-2</v>
      </c>
      <c r="X139" s="156">
        <f t="shared" si="90"/>
        <v>5.0052177285333954E-2</v>
      </c>
      <c r="Y139" s="156">
        <f t="shared" si="91"/>
        <v>-5.0287735199380026E-2</v>
      </c>
      <c r="Z139" s="156">
        <f t="shared" si="92"/>
        <v>5.3203280868986923E-3</v>
      </c>
      <c r="AA139" s="156">
        <f t="shared" si="93"/>
        <v>3.9999999999999996E-4</v>
      </c>
      <c r="AB139" s="157">
        <f t="shared" si="94"/>
        <v>1.7299999999999996E-2</v>
      </c>
    </row>
    <row r="140" spans="1:111" ht="4.8" customHeight="1">
      <c r="B140" s="223"/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  <c r="W140" s="223"/>
      <c r="X140" s="223"/>
      <c r="Y140" s="223"/>
      <c r="Z140" s="223"/>
      <c r="AA140" s="223"/>
      <c r="AB140" s="223"/>
    </row>
    <row r="141" spans="1:111">
      <c r="A141" s="164"/>
      <c r="B141" s="226" t="s">
        <v>332</v>
      </c>
      <c r="C141" s="226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6"/>
      <c r="X141" s="226"/>
      <c r="Y141" s="226"/>
      <c r="Z141" s="226"/>
      <c r="AA141" s="226"/>
      <c r="AB141" s="226"/>
      <c r="AC141" s="28">
        <v>1374.9431</v>
      </c>
      <c r="AE141" s="31"/>
    </row>
    <row r="142" spans="1:111">
      <c r="A142" s="206">
        <v>125</v>
      </c>
      <c r="B142" s="55" t="s">
        <v>309</v>
      </c>
      <c r="C142" s="56" t="s">
        <v>310</v>
      </c>
      <c r="D142" s="160">
        <v>453927.48</v>
      </c>
      <c r="E142" s="61">
        <v>621967075.39219201</v>
      </c>
      <c r="F142" s="62">
        <f>(E142/$E$162)</f>
        <v>3.4372359523481423E-4</v>
      </c>
      <c r="G142" s="145">
        <v>1.01</v>
      </c>
      <c r="H142" s="67">
        <v>1383.892304</v>
      </c>
      <c r="I142" s="145">
        <v>1.01</v>
      </c>
      <c r="J142" s="67">
        <v>1383.892304</v>
      </c>
      <c r="K142" s="63">
        <v>43</v>
      </c>
      <c r="L142" s="64">
        <v>8.3599999999999994E-2</v>
      </c>
      <c r="M142" s="64">
        <v>8.48E-2</v>
      </c>
      <c r="N142" s="145">
        <v>456552.2</v>
      </c>
      <c r="O142" s="61">
        <f>456552.2*C270</f>
        <v>629868591.81922007</v>
      </c>
      <c r="P142" s="62">
        <f>(O142/$O$162)</f>
        <v>3.4184457918627381E-4</v>
      </c>
      <c r="Q142" s="145">
        <v>1.01</v>
      </c>
      <c r="R142" s="67">
        <f>1.01*C270</f>
        <v>1393.4163010000002</v>
      </c>
      <c r="S142" s="67">
        <v>1.01</v>
      </c>
      <c r="T142" s="67">
        <f>1.01*C270</f>
        <v>1393.4163010000002</v>
      </c>
      <c r="U142" s="63">
        <v>44</v>
      </c>
      <c r="V142" s="64">
        <v>8.3400000000000002E-2</v>
      </c>
      <c r="W142" s="64">
        <v>8.4599999999999995E-2</v>
      </c>
      <c r="X142" s="156">
        <f>((O142-E142)/E142)</f>
        <v>1.2704075086363089E-2</v>
      </c>
      <c r="Y142" s="156">
        <f>((T142-J142)/J142)</f>
        <v>6.8820362483930945E-3</v>
      </c>
      <c r="Z142" s="156">
        <f>((U142-K142)/K142)</f>
        <v>2.3255813953488372E-2</v>
      </c>
      <c r="AA142" s="156">
        <f>V142-L142</f>
        <v>-1.9999999999999185E-4</v>
      </c>
      <c r="AB142" s="157">
        <f>W142-M142</f>
        <v>-2.0000000000000573E-4</v>
      </c>
      <c r="AC142" s="28"/>
      <c r="AE142" s="31"/>
    </row>
    <row r="143" spans="1:111">
      <c r="A143" s="206">
        <v>126</v>
      </c>
      <c r="B143" s="55" t="s">
        <v>179</v>
      </c>
      <c r="C143" s="56" t="s">
        <v>60</v>
      </c>
      <c r="D143" s="160">
        <v>1064437.98</v>
      </c>
      <c r="E143" s="61">
        <v>1458482701.591392</v>
      </c>
      <c r="F143" s="62">
        <f>(E143/$E$162)</f>
        <v>8.060152017896851E-4</v>
      </c>
      <c r="G143" s="145">
        <v>119.26</v>
      </c>
      <c r="H143" s="67">
        <v>163408.90710400001</v>
      </c>
      <c r="I143" s="145">
        <v>119.26</v>
      </c>
      <c r="J143" s="67">
        <v>163408.90710400001</v>
      </c>
      <c r="K143" s="63">
        <v>76</v>
      </c>
      <c r="L143" s="64">
        <v>3.3999999999999998E-3</v>
      </c>
      <c r="M143" s="64">
        <v>6.0999999999999999E-2</v>
      </c>
      <c r="N143" s="145">
        <v>1067996.1200000001</v>
      </c>
      <c r="O143" s="61">
        <f>1067996.12*C270</f>
        <v>1473428913.8740122</v>
      </c>
      <c r="P143" s="62">
        <f>(O143/$O$162)</f>
        <v>7.9966471350696202E-4</v>
      </c>
      <c r="Q143" s="145">
        <v>119.66</v>
      </c>
      <c r="R143" s="67">
        <f>119.66*C270</f>
        <v>165085.341166</v>
      </c>
      <c r="S143" s="67">
        <v>119.66</v>
      </c>
      <c r="T143" s="67">
        <f>119.66*C270</f>
        <v>165085.341166</v>
      </c>
      <c r="U143" s="63">
        <v>76</v>
      </c>
      <c r="V143" s="64">
        <v>2.0999999999999999E-3</v>
      </c>
      <c r="W143" s="64">
        <v>6.5199999999999994E-2</v>
      </c>
      <c r="X143" s="156">
        <f>((O143-E143)/E143)</f>
        <v>1.0247781661251076E-2</v>
      </c>
      <c r="Y143" s="156">
        <f>((T143-J143)/J143)</f>
        <v>1.0259135145754543E-2</v>
      </c>
      <c r="Z143" s="156">
        <f>((U143-K143)/K143)</f>
        <v>0</v>
      </c>
      <c r="AA143" s="156">
        <f>V143-L143</f>
        <v>-1.2999999999999999E-3</v>
      </c>
      <c r="AB143" s="157">
        <f>W143-M143</f>
        <v>4.1999999999999954E-3</v>
      </c>
    </row>
    <row r="144" spans="1:111">
      <c r="A144" s="206">
        <v>127</v>
      </c>
      <c r="B144" s="56" t="s">
        <v>180</v>
      </c>
      <c r="C144" s="56" t="s">
        <v>25</v>
      </c>
      <c r="D144" s="160">
        <v>20143022.43</v>
      </c>
      <c r="E144" s="67">
        <v>27599775960.570671</v>
      </c>
      <c r="F144" s="62">
        <f>(E144/$E$162)</f>
        <v>1.5252727348727827E-2</v>
      </c>
      <c r="G144" s="145">
        <v>139.06</v>
      </c>
      <c r="H144" s="61">
        <v>190538.677024</v>
      </c>
      <c r="I144" s="145">
        <v>139.06</v>
      </c>
      <c r="J144" s="61">
        <v>190538.677024</v>
      </c>
      <c r="K144" s="63">
        <v>693</v>
      </c>
      <c r="L144" s="64">
        <v>5.0000000000000001E-4</v>
      </c>
      <c r="M144" s="64">
        <v>2.5399999999999999E-2</v>
      </c>
      <c r="N144" s="145">
        <v>20618252.460000001</v>
      </c>
      <c r="O144" s="67">
        <f>20618252.46*C270</f>
        <v>28445355520.690449</v>
      </c>
      <c r="P144" s="62">
        <f>(O144/$O$162)</f>
        <v>1.5437967084037827E-2</v>
      </c>
      <c r="Q144" s="145">
        <v>139.18</v>
      </c>
      <c r="R144" s="61">
        <f>139.18*C270</f>
        <v>192015.52551800001</v>
      </c>
      <c r="S144" s="184">
        <v>139.18</v>
      </c>
      <c r="T144" s="61">
        <f>139.18*C270</f>
        <v>192015.52551800001</v>
      </c>
      <c r="U144" s="63">
        <v>695</v>
      </c>
      <c r="V144" s="64">
        <v>5.0000000000000001E-4</v>
      </c>
      <c r="W144" s="64">
        <v>2.63E-2</v>
      </c>
      <c r="X144" s="156">
        <f t="shared" ref="X144:X162" si="95">((O144-E144)/E144)</f>
        <v>3.0637189277470278E-2</v>
      </c>
      <c r="Y144" s="156">
        <f t="shared" ref="Y144:Y162" si="96">((T144-J144)/J144)</f>
        <v>7.7509118729421188E-3</v>
      </c>
      <c r="Z144" s="156">
        <f t="shared" ref="Z144:Z162" si="97">((U144-K144)/K144)</f>
        <v>2.886002886002886E-3</v>
      </c>
      <c r="AA144" s="156">
        <f t="shared" ref="AA144:AA162" si="98">V144-L144</f>
        <v>0</v>
      </c>
      <c r="AB144" s="157">
        <f t="shared" ref="AB144:AB162" si="99">W144-M144</f>
        <v>9.0000000000000149E-4</v>
      </c>
    </row>
    <row r="145" spans="1:30">
      <c r="A145" s="206">
        <v>128</v>
      </c>
      <c r="B145" s="56" t="s">
        <v>181</v>
      </c>
      <c r="C145" s="56" t="s">
        <v>130</v>
      </c>
      <c r="D145" s="160">
        <v>442170.51</v>
      </c>
      <c r="E145" s="67">
        <v>605857787.96510398</v>
      </c>
      <c r="F145" s="62">
        <f>(E145/$E$162)</f>
        <v>3.3482096612439364E-4</v>
      </c>
      <c r="G145" s="145">
        <v>105.81</v>
      </c>
      <c r="H145" s="61">
        <v>144979.84622400001</v>
      </c>
      <c r="I145" s="145">
        <v>105.81</v>
      </c>
      <c r="J145" s="61">
        <v>144979.84622400001</v>
      </c>
      <c r="K145" s="63">
        <v>20</v>
      </c>
      <c r="L145" s="64">
        <v>9.2000000000000003E-4</v>
      </c>
      <c r="M145" s="64">
        <v>6.3210000000000002E-2</v>
      </c>
      <c r="N145" s="145">
        <v>432154.8</v>
      </c>
      <c r="O145" s="67">
        <f>N145*C270</f>
        <v>596209448.39147997</v>
      </c>
      <c r="P145" s="62">
        <f>(O145/$O$162)</f>
        <v>3.2357696611543717E-4</v>
      </c>
      <c r="Q145" s="145">
        <v>105.95</v>
      </c>
      <c r="R145" s="61">
        <f>Q145*C270</f>
        <v>146170.749595</v>
      </c>
      <c r="S145" s="61">
        <v>105.95</v>
      </c>
      <c r="T145" s="61">
        <f>S145*C270</f>
        <v>146170.749595</v>
      </c>
      <c r="U145" s="63">
        <v>19</v>
      </c>
      <c r="V145" s="64">
        <v>9.3999999999999997E-4</v>
      </c>
      <c r="W145" s="64">
        <v>6.3479999999999995E-2</v>
      </c>
      <c r="X145" s="156">
        <v>0</v>
      </c>
      <c r="Y145" s="156">
        <f t="shared" ref="Y145" si="100">((T145-J145)/J145)</f>
        <v>8.2142684105209821E-3</v>
      </c>
      <c r="Z145" s="156">
        <f t="shared" ref="Z145" si="101">((U145-K145)/K145)</f>
        <v>-0.05</v>
      </c>
      <c r="AA145" s="156">
        <f t="shared" ref="AA145" si="102">V145-L145</f>
        <v>1.9999999999999944E-5</v>
      </c>
      <c r="AB145" s="157">
        <f t="shared" ref="AB145" si="103">W145-M145</f>
        <v>2.6999999999999247E-4</v>
      </c>
    </row>
    <row r="146" spans="1:30">
      <c r="A146" s="206">
        <v>129</v>
      </c>
      <c r="B146" s="55" t="s">
        <v>182</v>
      </c>
      <c r="C146" s="56" t="s">
        <v>69</v>
      </c>
      <c r="D146" s="160">
        <v>14188504.34</v>
      </c>
      <c r="E146" s="61">
        <v>19480816458.82</v>
      </c>
      <c r="F146" s="62">
        <f>(E146/$E$162)</f>
        <v>1.0765869346239694E-2</v>
      </c>
      <c r="G146" s="145">
        <v>116.94</v>
      </c>
      <c r="H146" s="61">
        <v>160558.62</v>
      </c>
      <c r="I146" s="145">
        <v>116.94</v>
      </c>
      <c r="J146" s="61">
        <v>160558.62</v>
      </c>
      <c r="K146" s="63">
        <v>477</v>
      </c>
      <c r="L146" s="64">
        <v>1.2999999999999999E-3</v>
      </c>
      <c r="M146" s="64">
        <v>6.8400000000000002E-2</v>
      </c>
      <c r="N146" s="145">
        <v>14287523.1</v>
      </c>
      <c r="O146" s="61">
        <v>19716781878</v>
      </c>
      <c r="P146" s="62">
        <f t="shared" ref="P146:P147" si="104">(O146/$O$118)</f>
        <v>8.373353046256618E-2</v>
      </c>
      <c r="Q146" s="145">
        <v>117.07</v>
      </c>
      <c r="R146" s="61">
        <v>161556.6</v>
      </c>
      <c r="S146" s="145">
        <v>117.07</v>
      </c>
      <c r="T146" s="61">
        <v>161556.6</v>
      </c>
      <c r="U146" s="63">
        <v>478</v>
      </c>
      <c r="V146" s="64">
        <v>1.1000000000000001E-3</v>
      </c>
      <c r="W146" s="64">
        <v>6.8400000000000002E-2</v>
      </c>
      <c r="X146" s="156">
        <f t="shared" si="95"/>
        <v>1.2112706861070303E-2</v>
      </c>
      <c r="Y146" s="156">
        <f t="shared" si="96"/>
        <v>6.2156737520539882E-3</v>
      </c>
      <c r="Z146" s="156">
        <f t="shared" si="97"/>
        <v>2.0964360587002098E-3</v>
      </c>
      <c r="AA146" s="156">
        <f t="shared" si="98"/>
        <v>-1.9999999999999987E-4</v>
      </c>
      <c r="AB146" s="157">
        <f t="shared" si="99"/>
        <v>0</v>
      </c>
    </row>
    <row r="147" spans="1:30">
      <c r="A147" s="206">
        <v>130</v>
      </c>
      <c r="B147" s="55" t="s">
        <v>183</v>
      </c>
      <c r="C147" s="56" t="s">
        <v>71</v>
      </c>
      <c r="D147" s="160">
        <v>249904.52</v>
      </c>
      <c r="E147" s="67">
        <v>342416774.220608</v>
      </c>
      <c r="F147" s="62">
        <f t="shared" ref="F147" si="105">(E147/$E$118)</f>
        <v>1.5233539798659116E-3</v>
      </c>
      <c r="G147" s="145">
        <v>1.0247999999999999</v>
      </c>
      <c r="H147" s="66">
        <v>1404.1711219199999</v>
      </c>
      <c r="I147" s="145">
        <v>1.0247999999999999</v>
      </c>
      <c r="J147" s="66">
        <v>1404.1711219199999</v>
      </c>
      <c r="K147" s="63">
        <v>13</v>
      </c>
      <c r="L147" s="64">
        <v>-1.6400000000000001E-2</v>
      </c>
      <c r="M147" s="64">
        <v>4.2500000000000003E-2</v>
      </c>
      <c r="N147" s="145">
        <v>260901.53</v>
      </c>
      <c r="O147" s="67">
        <f>N147*C270</f>
        <v>359944994.90875304</v>
      </c>
      <c r="P147" s="62">
        <f t="shared" si="104"/>
        <v>1.5286199027068376E-3</v>
      </c>
      <c r="Q147" s="145">
        <v>1.0287999999999999</v>
      </c>
      <c r="R147" s="66">
        <f>Q147*C270</f>
        <v>1419.3531588799999</v>
      </c>
      <c r="S147" s="145">
        <v>1.0287999999999999</v>
      </c>
      <c r="T147" s="66">
        <f>S147*C270</f>
        <v>1419.3531588799999</v>
      </c>
      <c r="U147" s="63">
        <v>14</v>
      </c>
      <c r="V147" s="64">
        <v>3.8999999999999998E-3</v>
      </c>
      <c r="W147" s="64">
        <v>4.65E-2</v>
      </c>
      <c r="X147" s="158">
        <f t="shared" si="95"/>
        <v>5.1189725526858035E-2</v>
      </c>
      <c r="Y147" s="158">
        <f t="shared" si="96"/>
        <v>1.0812098841087671E-2</v>
      </c>
      <c r="Z147" s="158">
        <f t="shared" si="97"/>
        <v>7.6923076923076927E-2</v>
      </c>
      <c r="AA147" s="156">
        <f t="shared" si="98"/>
        <v>2.0300000000000002E-2</v>
      </c>
      <c r="AB147" s="157">
        <f t="shared" si="99"/>
        <v>3.9999999999999966E-3</v>
      </c>
    </row>
    <row r="148" spans="1:30">
      <c r="A148" s="206">
        <v>131</v>
      </c>
      <c r="B148" s="55" t="s">
        <v>184</v>
      </c>
      <c r="C148" s="56" t="s">
        <v>67</v>
      </c>
      <c r="D148" s="160">
        <v>10325772.62100946</v>
      </c>
      <c r="E148" s="61">
        <v>14148274517.889999</v>
      </c>
      <c r="F148" s="62">
        <f t="shared" ref="F148:F161" si="106">(E148/$E$162)</f>
        <v>7.8188958484526686E-3</v>
      </c>
      <c r="G148" s="145">
        <v>1.3890405304255526</v>
      </c>
      <c r="H148" s="61">
        <v>1903.25</v>
      </c>
      <c r="I148" s="145">
        <v>1.3890405304255526</v>
      </c>
      <c r="J148" s="61">
        <v>1903.25</v>
      </c>
      <c r="K148" s="63">
        <v>377</v>
      </c>
      <c r="L148" s="64">
        <v>0.1084</v>
      </c>
      <c r="M148" s="64">
        <v>7.2099999999999997E-2</v>
      </c>
      <c r="N148" s="145">
        <f>O148/C270</f>
        <v>10783676.150934594</v>
      </c>
      <c r="O148" s="61">
        <v>14877376369.719999</v>
      </c>
      <c r="P148" s="62">
        <f t="shared" ref="P148:P161" si="107">(O148/$O$162)</f>
        <v>8.0743039588842044E-3</v>
      </c>
      <c r="Q148" s="145">
        <f>R148/C270</f>
        <v>1.3917382038722108</v>
      </c>
      <c r="R148" s="61">
        <v>1920.07</v>
      </c>
      <c r="S148" s="61">
        <f>T148/C270</f>
        <v>1.3917382038722108</v>
      </c>
      <c r="T148" s="61">
        <v>1920.07</v>
      </c>
      <c r="U148" s="63">
        <v>386</v>
      </c>
      <c r="V148" s="64">
        <v>7.9500000000000001E-2</v>
      </c>
      <c r="W148" s="64">
        <v>7.2499999999999995E-2</v>
      </c>
      <c r="X148" s="156">
        <f t="shared" si="95"/>
        <v>5.1532916675321505E-2</v>
      </c>
      <c r="Y148" s="156">
        <f t="shared" si="96"/>
        <v>8.837514777354491E-3</v>
      </c>
      <c r="Z148" s="158">
        <f t="shared" si="97"/>
        <v>2.3872679045092837E-2</v>
      </c>
      <c r="AA148" s="156">
        <f t="shared" si="98"/>
        <v>-2.8899999999999995E-2</v>
      </c>
      <c r="AB148" s="157">
        <f t="shared" si="99"/>
        <v>3.9999999999999758E-4</v>
      </c>
    </row>
    <row r="149" spans="1:30">
      <c r="A149" s="206">
        <v>132</v>
      </c>
      <c r="B149" s="55" t="s">
        <v>185</v>
      </c>
      <c r="C149" s="56" t="s">
        <v>89</v>
      </c>
      <c r="D149" s="160">
        <v>191186.79</v>
      </c>
      <c r="E149" s="61">
        <v>261962304.26481602</v>
      </c>
      <c r="F149" s="62">
        <f t="shared" si="106"/>
        <v>1.4477072597632429E-4</v>
      </c>
      <c r="G149" s="145">
        <v>1.07</v>
      </c>
      <c r="H149" s="61">
        <v>1466.103728</v>
      </c>
      <c r="I149" s="145">
        <v>1.07</v>
      </c>
      <c r="J149" s="61">
        <v>1466.103728</v>
      </c>
      <c r="K149" s="63">
        <v>10</v>
      </c>
      <c r="L149" s="64">
        <v>6.8000000000000005E-2</v>
      </c>
      <c r="M149" s="64">
        <v>6.8000000000000005E-2</v>
      </c>
      <c r="N149" s="145">
        <v>191412.59</v>
      </c>
      <c r="O149" s="61">
        <f>191412.59*C270</f>
        <v>264076656.55705902</v>
      </c>
      <c r="P149" s="62">
        <f t="shared" si="107"/>
        <v>1.4332064609371011E-4</v>
      </c>
      <c r="Q149" s="145">
        <v>1.07</v>
      </c>
      <c r="R149" s="61">
        <f>1.07*C270</f>
        <v>1476.1935070000002</v>
      </c>
      <c r="S149" s="145">
        <v>1.07</v>
      </c>
      <c r="T149" s="61">
        <f>1.07*C270</f>
        <v>1476.1935070000002</v>
      </c>
      <c r="U149" s="63">
        <v>10</v>
      </c>
      <c r="V149" s="64">
        <v>6.8000000000000005E-2</v>
      </c>
      <c r="W149" s="64">
        <v>6.8000000000000005E-2</v>
      </c>
      <c r="X149" s="156">
        <f t="shared" si="95"/>
        <v>8.0712081769811379E-3</v>
      </c>
      <c r="Y149" s="156">
        <f t="shared" si="96"/>
        <v>6.8820362483930156E-3</v>
      </c>
      <c r="Z149" s="158">
        <f t="shared" si="97"/>
        <v>0</v>
      </c>
      <c r="AA149" s="156">
        <f t="shared" si="98"/>
        <v>0</v>
      </c>
      <c r="AB149" s="157">
        <f t="shared" si="99"/>
        <v>0</v>
      </c>
    </row>
    <row r="150" spans="1:30" ht="15.6">
      <c r="A150" s="209">
        <v>133</v>
      </c>
      <c r="B150" s="55" t="s">
        <v>186</v>
      </c>
      <c r="C150" s="56" t="s">
        <v>35</v>
      </c>
      <c r="D150" s="160">
        <v>106001552.607264</v>
      </c>
      <c r="E150" s="61">
        <v>146248222101.19</v>
      </c>
      <c r="F150" s="62">
        <f t="shared" si="106"/>
        <v>8.0822549434184571E-2</v>
      </c>
      <c r="G150" s="145">
        <v>100</v>
      </c>
      <c r="H150" s="61">
        <v>137968</v>
      </c>
      <c r="I150" s="145">
        <v>100</v>
      </c>
      <c r="J150" s="61">
        <v>137968</v>
      </c>
      <c r="K150" s="63">
        <v>3799</v>
      </c>
      <c r="L150" s="64">
        <v>5.8200000000000002E-2</v>
      </c>
      <c r="M150" s="64">
        <v>5.0799999999999998E-2</v>
      </c>
      <c r="N150" s="145">
        <f>O150/1379.68</f>
        <v>107313317.42999826</v>
      </c>
      <c r="O150" s="61">
        <v>148058037791.82001</v>
      </c>
      <c r="P150" s="62">
        <f t="shared" si="107"/>
        <v>8.0354598215331613E-2</v>
      </c>
      <c r="Q150" s="145">
        <v>100</v>
      </c>
      <c r="R150" s="61">
        <f>100*1379.68</f>
        <v>137968</v>
      </c>
      <c r="S150" s="61">
        <v>100</v>
      </c>
      <c r="T150" s="61">
        <f>100*1379.68</f>
        <v>137968</v>
      </c>
      <c r="U150" s="63">
        <v>3823</v>
      </c>
      <c r="V150" s="64">
        <v>5.8599999999999999E-2</v>
      </c>
      <c r="W150" s="64">
        <v>5.0999999999999997E-2</v>
      </c>
      <c r="X150" s="156">
        <f t="shared" si="95"/>
        <v>1.2374958578147931E-2</v>
      </c>
      <c r="Y150" s="156">
        <f t="shared" si="96"/>
        <v>0</v>
      </c>
      <c r="Z150" s="156">
        <f t="shared" si="97"/>
        <v>6.3174519610423793E-3</v>
      </c>
      <c r="AA150" s="156">
        <f t="shared" si="98"/>
        <v>3.9999999999999758E-4</v>
      </c>
      <c r="AB150" s="157">
        <f t="shared" si="99"/>
        <v>1.9999999999999879E-4</v>
      </c>
      <c r="AD150" s="29"/>
    </row>
    <row r="151" spans="1:30" ht="15.6">
      <c r="A151" s="206">
        <v>134</v>
      </c>
      <c r="B151" s="55" t="s">
        <v>187</v>
      </c>
      <c r="C151" s="56" t="s">
        <v>143</v>
      </c>
      <c r="D151" s="160">
        <v>1161587.8600000001</v>
      </c>
      <c r="E151" s="61">
        <v>1591596534.5285442</v>
      </c>
      <c r="F151" s="62">
        <f t="shared" si="106"/>
        <v>8.7957916850575797E-4</v>
      </c>
      <c r="G151" s="145">
        <v>1.1599999999999999</v>
      </c>
      <c r="H151" s="61">
        <v>1589.4208639999999</v>
      </c>
      <c r="I151" s="145">
        <v>1.1599999999999999</v>
      </c>
      <c r="J151" s="61">
        <v>1589.4208639999999</v>
      </c>
      <c r="K151" s="63">
        <v>53</v>
      </c>
      <c r="L151" s="64">
        <v>1.9E-3</v>
      </c>
      <c r="M151" s="64">
        <v>0.10059999999999999</v>
      </c>
      <c r="N151" s="145">
        <v>1153914.79</v>
      </c>
      <c r="O151" s="61">
        <f>1153914.79*C270</f>
        <v>1591964037.9712791</v>
      </c>
      <c r="P151" s="62">
        <f t="shared" si="107"/>
        <v>8.6399652833644763E-4</v>
      </c>
      <c r="Q151" s="145">
        <v>1.1599999999999999</v>
      </c>
      <c r="R151" s="61">
        <f>1.16*C270</f>
        <v>1600.359316</v>
      </c>
      <c r="S151" s="61">
        <v>1.1599999999999999</v>
      </c>
      <c r="T151" s="61">
        <f>1.16*C270</f>
        <v>1600.359316</v>
      </c>
      <c r="U151" s="63">
        <v>53</v>
      </c>
      <c r="V151" s="64">
        <v>1.9E-3</v>
      </c>
      <c r="W151" s="64">
        <v>0.10059999999999999</v>
      </c>
      <c r="X151" s="156">
        <f t="shared" si="95"/>
        <v>2.3090238936956283E-4</v>
      </c>
      <c r="Y151" s="156">
        <f t="shared" si="96"/>
        <v>6.8820362483929861E-3</v>
      </c>
      <c r="Z151" s="156">
        <f t="shared" si="97"/>
        <v>0</v>
      </c>
      <c r="AA151" s="156">
        <f t="shared" si="98"/>
        <v>0</v>
      </c>
      <c r="AB151" s="157">
        <f t="shared" si="99"/>
        <v>0</v>
      </c>
      <c r="AD151" s="29"/>
    </row>
    <row r="152" spans="1:30" ht="15.6">
      <c r="A152" s="206">
        <v>135</v>
      </c>
      <c r="B152" s="55" t="s">
        <v>303</v>
      </c>
      <c r="C152" s="56" t="s">
        <v>40</v>
      </c>
      <c r="D152" s="160">
        <v>6080107.3099999996</v>
      </c>
      <c r="E152" s="67">
        <v>8330904667.1318235</v>
      </c>
      <c r="F152" s="62">
        <f t="shared" si="106"/>
        <v>4.6039872800974178E-3</v>
      </c>
      <c r="G152" s="145">
        <v>10.88</v>
      </c>
      <c r="H152" s="61">
        <v>14907.671552</v>
      </c>
      <c r="I152" s="145">
        <v>10.88</v>
      </c>
      <c r="J152" s="61">
        <v>14907.671552</v>
      </c>
      <c r="K152" s="63">
        <v>169</v>
      </c>
      <c r="L152" s="64">
        <v>6.0699999999999997E-2</v>
      </c>
      <c r="M152" s="64">
        <v>7.8799999999999995E-2</v>
      </c>
      <c r="N152" s="145">
        <v>611465.48</v>
      </c>
      <c r="O152" s="67">
        <f>6114615.48*C270</f>
        <v>8435846419.9791489</v>
      </c>
      <c r="P152" s="62">
        <f t="shared" si="107"/>
        <v>4.5783333332891085E-3</v>
      </c>
      <c r="Q152" s="145">
        <v>10.92</v>
      </c>
      <c r="R152" s="61">
        <f>10.92*C270</f>
        <v>15065.451492</v>
      </c>
      <c r="S152" s="61">
        <v>10.92</v>
      </c>
      <c r="T152" s="61">
        <f>10.92*C270</f>
        <v>15065.451492</v>
      </c>
      <c r="U152" s="63">
        <v>173</v>
      </c>
      <c r="V152" s="64">
        <v>6.0600000000000001E-2</v>
      </c>
      <c r="W152" s="64">
        <v>7.8600000000000003E-2</v>
      </c>
      <c r="X152" s="156">
        <f t="shared" si="95"/>
        <v>1.2596681517837466E-2</v>
      </c>
      <c r="Y152" s="156">
        <f t="shared" si="96"/>
        <v>1.0583808440482628E-2</v>
      </c>
      <c r="Z152" s="156">
        <f t="shared" si="97"/>
        <v>2.3668639053254437E-2</v>
      </c>
      <c r="AA152" s="156">
        <f t="shared" si="98"/>
        <v>-9.9999999999995925E-5</v>
      </c>
      <c r="AB152" s="157">
        <f t="shared" si="99"/>
        <v>-1.9999999999999185E-4</v>
      </c>
      <c r="AD152" s="29"/>
    </row>
    <row r="153" spans="1:30" ht="15.6">
      <c r="A153" s="206">
        <v>136</v>
      </c>
      <c r="B153" s="56" t="s">
        <v>188</v>
      </c>
      <c r="C153" s="89" t="s">
        <v>44</v>
      </c>
      <c r="D153" s="160">
        <v>28949097.658252459</v>
      </c>
      <c r="E153" s="61">
        <v>39665775700</v>
      </c>
      <c r="F153" s="62">
        <f t="shared" si="106"/>
        <v>2.1920875832188606E-2</v>
      </c>
      <c r="G153" s="145">
        <v>1.0789</v>
      </c>
      <c r="H153" s="61">
        <v>1478.2984225599998</v>
      </c>
      <c r="I153" s="145">
        <v>1.0845</v>
      </c>
      <c r="J153" s="61">
        <v>1485.9714888000001</v>
      </c>
      <c r="K153" s="63">
        <v>782</v>
      </c>
      <c r="L153" s="64">
        <v>2.5000000000000001E-3</v>
      </c>
      <c r="M153" s="64">
        <v>8.3699999999999997E-2</v>
      </c>
      <c r="N153" s="145">
        <f>O153/C270</f>
        <v>29480070.404164158</v>
      </c>
      <c r="O153" s="61">
        <v>40671297679</v>
      </c>
      <c r="P153" s="62">
        <f t="shared" si="107"/>
        <v>2.2073274998331453E-2</v>
      </c>
      <c r="Q153" s="145">
        <v>1.0900000000000001</v>
      </c>
      <c r="R153" s="61">
        <f>Q153*C270</f>
        <v>1503.7859090000002</v>
      </c>
      <c r="S153" s="61">
        <v>1.0900000000000001</v>
      </c>
      <c r="T153" s="61">
        <f>S153*C270</f>
        <v>1503.7859090000002</v>
      </c>
      <c r="U153" s="63">
        <v>782</v>
      </c>
      <c r="V153" s="64">
        <v>1.2699999999999999E-2</v>
      </c>
      <c r="W153" s="64">
        <v>9.7000000000000003E-2</v>
      </c>
      <c r="X153" s="156">
        <f t="shared" si="95"/>
        <v>2.534986298024168E-2</v>
      </c>
      <c r="Y153" s="156">
        <f t="shared" si="96"/>
        <v>1.1988399733285707E-2</v>
      </c>
      <c r="Z153" s="156">
        <f t="shared" si="97"/>
        <v>0</v>
      </c>
      <c r="AA153" s="156">
        <f t="shared" si="98"/>
        <v>1.0199999999999999E-2</v>
      </c>
      <c r="AB153" s="157">
        <f t="shared" si="99"/>
        <v>1.3300000000000006E-2</v>
      </c>
      <c r="AD153" s="29"/>
    </row>
    <row r="154" spans="1:30">
      <c r="A154" s="206">
        <v>137</v>
      </c>
      <c r="B154" s="55" t="s">
        <v>189</v>
      </c>
      <c r="C154" s="56" t="s">
        <v>100</v>
      </c>
      <c r="D154" s="160">
        <v>337841.78</v>
      </c>
      <c r="E154" s="67">
        <v>461829713.26000005</v>
      </c>
      <c r="F154" s="62">
        <f t="shared" si="106"/>
        <v>2.5522535791447354E-4</v>
      </c>
      <c r="G154" s="145">
        <v>1.36</v>
      </c>
      <c r="H154" s="61">
        <v>1859.1200000000001</v>
      </c>
      <c r="I154" s="145">
        <v>1.36</v>
      </c>
      <c r="J154" s="61">
        <v>1859.1200000000001</v>
      </c>
      <c r="K154" s="63">
        <v>2</v>
      </c>
      <c r="L154" s="64">
        <v>2.8999999999999998E-3</v>
      </c>
      <c r="M154" s="64">
        <v>2.01E-2</v>
      </c>
      <c r="N154" s="145">
        <v>339485.11</v>
      </c>
      <c r="O154" s="67">
        <f>N154*1378.39</f>
        <v>467942880.77289999</v>
      </c>
      <c r="P154" s="62">
        <f t="shared" si="107"/>
        <v>2.5396366676898254E-4</v>
      </c>
      <c r="Q154" s="145">
        <v>1.36</v>
      </c>
      <c r="R154" s="61">
        <f>1.36*1378.39</f>
        <v>1874.6104000000003</v>
      </c>
      <c r="S154" s="61">
        <v>1.36</v>
      </c>
      <c r="T154" s="61">
        <f>1.36*1378.39</f>
        <v>1874.6104000000003</v>
      </c>
      <c r="U154" s="63">
        <v>2</v>
      </c>
      <c r="V154" s="64">
        <v>4.3E-3</v>
      </c>
      <c r="W154" s="64">
        <v>2.5100000000000001E-2</v>
      </c>
      <c r="X154" s="156">
        <f t="shared" si="95"/>
        <v>1.3236843228963822E-2</v>
      </c>
      <c r="Y154" s="156">
        <f t="shared" si="96"/>
        <v>8.3321141185077538E-3</v>
      </c>
      <c r="Z154" s="156">
        <f t="shared" si="97"/>
        <v>0</v>
      </c>
      <c r="AA154" s="156">
        <f t="shared" ref="AA154" si="108">V154-L154</f>
        <v>1.4000000000000002E-3</v>
      </c>
      <c r="AB154" s="157">
        <f t="shared" ref="AB154" si="109">W154-M154</f>
        <v>5.000000000000001E-3</v>
      </c>
    </row>
    <row r="155" spans="1:30">
      <c r="A155" s="206">
        <v>138</v>
      </c>
      <c r="B155" s="55" t="s">
        <v>190</v>
      </c>
      <c r="C155" s="56" t="s">
        <v>105</v>
      </c>
      <c r="D155" s="160">
        <v>554145.91</v>
      </c>
      <c r="E155" s="67">
        <v>759285406.08126402</v>
      </c>
      <c r="F155" s="62">
        <f t="shared" si="106"/>
        <v>4.1961113363277278E-4</v>
      </c>
      <c r="G155" s="145">
        <v>1.0842000000000001</v>
      </c>
      <c r="H155" s="61">
        <v>1485.56043168</v>
      </c>
      <c r="I155" s="145">
        <v>1.0842000000000001</v>
      </c>
      <c r="J155" s="61">
        <v>1485.56043168</v>
      </c>
      <c r="K155" s="63">
        <v>17</v>
      </c>
      <c r="L155" s="64">
        <v>2.8799999999999999E-2</v>
      </c>
      <c r="M155" s="64">
        <v>2.9700000000000001E-2</v>
      </c>
      <c r="N155" s="145">
        <v>555678.78</v>
      </c>
      <c r="O155" s="67">
        <f>555678.78*C270</f>
        <v>766625614.03147805</v>
      </c>
      <c r="P155" s="62">
        <f t="shared" si="107"/>
        <v>4.16065849013195E-4</v>
      </c>
      <c r="Q155" s="145">
        <v>1.0871999999999999</v>
      </c>
      <c r="R155" s="61">
        <f>1.0872*C270</f>
        <v>1499.92297272</v>
      </c>
      <c r="S155" s="61">
        <v>1.0871999999999999</v>
      </c>
      <c r="T155" s="61">
        <f>1.0872*C270</f>
        <v>1499.92297272</v>
      </c>
      <c r="U155" s="63">
        <v>17</v>
      </c>
      <c r="V155" s="64">
        <v>3.8999999999999998E-3</v>
      </c>
      <c r="W155" s="64">
        <v>3.3599999999999998E-2</v>
      </c>
      <c r="X155" s="156">
        <f t="shared" ref="X155" si="110">((O155-E155)/E155)</f>
        <v>9.6672580447679877E-3</v>
      </c>
      <c r="Y155" s="156">
        <f t="shared" ref="Y155" si="111">((T155-J155)/J155)</f>
        <v>9.6680961162634062E-3</v>
      </c>
      <c r="Z155" s="156">
        <f t="shared" si="97"/>
        <v>0</v>
      </c>
      <c r="AA155" s="156">
        <f t="shared" si="98"/>
        <v>-2.4899999999999999E-2</v>
      </c>
      <c r="AB155" s="157">
        <f t="shared" si="99"/>
        <v>3.8999999999999972E-3</v>
      </c>
    </row>
    <row r="156" spans="1:30">
      <c r="A156" s="209">
        <v>139</v>
      </c>
      <c r="B156" s="55" t="s">
        <v>191</v>
      </c>
      <c r="C156" s="56" t="s">
        <v>46</v>
      </c>
      <c r="D156" s="160">
        <v>627171126.60000002</v>
      </c>
      <c r="E156" s="67">
        <v>860209102110.76196</v>
      </c>
      <c r="F156" s="62">
        <f t="shared" si="106"/>
        <v>0.47538555806154226</v>
      </c>
      <c r="G156" s="145">
        <v>1.704</v>
      </c>
      <c r="H156" s="61">
        <v>2337.1552799999999</v>
      </c>
      <c r="I156" s="145">
        <v>1.704</v>
      </c>
      <c r="J156" s="61">
        <v>2337.1552799999999</v>
      </c>
      <c r="K156" s="63">
        <v>13765</v>
      </c>
      <c r="L156" s="64">
        <v>8.0000000000000004E-4</v>
      </c>
      <c r="M156" s="64">
        <v>1.8700000000000001E-2</v>
      </c>
      <c r="N156" s="145">
        <v>626324198.72000003</v>
      </c>
      <c r="O156" s="67">
        <f>N156*1381.58</f>
        <v>865316986467.57764</v>
      </c>
      <c r="P156" s="62">
        <f t="shared" si="107"/>
        <v>0.46962799057401322</v>
      </c>
      <c r="Q156" s="145">
        <v>1.7052</v>
      </c>
      <c r="R156" s="61">
        <f>Q156*1381.58</f>
        <v>2355.8702159999998</v>
      </c>
      <c r="S156" s="145">
        <v>1.7052</v>
      </c>
      <c r="T156" s="61">
        <f>S156*1381.58</f>
        <v>2355.8702159999998</v>
      </c>
      <c r="U156" s="63">
        <v>13792</v>
      </c>
      <c r="V156" s="64">
        <v>6.9999999999999999E-4</v>
      </c>
      <c r="W156" s="64">
        <v>1.9400000000000001E-2</v>
      </c>
      <c r="X156" s="156">
        <f t="shared" si="95"/>
        <v>5.9379566483103476E-3</v>
      </c>
      <c r="Y156" s="156">
        <f t="shared" si="96"/>
        <v>8.0075706394655364E-3</v>
      </c>
      <c r="Z156" s="156">
        <f t="shared" si="97"/>
        <v>1.9614965492190336E-3</v>
      </c>
      <c r="AA156" s="156">
        <f t="shared" si="98"/>
        <v>-1.0000000000000005E-4</v>
      </c>
      <c r="AB156" s="157">
        <f t="shared" si="99"/>
        <v>6.9999999999999923E-4</v>
      </c>
    </row>
    <row r="157" spans="1:30">
      <c r="A157" s="206">
        <v>140</v>
      </c>
      <c r="B157" s="55" t="s">
        <v>192</v>
      </c>
      <c r="C157" s="55" t="s">
        <v>110</v>
      </c>
      <c r="D157" s="160">
        <v>491076.6</v>
      </c>
      <c r="E157" s="67">
        <v>672868442.98464</v>
      </c>
      <c r="F157" s="62">
        <f t="shared" si="106"/>
        <v>3.7185370334417463E-4</v>
      </c>
      <c r="G157" s="145">
        <v>117.82</v>
      </c>
      <c r="H157" s="61">
        <v>161435.83292799999</v>
      </c>
      <c r="I157" s="145">
        <v>117.82</v>
      </c>
      <c r="J157" s="61">
        <v>161435.83292799999</v>
      </c>
      <c r="K157" s="63">
        <v>32</v>
      </c>
      <c r="L157" s="64">
        <v>2.5000000000000001E-3</v>
      </c>
      <c r="M157" s="64">
        <v>3.6400000000000002E-2</v>
      </c>
      <c r="N157" s="145">
        <v>491751.14</v>
      </c>
      <c r="O157" s="67">
        <f>491751.14*C270</f>
        <v>678429756.94191408</v>
      </c>
      <c r="P157" s="62">
        <f t="shared" si="107"/>
        <v>3.6819987181678331E-4</v>
      </c>
      <c r="Q157" s="145">
        <v>117.98</v>
      </c>
      <c r="R157" s="61">
        <f>117.98*C270</f>
        <v>162767.57939800003</v>
      </c>
      <c r="S157" s="61">
        <v>117.98</v>
      </c>
      <c r="T157" s="61">
        <f>117.98*C270</f>
        <v>162767.57939800003</v>
      </c>
      <c r="U157" s="63">
        <v>32</v>
      </c>
      <c r="V157" s="64">
        <v>1.4E-3</v>
      </c>
      <c r="W157" s="64">
        <v>3.78E-2</v>
      </c>
      <c r="X157" s="156">
        <f t="shared" ref="X157" si="112">((O157-E157)/E157)</f>
        <v>8.2650836359716619E-3</v>
      </c>
      <c r="Y157" s="156">
        <f t="shared" ref="Y157" si="113">((T157-J157)/J157)</f>
        <v>8.2493858138298071E-3</v>
      </c>
      <c r="Z157" s="156">
        <f t="shared" ref="Z157" si="114">((U157-K157)/K157)</f>
        <v>0</v>
      </c>
      <c r="AA157" s="156">
        <f t="shared" ref="AA157" si="115">V157-L157</f>
        <v>-1.1000000000000001E-3</v>
      </c>
      <c r="AB157" s="157">
        <f t="shared" ref="AB157" si="116">W157-M157</f>
        <v>1.3999999999999985E-3</v>
      </c>
    </row>
    <row r="158" spans="1:30" ht="16.5" customHeight="1">
      <c r="A158" s="206">
        <v>141</v>
      </c>
      <c r="B158" s="55" t="s">
        <v>193</v>
      </c>
      <c r="C158" s="56" t="s">
        <v>49</v>
      </c>
      <c r="D158" s="160">
        <v>119873758.90000001</v>
      </c>
      <c r="E158" s="67">
        <v>164415251494.47299</v>
      </c>
      <c r="F158" s="62">
        <f t="shared" si="106"/>
        <v>9.086236810763805E-2</v>
      </c>
      <c r="G158" s="145">
        <v>1.2023222099999999</v>
      </c>
      <c r="H158" s="61">
        <v>1649.0690735696999</v>
      </c>
      <c r="I158" s="145">
        <v>1.2023222099999999</v>
      </c>
      <c r="J158" s="61">
        <v>1649.0690735696999</v>
      </c>
      <c r="K158" s="63">
        <v>1062</v>
      </c>
      <c r="L158" s="64">
        <v>1E-3</v>
      </c>
      <c r="M158" s="64">
        <v>7.1199999999999999E-2</v>
      </c>
      <c r="N158" s="145">
        <v>129896704.14</v>
      </c>
      <c r="O158" s="67">
        <f>129896704.14*1381.58</f>
        <v>179462688505.74118</v>
      </c>
      <c r="P158" s="62">
        <f t="shared" si="107"/>
        <v>9.7398644778735291E-2</v>
      </c>
      <c r="Q158" s="145">
        <v>1.2035</v>
      </c>
      <c r="R158" s="61">
        <f>1.2035*1381.58</f>
        <v>1662.73153</v>
      </c>
      <c r="S158" s="61">
        <v>1.2035</v>
      </c>
      <c r="T158" s="61">
        <f>1.2035*1381.58</f>
        <v>1662.73153</v>
      </c>
      <c r="U158" s="63">
        <v>1073</v>
      </c>
      <c r="V158" s="64">
        <v>1E-3</v>
      </c>
      <c r="W158" s="64">
        <v>9.35E-2</v>
      </c>
      <c r="X158" s="156">
        <f t="shared" si="95"/>
        <v>9.1520931753548584E-2</v>
      </c>
      <c r="Y158" s="156">
        <f t="shared" si="96"/>
        <v>8.2849509758407911E-3</v>
      </c>
      <c r="Z158" s="156">
        <f t="shared" si="97"/>
        <v>1.0357815442561206E-2</v>
      </c>
      <c r="AA158" s="156">
        <f t="shared" si="98"/>
        <v>0</v>
      </c>
      <c r="AB158" s="157">
        <f t="shared" si="99"/>
        <v>2.23E-2</v>
      </c>
    </row>
    <row r="159" spans="1:30" ht="15" customHeight="1">
      <c r="A159" s="206">
        <v>142</v>
      </c>
      <c r="B159" s="55" t="s">
        <v>194</v>
      </c>
      <c r="C159" s="56" t="s">
        <v>107</v>
      </c>
      <c r="D159" s="160">
        <v>1461361.96</v>
      </c>
      <c r="E159" s="61">
        <v>2004360224.3199999</v>
      </c>
      <c r="F159" s="62">
        <f t="shared" si="106"/>
        <v>1.1076887020337891E-3</v>
      </c>
      <c r="G159" s="145">
        <v>116.2</v>
      </c>
      <c r="H159" s="61">
        <v>159376.43</v>
      </c>
      <c r="I159" s="145">
        <v>116.2</v>
      </c>
      <c r="J159" s="61">
        <v>159376.43</v>
      </c>
      <c r="K159" s="63">
        <v>26</v>
      </c>
      <c r="L159" s="64">
        <v>2.5999999999999999E-3</v>
      </c>
      <c r="M159" s="64">
        <v>3.9300000000000002E-2</v>
      </c>
      <c r="N159" s="145">
        <v>1453063.27</v>
      </c>
      <c r="O159" s="61">
        <v>2007523150.45</v>
      </c>
      <c r="P159" s="62">
        <f t="shared" si="107"/>
        <v>1.0895302853412448E-3</v>
      </c>
      <c r="Q159" s="145">
        <v>115.54</v>
      </c>
      <c r="R159" s="61">
        <v>159627.75</v>
      </c>
      <c r="S159" s="145">
        <v>115.54</v>
      </c>
      <c r="T159" s="61">
        <v>159627.75</v>
      </c>
      <c r="U159" s="63">
        <v>26</v>
      </c>
      <c r="V159" s="64">
        <v>-5.7000000000000002E-3</v>
      </c>
      <c r="W159" s="64">
        <v>3.3399999999999999E-2</v>
      </c>
      <c r="X159" s="156">
        <f t="shared" si="95"/>
        <v>1.5780227983087072E-3</v>
      </c>
      <c r="Y159" s="156">
        <f t="shared" si="96"/>
        <v>1.5768956551480478E-3</v>
      </c>
      <c r="Z159" s="156">
        <f t="shared" si="97"/>
        <v>0</v>
      </c>
      <c r="AA159" s="156">
        <f t="shared" si="98"/>
        <v>-8.3000000000000001E-3</v>
      </c>
      <c r="AB159" s="157">
        <f t="shared" si="99"/>
        <v>-5.9000000000000025E-3</v>
      </c>
    </row>
    <row r="160" spans="1:30" ht="16.5" customHeight="1">
      <c r="A160" s="206">
        <v>143</v>
      </c>
      <c r="B160" s="55" t="s">
        <v>195</v>
      </c>
      <c r="C160" s="56" t="s">
        <v>117</v>
      </c>
      <c r="D160" s="160">
        <v>4031610.08</v>
      </c>
      <c r="E160" s="61">
        <v>5524073428.1592321</v>
      </c>
      <c r="F160" s="62">
        <f t="shared" si="106"/>
        <v>3.0528213697979178E-3</v>
      </c>
      <c r="G160" s="145">
        <v>1.18</v>
      </c>
      <c r="H160" s="61">
        <v>1616.824672</v>
      </c>
      <c r="I160" s="145">
        <v>1.18</v>
      </c>
      <c r="J160" s="61">
        <v>1616.824672</v>
      </c>
      <c r="K160" s="63">
        <v>61</v>
      </c>
      <c r="L160" s="64">
        <v>1.6400000000000001E-2</v>
      </c>
      <c r="M160" s="64">
        <v>1.7299999999999999E-2</v>
      </c>
      <c r="N160" s="145">
        <v>4068411.22</v>
      </c>
      <c r="O160" s="61">
        <f>N160*C270</f>
        <v>5612861894.1775227</v>
      </c>
      <c r="P160" s="62">
        <f t="shared" si="107"/>
        <v>3.0462328764544666E-3</v>
      </c>
      <c r="Q160" s="145">
        <v>1.19</v>
      </c>
      <c r="R160" s="61">
        <f>Q160*C270</f>
        <v>1641.7479190000001</v>
      </c>
      <c r="S160" s="61">
        <v>1.19</v>
      </c>
      <c r="T160" s="61">
        <f>S160*C270</f>
        <v>1641.7479190000001</v>
      </c>
      <c r="U160" s="63">
        <v>61</v>
      </c>
      <c r="V160" s="64">
        <v>2.07E-2</v>
      </c>
      <c r="W160" s="64">
        <v>2.7699999999999999E-2</v>
      </c>
      <c r="X160" s="156">
        <f t="shared" ref="X160" si="117">((O160-E160)/E160)</f>
        <v>1.6073006120028568E-2</v>
      </c>
      <c r="Y160" s="156">
        <f t="shared" ref="Y160" si="118">((T160-J160)/J160)</f>
        <v>1.5414934860667548E-2</v>
      </c>
      <c r="Z160" s="156">
        <f t="shared" si="97"/>
        <v>0</v>
      </c>
      <c r="AA160" s="156">
        <f t="shared" si="98"/>
        <v>4.2999999999999983E-3</v>
      </c>
      <c r="AB160" s="157">
        <f t="shared" si="99"/>
        <v>1.04E-2</v>
      </c>
    </row>
    <row r="161" spans="1:31">
      <c r="A161" s="206">
        <v>144</v>
      </c>
      <c r="B161" s="55" t="s">
        <v>196</v>
      </c>
      <c r="C161" s="56" t="s">
        <v>119</v>
      </c>
      <c r="D161" s="160">
        <v>1809538.66</v>
      </c>
      <c r="E161" s="61">
        <v>2479412500.3608637</v>
      </c>
      <c r="F161" s="62">
        <f t="shared" si="106"/>
        <v>1.3702213708929629E-3</v>
      </c>
      <c r="G161" s="145">
        <v>1.54</v>
      </c>
      <c r="H161" s="61">
        <v>2110.0932159999998</v>
      </c>
      <c r="I161" s="145">
        <v>1.54</v>
      </c>
      <c r="J161" s="61">
        <v>2110.0932159999998</v>
      </c>
      <c r="K161" s="63">
        <v>151</v>
      </c>
      <c r="L161" s="64">
        <v>2.3999999999999998E-3</v>
      </c>
      <c r="M161" s="64">
        <v>3.7100000000000001E-2</v>
      </c>
      <c r="N161" s="145">
        <v>1809697.44</v>
      </c>
      <c r="O161" s="61">
        <f>1809697.44*C270</f>
        <v>2496694963.1425443</v>
      </c>
      <c r="P161" s="62">
        <f t="shared" si="107"/>
        <v>1.3550153954603153E-3</v>
      </c>
      <c r="Q161" s="145">
        <v>1.54</v>
      </c>
      <c r="R161" s="61">
        <f>1.54*C270</f>
        <v>2124.6149540000001</v>
      </c>
      <c r="S161" s="61">
        <v>1.54</v>
      </c>
      <c r="T161" s="61">
        <f>1.54*C270</f>
        <v>2124.6149540000001</v>
      </c>
      <c r="U161" s="63">
        <v>151</v>
      </c>
      <c r="V161" s="64">
        <v>2.0000000000000001E-4</v>
      </c>
      <c r="W161" s="64">
        <v>3.7100000000000001E-2</v>
      </c>
      <c r="X161" s="156">
        <f t="shared" si="95"/>
        <v>6.9703862423720238E-3</v>
      </c>
      <c r="Y161" s="156">
        <f t="shared" si="96"/>
        <v>6.8820362483930997E-3</v>
      </c>
      <c r="Z161" s="156">
        <f t="shared" si="97"/>
        <v>0</v>
      </c>
      <c r="AA161" s="156">
        <f t="shared" si="98"/>
        <v>-2.1999999999999997E-3</v>
      </c>
      <c r="AB161" s="157">
        <f t="shared" si="99"/>
        <v>0</v>
      </c>
    </row>
    <row r="162" spans="1:31">
      <c r="B162" s="70"/>
      <c r="C162" s="94" t="s">
        <v>52</v>
      </c>
      <c r="D162" s="85">
        <f>SUM(D122:D161)</f>
        <v>1318856354.068526</v>
      </c>
      <c r="E162" s="85">
        <f>SUM(E122:E161)</f>
        <v>1809497759289.1062</v>
      </c>
      <c r="F162" s="73">
        <f>(E162/$E$239)</f>
        <v>0.19799496394532315</v>
      </c>
      <c r="G162" s="145"/>
      <c r="H162" s="74"/>
      <c r="I162" s="145">
        <v>0</v>
      </c>
      <c r="J162" s="79"/>
      <c r="K162" s="76">
        <f>SUM(K122:K161)</f>
        <v>32863</v>
      </c>
      <c r="L162" s="95"/>
      <c r="M162" s="95"/>
      <c r="N162" s="85">
        <f>SUM(N122:N161)</f>
        <v>1328593233.2036974</v>
      </c>
      <c r="O162" s="85">
        <f>SUM(O122:O161)</f>
        <v>1842558373511.606</v>
      </c>
      <c r="P162" s="73">
        <f>(O162/$O$239)</f>
        <v>0.19827394571868354</v>
      </c>
      <c r="Q162" s="150"/>
      <c r="R162" s="74"/>
      <c r="S162" s="74"/>
      <c r="T162" s="79"/>
      <c r="U162" s="76">
        <f>SUM(U122:U161)</f>
        <v>32972</v>
      </c>
      <c r="V162" s="95"/>
      <c r="W162" s="95"/>
      <c r="X162" s="156">
        <f t="shared" si="95"/>
        <v>1.827060246567435E-2</v>
      </c>
      <c r="Y162" s="156" t="e">
        <f t="shared" si="96"/>
        <v>#DIV/0!</v>
      </c>
      <c r="Z162" s="156">
        <f t="shared" si="97"/>
        <v>3.3168000486869732E-3</v>
      </c>
      <c r="AA162" s="156">
        <f t="shared" si="98"/>
        <v>0</v>
      </c>
      <c r="AB162" s="157">
        <f t="shared" si="99"/>
        <v>0</v>
      </c>
    </row>
    <row r="163" spans="1:31" ht="6" customHeight="1"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  <c r="U163" s="223"/>
      <c r="V163" s="223"/>
      <c r="W163" s="223"/>
      <c r="X163" s="223"/>
      <c r="Y163" s="223"/>
      <c r="Z163" s="223"/>
      <c r="AA163" s="223"/>
      <c r="AB163" s="223"/>
    </row>
    <row r="164" spans="1:31">
      <c r="A164" s="162"/>
      <c r="B164" s="225" t="s">
        <v>336</v>
      </c>
      <c r="C164" s="225"/>
      <c r="D164" s="225"/>
      <c r="E164" s="225"/>
      <c r="F164" s="225"/>
      <c r="G164" s="225"/>
      <c r="H164" s="225"/>
      <c r="I164" s="225"/>
      <c r="J164" s="225"/>
      <c r="K164" s="225"/>
      <c r="L164" s="225"/>
      <c r="M164" s="225"/>
      <c r="N164" s="225"/>
      <c r="O164" s="225"/>
      <c r="P164" s="225"/>
      <c r="Q164" s="225"/>
      <c r="R164" s="225"/>
      <c r="S164" s="225"/>
      <c r="T164" s="225"/>
      <c r="U164" s="225"/>
      <c r="V164" s="225"/>
      <c r="W164" s="225"/>
      <c r="X164" s="225"/>
      <c r="Y164" s="225"/>
      <c r="Z164" s="225"/>
      <c r="AA164" s="225"/>
      <c r="AB164" s="225"/>
    </row>
    <row r="165" spans="1:31">
      <c r="A165" s="206">
        <v>145</v>
      </c>
      <c r="B165" s="55" t="s">
        <v>197</v>
      </c>
      <c r="C165" s="56" t="s">
        <v>198</v>
      </c>
      <c r="D165" s="142" t="s">
        <v>329</v>
      </c>
      <c r="E165" s="96">
        <v>2618055482.4200001</v>
      </c>
      <c r="F165" s="62">
        <f>(E165/$E$171)</f>
        <v>5.1276627131433142E-3</v>
      </c>
      <c r="G165" s="142" t="s">
        <v>329</v>
      </c>
      <c r="H165" s="87">
        <v>123.38</v>
      </c>
      <c r="I165" s="142" t="s">
        <v>329</v>
      </c>
      <c r="J165" s="87">
        <v>123.38</v>
      </c>
      <c r="K165" s="63">
        <v>8</v>
      </c>
      <c r="L165" s="64">
        <v>1.6000000000000001E-3</v>
      </c>
      <c r="M165" s="64">
        <v>0.1736</v>
      </c>
      <c r="N165" s="142" t="s">
        <v>329</v>
      </c>
      <c r="O165" s="96">
        <v>2611510343.71</v>
      </c>
      <c r="P165" s="62">
        <f>(O165/$O$171)</f>
        <v>5.1166016651962767E-3</v>
      </c>
      <c r="Q165" s="142" t="s">
        <v>329</v>
      </c>
      <c r="R165" s="87">
        <v>123.07</v>
      </c>
      <c r="S165" s="142" t="s">
        <v>329</v>
      </c>
      <c r="T165" s="87">
        <v>123.07</v>
      </c>
      <c r="U165" s="63">
        <v>8</v>
      </c>
      <c r="V165" s="64">
        <v>-2.5000000000000001E-3</v>
      </c>
      <c r="W165" s="64">
        <v>0.17069999999999999</v>
      </c>
      <c r="X165" s="156">
        <f t="shared" ref="X165:X171" si="119">((O165-E165)/E165)</f>
        <v>-2.500000001508768E-3</v>
      </c>
      <c r="Y165" s="156">
        <f>((T165-J165)/J165)</f>
        <v>-2.5125628140703704E-3</v>
      </c>
      <c r="Z165" s="156">
        <f>((U165-K165)/K165)</f>
        <v>0</v>
      </c>
      <c r="AA165" s="156">
        <f>V165-L165</f>
        <v>-4.1000000000000003E-3</v>
      </c>
      <c r="AB165" s="157">
        <f>W165-M165</f>
        <v>-2.9000000000000137E-3</v>
      </c>
    </row>
    <row r="166" spans="1:31">
      <c r="A166" s="209">
        <v>146</v>
      </c>
      <c r="B166" s="55" t="s">
        <v>199</v>
      </c>
      <c r="C166" s="56" t="s">
        <v>23</v>
      </c>
      <c r="D166" s="142" t="s">
        <v>329</v>
      </c>
      <c r="E166" s="96">
        <v>266925243764.60001</v>
      </c>
      <c r="F166" s="62">
        <v>0</v>
      </c>
      <c r="G166" s="142" t="s">
        <v>329</v>
      </c>
      <c r="H166" s="87">
        <v>106.7701</v>
      </c>
      <c r="I166" s="142" t="s">
        <v>329</v>
      </c>
      <c r="J166" s="87">
        <v>106.7701</v>
      </c>
      <c r="K166" s="63">
        <v>45</v>
      </c>
      <c r="L166" s="64">
        <v>0.19670000000000001</v>
      </c>
      <c r="M166" s="64">
        <v>0.1125</v>
      </c>
      <c r="N166" s="142" t="s">
        <v>329</v>
      </c>
      <c r="O166" s="96">
        <v>267275086174.09</v>
      </c>
      <c r="P166" s="62">
        <f t="shared" ref="P166:P170" si="120">(O166/$O$171)</f>
        <v>0.52365871507177464</v>
      </c>
      <c r="Q166" s="142" t="s">
        <v>329</v>
      </c>
      <c r="R166" s="87">
        <v>106.91</v>
      </c>
      <c r="S166" s="142" t="s">
        <v>329</v>
      </c>
      <c r="T166" s="87">
        <v>106.91</v>
      </c>
      <c r="U166" s="63">
        <v>45</v>
      </c>
      <c r="V166" s="64">
        <v>6.83E-2</v>
      </c>
      <c r="W166" s="64">
        <v>0.111</v>
      </c>
      <c r="X166" s="156">
        <f t="shared" ref="X166" si="121">((O166-E166)/E166)</f>
        <v>1.3106381567961195E-3</v>
      </c>
      <c r="Y166" s="156">
        <f t="shared" ref="Y166" si="122">((T166-J166)/J166)</f>
        <v>1.3102919262976925E-3</v>
      </c>
      <c r="Z166" s="156">
        <f t="shared" ref="Z166" si="123">((U166-K166)/K166)</f>
        <v>0</v>
      </c>
      <c r="AA166" s="156">
        <f t="shared" ref="AA166" si="124">V166-L166</f>
        <v>-0.12840000000000001</v>
      </c>
      <c r="AB166" s="157">
        <f t="shared" ref="AB166" si="125">W166-M166</f>
        <v>-1.5000000000000013E-3</v>
      </c>
    </row>
    <row r="167" spans="1:31">
      <c r="A167" s="206">
        <v>147</v>
      </c>
      <c r="B167" s="55" t="s">
        <v>200</v>
      </c>
      <c r="C167" s="56" t="s">
        <v>44</v>
      </c>
      <c r="D167" s="142" t="s">
        <v>329</v>
      </c>
      <c r="E167" s="67">
        <v>170647847866</v>
      </c>
      <c r="F167" s="62">
        <f>(E167/$E$171)</f>
        <v>0.33422691476798344</v>
      </c>
      <c r="G167" s="142" t="s">
        <v>329</v>
      </c>
      <c r="H167" s="87">
        <v>103</v>
      </c>
      <c r="I167" s="142" t="s">
        <v>329</v>
      </c>
      <c r="J167" s="87">
        <v>103</v>
      </c>
      <c r="K167" s="63">
        <v>1574</v>
      </c>
      <c r="L167" s="64">
        <v>0</v>
      </c>
      <c r="M167" s="64">
        <v>0</v>
      </c>
      <c r="N167" s="142" t="s">
        <v>329</v>
      </c>
      <c r="O167" s="67">
        <v>170647847866</v>
      </c>
      <c r="P167" s="62">
        <f t="shared" si="120"/>
        <v>0.33434179751818577</v>
      </c>
      <c r="Q167" s="142" t="s">
        <v>329</v>
      </c>
      <c r="R167" s="87">
        <v>103</v>
      </c>
      <c r="S167" s="142" t="s">
        <v>329</v>
      </c>
      <c r="T167" s="87">
        <v>103</v>
      </c>
      <c r="U167" s="63">
        <v>1601</v>
      </c>
      <c r="V167" s="64">
        <v>0</v>
      </c>
      <c r="W167" s="64">
        <v>0</v>
      </c>
      <c r="X167" s="156">
        <f t="shared" si="119"/>
        <v>0</v>
      </c>
      <c r="Y167" s="156">
        <f t="shared" ref="Y167:Z171" si="126">((T167-J167)/J167)</f>
        <v>0</v>
      </c>
      <c r="Z167" s="156">
        <f t="shared" si="126"/>
        <v>1.7153748411689963E-2</v>
      </c>
      <c r="AA167" s="156">
        <f t="shared" ref="AA167:AB171" si="127">V167-L167</f>
        <v>0</v>
      </c>
      <c r="AB167" s="157">
        <f t="shared" si="127"/>
        <v>0</v>
      </c>
    </row>
    <row r="168" spans="1:31" ht="15.75" customHeight="1">
      <c r="A168" s="206">
        <v>148</v>
      </c>
      <c r="B168" s="55" t="s">
        <v>202</v>
      </c>
      <c r="C168" s="56" t="s">
        <v>152</v>
      </c>
      <c r="D168" s="142" t="s">
        <v>329</v>
      </c>
      <c r="E168" s="67">
        <v>6096956774.6199999</v>
      </c>
      <c r="F168" s="62">
        <f>(E168/$E$171)</f>
        <v>1.1941358052491467E-2</v>
      </c>
      <c r="G168" s="142" t="s">
        <v>329</v>
      </c>
      <c r="H168" s="87">
        <v>418.75</v>
      </c>
      <c r="I168" s="142" t="s">
        <v>329</v>
      </c>
      <c r="J168" s="87">
        <v>418.75</v>
      </c>
      <c r="K168" s="63">
        <v>5693</v>
      </c>
      <c r="L168" s="64">
        <v>0.25559999999999999</v>
      </c>
      <c r="M168" s="64">
        <v>1.44E-2</v>
      </c>
      <c r="N168" s="142" t="s">
        <v>329</v>
      </c>
      <c r="O168" s="67">
        <v>6101032044.6000004</v>
      </c>
      <c r="P168" s="62">
        <f t="shared" si="120"/>
        <v>1.1953447090111433E-2</v>
      </c>
      <c r="Q168" s="142" t="s">
        <v>329</v>
      </c>
      <c r="R168" s="87">
        <v>418.75</v>
      </c>
      <c r="S168" s="142" t="s">
        <v>329</v>
      </c>
      <c r="T168" s="87">
        <v>418.75</v>
      </c>
      <c r="U168" s="63">
        <v>5693</v>
      </c>
      <c r="V168" s="64">
        <v>4.4600000000000001E-2</v>
      </c>
      <c r="W168" s="64">
        <v>1.41E-2</v>
      </c>
      <c r="X168" s="156">
        <f t="shared" si="119"/>
        <v>6.6841050882380452E-4</v>
      </c>
      <c r="Y168" s="156">
        <f t="shared" si="126"/>
        <v>0</v>
      </c>
      <c r="Z168" s="156">
        <f t="shared" si="126"/>
        <v>0</v>
      </c>
      <c r="AA168" s="156">
        <f t="shared" si="127"/>
        <v>-0.21099999999999999</v>
      </c>
      <c r="AB168" s="157">
        <f t="shared" si="127"/>
        <v>-2.9999999999999992E-4</v>
      </c>
    </row>
    <row r="169" spans="1:31">
      <c r="A169" s="206">
        <v>149</v>
      </c>
      <c r="B169" s="55" t="s">
        <v>201</v>
      </c>
      <c r="C169" s="56" t="s">
        <v>152</v>
      </c>
      <c r="D169" s="142" t="s">
        <v>329</v>
      </c>
      <c r="E169" s="67">
        <v>27442327596.369999</v>
      </c>
      <c r="F169" s="62">
        <f>(E169/$E$171)</f>
        <v>5.3747906002244189E-2</v>
      </c>
      <c r="G169" s="142" t="s">
        <v>329</v>
      </c>
      <c r="H169" s="87">
        <v>70</v>
      </c>
      <c r="I169" s="142" t="s">
        <v>329</v>
      </c>
      <c r="J169" s="87">
        <v>70</v>
      </c>
      <c r="K169" s="63">
        <v>8409</v>
      </c>
      <c r="L169" s="64">
        <v>4.4200000000000003E-2</v>
      </c>
      <c r="M169" s="64">
        <v>5.4800000000000001E-2</v>
      </c>
      <c r="N169" s="142" t="s">
        <v>329</v>
      </c>
      <c r="O169" s="67">
        <v>27447469151.560001</v>
      </c>
      <c r="P169" s="62">
        <f t="shared" si="120"/>
        <v>5.3776454190407184E-2</v>
      </c>
      <c r="Q169" s="142" t="s">
        <v>329</v>
      </c>
      <c r="R169" s="87">
        <v>70</v>
      </c>
      <c r="S169" s="142" t="s">
        <v>329</v>
      </c>
      <c r="T169" s="87">
        <v>70</v>
      </c>
      <c r="U169" s="63">
        <v>8409</v>
      </c>
      <c r="V169" s="64">
        <v>1.21E-2</v>
      </c>
      <c r="W169" s="64">
        <v>5.33E-2</v>
      </c>
      <c r="X169" s="156">
        <f t="shared" si="119"/>
        <v>1.8735856759768998E-4</v>
      </c>
      <c r="Y169" s="156">
        <f t="shared" si="126"/>
        <v>0</v>
      </c>
      <c r="Z169" s="156">
        <f t="shared" si="126"/>
        <v>0</v>
      </c>
      <c r="AA169" s="156">
        <f t="shared" si="127"/>
        <v>-3.2100000000000004E-2</v>
      </c>
      <c r="AB169" s="157">
        <f t="shared" si="127"/>
        <v>-1.5000000000000013E-3</v>
      </c>
    </row>
    <row r="170" spans="1:31">
      <c r="A170" s="209">
        <v>150</v>
      </c>
      <c r="B170" s="55" t="s">
        <v>299</v>
      </c>
      <c r="C170" s="56" t="s">
        <v>152</v>
      </c>
      <c r="D170" s="142" t="s">
        <v>329</v>
      </c>
      <c r="E170" s="67">
        <v>36844391565.360001</v>
      </c>
      <c r="F170" s="62">
        <f>(E170/$E$171)</f>
        <v>7.2162570307148372E-2</v>
      </c>
      <c r="G170" s="142" t="s">
        <v>329</v>
      </c>
      <c r="H170" s="87">
        <v>8.6999999999999993</v>
      </c>
      <c r="I170" s="142" t="s">
        <v>329</v>
      </c>
      <c r="J170" s="87">
        <v>8.6999999999999993</v>
      </c>
      <c r="K170" s="63">
        <v>215231</v>
      </c>
      <c r="L170" s="64">
        <v>0</v>
      </c>
      <c r="M170" s="64">
        <v>0</v>
      </c>
      <c r="N170" s="142" t="s">
        <v>329</v>
      </c>
      <c r="O170" s="67">
        <v>36316439518.51252</v>
      </c>
      <c r="P170" s="62">
        <f t="shared" si="120"/>
        <v>7.1152984464324762E-2</v>
      </c>
      <c r="Q170" s="142" t="s">
        <v>329</v>
      </c>
      <c r="R170" s="87">
        <v>10.65</v>
      </c>
      <c r="S170" s="142" t="s">
        <v>329</v>
      </c>
      <c r="T170" s="87">
        <v>10.65</v>
      </c>
      <c r="U170" s="63">
        <v>216198</v>
      </c>
      <c r="V170" s="64">
        <v>0</v>
      </c>
      <c r="W170" s="64">
        <v>0</v>
      </c>
      <c r="X170" s="156">
        <f t="shared" si="119"/>
        <v>-1.4329237759590134E-2</v>
      </c>
      <c r="Y170" s="156">
        <f t="shared" si="126"/>
        <v>0.2241379310344829</v>
      </c>
      <c r="Z170" s="156">
        <f t="shared" si="126"/>
        <v>4.4928472199636665E-3</v>
      </c>
      <c r="AA170" s="156">
        <f t="shared" si="127"/>
        <v>0</v>
      </c>
      <c r="AB170" s="157">
        <f t="shared" si="127"/>
        <v>0</v>
      </c>
    </row>
    <row r="171" spans="1:31">
      <c r="B171" s="97"/>
      <c r="C171" s="71" t="s">
        <v>52</v>
      </c>
      <c r="D171" s="116" t="s">
        <v>329</v>
      </c>
      <c r="E171" s="72">
        <f>SUM(E165:E170)</f>
        <v>510574823049.37</v>
      </c>
      <c r="F171" s="73">
        <f>(E171/$E$239)</f>
        <v>5.5867017884987748E-2</v>
      </c>
      <c r="G171" s="142"/>
      <c r="H171" s="74"/>
      <c r="I171" s="74"/>
      <c r="J171" s="98"/>
      <c r="K171" s="76">
        <f>SUM(K165:K170)</f>
        <v>230960</v>
      </c>
      <c r="L171" s="99"/>
      <c r="M171" s="99"/>
      <c r="N171" s="142"/>
      <c r="O171" s="72">
        <f>SUM(O165:O170)</f>
        <v>510399385098.47247</v>
      </c>
      <c r="P171" s="73">
        <f>(O171/$O$239)</f>
        <v>5.4923036051767481E-2</v>
      </c>
      <c r="Q171" s="144"/>
      <c r="R171" s="74"/>
      <c r="S171" s="74"/>
      <c r="T171" s="98"/>
      <c r="U171" s="76">
        <f>SUM(U165:U170)</f>
        <v>231954</v>
      </c>
      <c r="V171" s="99"/>
      <c r="W171" s="99"/>
      <c r="X171" s="156">
        <f t="shared" si="119"/>
        <v>-3.4360869940615541E-4</v>
      </c>
      <c r="Y171" s="156" t="e">
        <f t="shared" si="126"/>
        <v>#DIV/0!</v>
      </c>
      <c r="Z171" s="156">
        <f t="shared" si="126"/>
        <v>4.3037755455490132E-3</v>
      </c>
      <c r="AA171" s="156">
        <f t="shared" si="127"/>
        <v>0</v>
      </c>
      <c r="AB171" s="157">
        <f t="shared" si="127"/>
        <v>0</v>
      </c>
    </row>
    <row r="172" spans="1:31" ht="5.25" customHeight="1">
      <c r="B172" s="223"/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  <c r="W172" s="223"/>
      <c r="X172" s="223"/>
      <c r="Y172" s="223"/>
      <c r="Z172" s="223"/>
      <c r="AA172" s="223"/>
      <c r="AB172" s="223"/>
    </row>
    <row r="173" spans="1:31" ht="15" customHeight="1">
      <c r="A173" s="162"/>
      <c r="B173" s="225" t="s">
        <v>203</v>
      </c>
      <c r="C173" s="225"/>
      <c r="D173" s="225"/>
      <c r="E173" s="225"/>
      <c r="F173" s="225"/>
      <c r="G173" s="225"/>
      <c r="H173" s="225"/>
      <c r="I173" s="225"/>
      <c r="J173" s="225"/>
      <c r="K173" s="225"/>
      <c r="L173" s="225"/>
      <c r="M173" s="225"/>
      <c r="N173" s="225"/>
      <c r="O173" s="225"/>
      <c r="P173" s="225"/>
      <c r="Q173" s="225"/>
      <c r="R173" s="225"/>
      <c r="S173" s="225"/>
      <c r="T173" s="225"/>
      <c r="U173" s="225"/>
      <c r="V173" s="225"/>
      <c r="W173" s="225"/>
      <c r="X173" s="225"/>
      <c r="Y173" s="225"/>
      <c r="Z173" s="225"/>
      <c r="AA173" s="225"/>
      <c r="AB173" s="225"/>
    </row>
    <row r="174" spans="1:31" ht="13.8" customHeight="1">
      <c r="A174" s="206">
        <v>151</v>
      </c>
      <c r="B174" s="55" t="s">
        <v>204</v>
      </c>
      <c r="C174" s="56" t="s">
        <v>56</v>
      </c>
      <c r="D174" s="142" t="s">
        <v>329</v>
      </c>
      <c r="E174" s="61">
        <v>986991893.5</v>
      </c>
      <c r="F174" s="62">
        <f t="shared" ref="F174:F201" si="128">(E174/$E$204)</f>
        <v>6.7620315988173099E-3</v>
      </c>
      <c r="G174" s="142" t="s">
        <v>329</v>
      </c>
      <c r="H174" s="61">
        <v>9.24</v>
      </c>
      <c r="I174" s="142" t="s">
        <v>329</v>
      </c>
      <c r="J174" s="61">
        <v>9.42</v>
      </c>
      <c r="K174" s="59">
        <v>12007</v>
      </c>
      <c r="L174" s="60">
        <v>-1.9484000000000001E-2</v>
      </c>
      <c r="M174" s="60">
        <v>0.17801400000000001</v>
      </c>
      <c r="N174" s="142" t="s">
        <v>329</v>
      </c>
      <c r="O174" s="61">
        <v>1035479387.03</v>
      </c>
      <c r="P174" s="84">
        <f t="shared" ref="P174:P201" si="129">(O174/$O$204)</f>
        <v>6.8244899400426041E-3</v>
      </c>
      <c r="Q174" s="142" t="s">
        <v>329</v>
      </c>
      <c r="R174" s="61">
        <v>9.5</v>
      </c>
      <c r="S174" s="142" t="s">
        <v>329</v>
      </c>
      <c r="T174" s="61">
        <v>9.6999999999999993</v>
      </c>
      <c r="U174" s="59">
        <v>12010</v>
      </c>
      <c r="V174" s="60">
        <v>3.3599999999999998E-2</v>
      </c>
      <c r="W174" s="60">
        <v>0.211614</v>
      </c>
      <c r="X174" s="156">
        <f>((O174-E174)/E174)</f>
        <v>4.9126536752046757E-2</v>
      </c>
      <c r="Y174" s="156">
        <f t="shared" ref="Y174:Z177" si="130">((T174-J174)/J174)</f>
        <v>2.9723991507430929E-2</v>
      </c>
      <c r="Z174" s="156">
        <f t="shared" si="130"/>
        <v>2.4985425168651618E-4</v>
      </c>
      <c r="AA174" s="156">
        <f t="shared" ref="AA174:AB177" si="131">V174-L174</f>
        <v>5.3083999999999999E-2</v>
      </c>
      <c r="AB174" s="157">
        <f t="shared" si="131"/>
        <v>3.3599999999999991E-2</v>
      </c>
      <c r="AD174" s="40"/>
    </row>
    <row r="175" spans="1:31" ht="14.4" customHeight="1">
      <c r="A175" s="206">
        <v>152</v>
      </c>
      <c r="B175" s="55" t="s">
        <v>205</v>
      </c>
      <c r="C175" s="55" t="s">
        <v>206</v>
      </c>
      <c r="D175" s="142" t="s">
        <v>329</v>
      </c>
      <c r="E175" s="61">
        <v>3059965876.9000001</v>
      </c>
      <c r="F175" s="62">
        <f t="shared" si="128"/>
        <v>2.09642916898998E-2</v>
      </c>
      <c r="G175" s="142" t="s">
        <v>329</v>
      </c>
      <c r="H175" s="61">
        <v>3038.28</v>
      </c>
      <c r="I175" s="142" t="s">
        <v>329</v>
      </c>
      <c r="J175" s="61">
        <v>3059.15</v>
      </c>
      <c r="K175" s="59">
        <v>259</v>
      </c>
      <c r="L175" s="60">
        <v>-7.1999999999999998E-3</v>
      </c>
      <c r="M175" s="60">
        <v>0.38300000000000001</v>
      </c>
      <c r="N175" s="142" t="s">
        <v>329</v>
      </c>
      <c r="O175" s="61">
        <v>3171218701</v>
      </c>
      <c r="P175" s="84">
        <f t="shared" si="129"/>
        <v>2.090041616832539E-2</v>
      </c>
      <c r="Q175" s="142" t="s">
        <v>329</v>
      </c>
      <c r="R175" s="61">
        <v>3122.58</v>
      </c>
      <c r="S175" s="142" t="s">
        <v>329</v>
      </c>
      <c r="T175" s="61">
        <v>3145.99</v>
      </c>
      <c r="U175" s="59">
        <v>259</v>
      </c>
      <c r="V175" s="60">
        <v>2.07E-2</v>
      </c>
      <c r="W175" s="60">
        <v>0.4219</v>
      </c>
      <c r="X175" s="156">
        <f>((O175-E175)/E175)</f>
        <v>3.6357537494080903E-2</v>
      </c>
      <c r="Y175" s="156">
        <f t="shared" si="130"/>
        <v>2.838697023683039E-2</v>
      </c>
      <c r="Z175" s="156">
        <f t="shared" si="130"/>
        <v>0</v>
      </c>
      <c r="AA175" s="156">
        <f t="shared" si="131"/>
        <v>2.7900000000000001E-2</v>
      </c>
      <c r="AB175" s="157">
        <f t="shared" si="131"/>
        <v>3.889999999999999E-2</v>
      </c>
      <c r="AD175" s="48"/>
      <c r="AE175" s="48"/>
    </row>
    <row r="176" spans="1:31" ht="14.4" customHeight="1">
      <c r="A176" s="206">
        <v>153</v>
      </c>
      <c r="B176" s="55" t="s">
        <v>207</v>
      </c>
      <c r="C176" s="56" t="s">
        <v>23</v>
      </c>
      <c r="D176" s="142" t="s">
        <v>329</v>
      </c>
      <c r="E176" s="61">
        <v>15532445137.190001</v>
      </c>
      <c r="F176" s="62">
        <f t="shared" si="128"/>
        <v>0.10641514435556511</v>
      </c>
      <c r="G176" s="142" t="s">
        <v>329</v>
      </c>
      <c r="H176" s="61">
        <v>1365.5154</v>
      </c>
      <c r="I176" s="142" t="s">
        <v>329</v>
      </c>
      <c r="J176" s="61">
        <v>1406.05738</v>
      </c>
      <c r="K176" s="59">
        <v>23616</v>
      </c>
      <c r="L176" s="60">
        <v>0.26729999999999998</v>
      </c>
      <c r="M176" s="60">
        <v>0.58250000000000002</v>
      </c>
      <c r="N176" s="142" t="s">
        <v>329</v>
      </c>
      <c r="O176" s="61">
        <v>16006901061.469999</v>
      </c>
      <c r="P176" s="84">
        <f t="shared" si="129"/>
        <v>0.10549600178771537</v>
      </c>
      <c r="Q176" s="142" t="s">
        <v>329</v>
      </c>
      <c r="R176" s="61">
        <v>1409.7050999999999</v>
      </c>
      <c r="S176" s="142" t="s">
        <v>329</v>
      </c>
      <c r="T176" s="61">
        <v>1451.5792799999999</v>
      </c>
      <c r="U176" s="59">
        <v>23685</v>
      </c>
      <c r="V176" s="60">
        <v>3.2399999999999998E-2</v>
      </c>
      <c r="W176" s="60">
        <v>0.64119999999999999</v>
      </c>
      <c r="X176" s="156">
        <f t="shared" ref="X176:X201" si="132">((O176-E176)/E176)</f>
        <v>3.0546119435116405E-2</v>
      </c>
      <c r="Y176" s="156">
        <f t="shared" si="130"/>
        <v>3.237556350651917E-2</v>
      </c>
      <c r="Z176" s="156">
        <f t="shared" si="130"/>
        <v>2.9217479674796746E-3</v>
      </c>
      <c r="AA176" s="156">
        <f t="shared" si="131"/>
        <v>-0.2349</v>
      </c>
      <c r="AB176" s="157">
        <f t="shared" si="131"/>
        <v>5.8699999999999974E-2</v>
      </c>
      <c r="AD176" s="48"/>
      <c r="AE176" s="40"/>
    </row>
    <row r="177" spans="1:33" ht="16.2" customHeight="1">
      <c r="A177" s="206">
        <v>154</v>
      </c>
      <c r="B177" s="55" t="s">
        <v>208</v>
      </c>
      <c r="C177" s="56" t="s">
        <v>128</v>
      </c>
      <c r="D177" s="142" t="s">
        <v>329</v>
      </c>
      <c r="E177" s="67">
        <v>3507401765.9299998</v>
      </c>
      <c r="F177" s="62">
        <f t="shared" si="128"/>
        <v>2.4029743027434797E-2</v>
      </c>
      <c r="G177" s="142" t="s">
        <v>329</v>
      </c>
      <c r="H177" s="61">
        <v>8.4128000000000007</v>
      </c>
      <c r="I177" s="142" t="s">
        <v>329</v>
      </c>
      <c r="J177" s="61">
        <v>8.5144000000000002</v>
      </c>
      <c r="K177" s="63">
        <v>2741</v>
      </c>
      <c r="L177" s="64">
        <v>-3.0000000000000001E-3</v>
      </c>
      <c r="M177" s="64">
        <v>0.42799999999999999</v>
      </c>
      <c r="N177" s="142" t="s">
        <v>329</v>
      </c>
      <c r="O177" s="67">
        <v>3668797067.1799998</v>
      </c>
      <c r="P177" s="84">
        <f t="shared" si="129"/>
        <v>2.4179784736074447E-2</v>
      </c>
      <c r="Q177" s="142" t="s">
        <v>329</v>
      </c>
      <c r="R177" s="61">
        <v>8.5892999999999997</v>
      </c>
      <c r="S177" s="142" t="s">
        <v>329</v>
      </c>
      <c r="T177" s="61">
        <v>8.8056999999999999</v>
      </c>
      <c r="U177" s="63">
        <v>2741</v>
      </c>
      <c r="V177" s="64">
        <v>3.4200000000000001E-2</v>
      </c>
      <c r="W177" s="64">
        <v>0.43309999999999998</v>
      </c>
      <c r="X177" s="156">
        <f t="shared" si="132"/>
        <v>4.6015629808296418E-2</v>
      </c>
      <c r="Y177" s="156">
        <f t="shared" si="130"/>
        <v>3.4212628018415819E-2</v>
      </c>
      <c r="Z177" s="156">
        <f t="shared" si="130"/>
        <v>0</v>
      </c>
      <c r="AA177" s="156">
        <f t="shared" si="131"/>
        <v>3.7200000000000004E-2</v>
      </c>
      <c r="AB177" s="157">
        <f t="shared" si="131"/>
        <v>5.0999999999999934E-3</v>
      </c>
      <c r="AC177" s="40"/>
      <c r="AD177" s="40"/>
      <c r="AE177" s="40"/>
      <c r="AG177" s="48"/>
    </row>
    <row r="178" spans="1:33" ht="15.6" customHeight="1">
      <c r="A178" s="206">
        <v>155</v>
      </c>
      <c r="B178" s="55" t="s">
        <v>209</v>
      </c>
      <c r="C178" s="56" t="s">
        <v>27</v>
      </c>
      <c r="D178" s="142" t="s">
        <v>329</v>
      </c>
      <c r="E178" s="67">
        <v>3715051349.1799998</v>
      </c>
      <c r="F178" s="62">
        <f t="shared" si="128"/>
        <v>2.5452381908934125E-2</v>
      </c>
      <c r="G178" s="142" t="s">
        <v>329</v>
      </c>
      <c r="H178" s="61">
        <v>1.6968000000000001</v>
      </c>
      <c r="I178" s="142" t="s">
        <v>329</v>
      </c>
      <c r="J178" s="61">
        <v>1.7093</v>
      </c>
      <c r="K178" s="63">
        <v>779</v>
      </c>
      <c r="L178" s="64">
        <v>-2.53E-2</v>
      </c>
      <c r="M178" s="64">
        <v>0.36420000000000002</v>
      </c>
      <c r="N178" s="142" t="s">
        <v>329</v>
      </c>
      <c r="O178" s="67">
        <v>3874365503.4899998</v>
      </c>
      <c r="P178" s="84">
        <f t="shared" si="129"/>
        <v>2.5534615883038882E-2</v>
      </c>
      <c r="Q178" s="142" t="s">
        <v>329</v>
      </c>
      <c r="R178" s="61">
        <v>1.7532000000000001</v>
      </c>
      <c r="S178" s="142" t="s">
        <v>329</v>
      </c>
      <c r="T178" s="61">
        <v>1.7666999999999999</v>
      </c>
      <c r="U178" s="63">
        <v>793</v>
      </c>
      <c r="V178" s="64">
        <v>3.3399999999999999E-2</v>
      </c>
      <c r="W178" s="64">
        <v>0.4098</v>
      </c>
      <c r="X178" s="156">
        <f t="shared" ref="X178" si="133">((O178-E178)/E178)</f>
        <v>4.2883432646271327E-2</v>
      </c>
      <c r="Y178" s="156">
        <f t="shared" ref="Y178" si="134">((T178-J178)/J178)</f>
        <v>3.3580998069385068E-2</v>
      </c>
      <c r="Z178" s="156">
        <f t="shared" ref="Z178" si="135">((U178-K178)/K178)</f>
        <v>1.7971758664955071E-2</v>
      </c>
      <c r="AA178" s="156">
        <f t="shared" ref="AA178" si="136">V178-L178</f>
        <v>5.8700000000000002E-2</v>
      </c>
      <c r="AB178" s="157">
        <f t="shared" ref="AB178" si="137">W178-M178</f>
        <v>4.5599999999999974E-2</v>
      </c>
      <c r="AD178" s="48"/>
      <c r="AE178" s="48"/>
    </row>
    <row r="179" spans="1:33" ht="16.2" customHeight="1">
      <c r="A179" s="206">
        <v>156</v>
      </c>
      <c r="B179" s="55" t="s">
        <v>210</v>
      </c>
      <c r="C179" s="56" t="s">
        <v>67</v>
      </c>
      <c r="D179" s="142" t="s">
        <v>329</v>
      </c>
      <c r="E179" s="61">
        <v>10831617888.424215</v>
      </c>
      <c r="F179" s="62">
        <f t="shared" si="128"/>
        <v>7.4209061807091095E-2</v>
      </c>
      <c r="G179" s="142" t="s">
        <v>329</v>
      </c>
      <c r="H179" s="61">
        <v>13747.78</v>
      </c>
      <c r="I179" s="142" t="s">
        <v>329</v>
      </c>
      <c r="J179" s="61">
        <v>13848.5</v>
      </c>
      <c r="K179" s="63">
        <v>1656</v>
      </c>
      <c r="L179" s="64">
        <v>-3.2399999999999998E-2</v>
      </c>
      <c r="M179" s="64">
        <v>0.4582</v>
      </c>
      <c r="N179" s="142" t="s">
        <v>329</v>
      </c>
      <c r="O179" s="61">
        <v>11103810328.17</v>
      </c>
      <c r="P179" s="84">
        <f t="shared" si="129"/>
        <v>7.3181410301257771E-2</v>
      </c>
      <c r="Q179" s="142" t="s">
        <v>329</v>
      </c>
      <c r="R179" s="61">
        <v>14075.31</v>
      </c>
      <c r="S179" s="142" t="s">
        <v>329</v>
      </c>
      <c r="T179" s="61">
        <v>14175.91</v>
      </c>
      <c r="U179" s="63">
        <v>1664</v>
      </c>
      <c r="V179" s="64">
        <v>2.3599999999999999E-2</v>
      </c>
      <c r="W179" s="64">
        <v>0.49740000000000001</v>
      </c>
      <c r="X179" s="156">
        <f t="shared" si="132"/>
        <v>2.5129435191457196E-2</v>
      </c>
      <c r="Y179" s="156">
        <f t="shared" ref="Y179:Y191" si="138">((T179-J179)/J179)</f>
        <v>2.364227172617972E-2</v>
      </c>
      <c r="Z179" s="156">
        <f t="shared" ref="Z179:Z191" si="139">((U179-K179)/K179)</f>
        <v>4.830917874396135E-3</v>
      </c>
      <c r="AA179" s="156">
        <f t="shared" ref="AA179:AA191" si="140">V179-L179</f>
        <v>5.5999999999999994E-2</v>
      </c>
      <c r="AB179" s="157">
        <f t="shared" ref="AB179:AB191" si="141">W179-M179</f>
        <v>3.9200000000000013E-2</v>
      </c>
      <c r="AD179" s="40"/>
      <c r="AE179" s="40"/>
      <c r="AG179" s="48"/>
    </row>
    <row r="180" spans="1:33" ht="16.2" customHeight="1">
      <c r="A180" s="206">
        <v>157</v>
      </c>
      <c r="B180" s="55" t="s">
        <v>211</v>
      </c>
      <c r="C180" s="56" t="s">
        <v>69</v>
      </c>
      <c r="D180" s="142" t="s">
        <v>329</v>
      </c>
      <c r="E180" s="61">
        <v>3340883315.0500002</v>
      </c>
      <c r="F180" s="62">
        <f t="shared" si="128"/>
        <v>2.2888899790471911E-2</v>
      </c>
      <c r="G180" s="142" t="s">
        <v>329</v>
      </c>
      <c r="H180" s="61">
        <v>290.62</v>
      </c>
      <c r="I180" s="142" t="s">
        <v>329</v>
      </c>
      <c r="J180" s="61">
        <v>292.56</v>
      </c>
      <c r="K180" s="63">
        <v>508</v>
      </c>
      <c r="L180" s="64">
        <v>-1.15E-2</v>
      </c>
      <c r="M180" s="64">
        <v>0.29920000000000002</v>
      </c>
      <c r="N180" s="142" t="s">
        <v>329</v>
      </c>
      <c r="O180" s="61">
        <v>3435776493.1599998</v>
      </c>
      <c r="P180" s="84">
        <f t="shared" si="129"/>
        <v>2.2644025953097949E-2</v>
      </c>
      <c r="Q180" s="142" t="s">
        <v>329</v>
      </c>
      <c r="R180" s="61">
        <v>296.89999999999998</v>
      </c>
      <c r="S180" s="142" t="s">
        <v>329</v>
      </c>
      <c r="T180" s="61">
        <v>298.94</v>
      </c>
      <c r="U180" s="63">
        <v>508</v>
      </c>
      <c r="V180" s="64">
        <v>2.1700000000000001E-2</v>
      </c>
      <c r="W180" s="64">
        <v>0.32650000000000001</v>
      </c>
      <c r="X180" s="156">
        <f t="shared" si="132"/>
        <v>2.8403619390873418E-2</v>
      </c>
      <c r="Y180" s="156">
        <f t="shared" si="138"/>
        <v>2.1807492480174991E-2</v>
      </c>
      <c r="Z180" s="156">
        <f t="shared" si="139"/>
        <v>0</v>
      </c>
      <c r="AA180" s="156">
        <f t="shared" si="140"/>
        <v>3.32E-2</v>
      </c>
      <c r="AB180" s="157">
        <f t="shared" si="141"/>
        <v>2.7299999999999991E-2</v>
      </c>
    </row>
    <row r="181" spans="1:33" ht="14.4" customHeight="1">
      <c r="A181" s="206">
        <v>158</v>
      </c>
      <c r="B181" s="55" t="s">
        <v>212</v>
      </c>
      <c r="C181" s="56" t="s">
        <v>213</v>
      </c>
      <c r="D181" s="142" t="s">
        <v>329</v>
      </c>
      <c r="E181" s="61">
        <v>5967385627.3100004</v>
      </c>
      <c r="F181" s="62">
        <f t="shared" si="128"/>
        <v>4.0883466662635232E-2</v>
      </c>
      <c r="G181" s="142" t="s">
        <v>329</v>
      </c>
      <c r="H181" s="61">
        <v>2.5754999999999999</v>
      </c>
      <c r="I181" s="142" t="s">
        <v>329</v>
      </c>
      <c r="J181" s="61">
        <v>2.6154999999999999</v>
      </c>
      <c r="K181" s="63">
        <v>5955</v>
      </c>
      <c r="L181" s="64">
        <v>-1.46E-2</v>
      </c>
      <c r="M181" s="64">
        <v>0.31130000000000002</v>
      </c>
      <c r="N181" s="142" t="s">
        <v>329</v>
      </c>
      <c r="O181" s="61">
        <v>6213548756.2700005</v>
      </c>
      <c r="P181" s="84">
        <f t="shared" si="129"/>
        <v>4.0951371423002855E-2</v>
      </c>
      <c r="Q181" s="142" t="s">
        <v>329</v>
      </c>
      <c r="R181" s="61">
        <v>2.5754999999999999</v>
      </c>
      <c r="S181" s="142" t="s">
        <v>329</v>
      </c>
      <c r="T181" s="61">
        <v>2.6154999999999999</v>
      </c>
      <c r="U181" s="63">
        <v>5993</v>
      </c>
      <c r="V181" s="64">
        <v>2.6700000000000002E-2</v>
      </c>
      <c r="W181" s="64">
        <v>0.34360000000000002</v>
      </c>
      <c r="X181" s="156">
        <f t="shared" si="132"/>
        <v>4.1251419689289685E-2</v>
      </c>
      <c r="Y181" s="156">
        <f t="shared" si="138"/>
        <v>0</v>
      </c>
      <c r="Z181" s="156">
        <f t="shared" si="139"/>
        <v>6.3811922753988243E-3</v>
      </c>
      <c r="AA181" s="156">
        <f t="shared" si="140"/>
        <v>4.1300000000000003E-2</v>
      </c>
      <c r="AB181" s="157">
        <f t="shared" si="141"/>
        <v>3.2299999999999995E-2</v>
      </c>
    </row>
    <row r="182" spans="1:33" ht="15.6" customHeight="1">
      <c r="A182" s="206">
        <v>159</v>
      </c>
      <c r="B182" s="55" t="s">
        <v>214</v>
      </c>
      <c r="C182" s="56" t="s">
        <v>29</v>
      </c>
      <c r="D182" s="142" t="s">
        <v>329</v>
      </c>
      <c r="E182" s="78">
        <v>1363624228.5899999</v>
      </c>
      <c r="F182" s="62">
        <f t="shared" si="128"/>
        <v>9.3423970180140665E-3</v>
      </c>
      <c r="G182" s="142" t="s">
        <v>329</v>
      </c>
      <c r="H182" s="61">
        <v>280.43110000000001</v>
      </c>
      <c r="I182" s="142" t="s">
        <v>329</v>
      </c>
      <c r="J182" s="61">
        <v>281.77530000000002</v>
      </c>
      <c r="K182" s="63">
        <v>241</v>
      </c>
      <c r="L182" s="64">
        <v>-3.565E-3</v>
      </c>
      <c r="M182" s="64">
        <v>0.32869999999999999</v>
      </c>
      <c r="N182" s="142" t="s">
        <v>329</v>
      </c>
      <c r="O182" s="78">
        <v>1410498592.1300001</v>
      </c>
      <c r="P182" s="84">
        <f t="shared" si="129"/>
        <v>9.2961130593288751E-3</v>
      </c>
      <c r="Q182" s="142" t="s">
        <v>329</v>
      </c>
      <c r="R182" s="61">
        <v>290.24180000000001</v>
      </c>
      <c r="S182" s="142" t="s">
        <v>329</v>
      </c>
      <c r="T182" s="61">
        <v>2291.6745999999998</v>
      </c>
      <c r="U182" s="63">
        <v>245</v>
      </c>
      <c r="V182" s="64">
        <v>6.8120000000000003E-3</v>
      </c>
      <c r="W182" s="64">
        <v>0.37519999999999998</v>
      </c>
      <c r="X182" s="156">
        <f t="shared" si="132"/>
        <v>3.4374839165529296E-2</v>
      </c>
      <c r="Y182" s="156">
        <f t="shared" si="138"/>
        <v>7.1329861063052711</v>
      </c>
      <c r="Z182" s="156">
        <f t="shared" si="139"/>
        <v>1.6597510373443983E-2</v>
      </c>
      <c r="AA182" s="156">
        <f t="shared" si="140"/>
        <v>1.0377000000000001E-2</v>
      </c>
      <c r="AB182" s="157">
        <f t="shared" si="141"/>
        <v>4.6499999999999986E-2</v>
      </c>
    </row>
    <row r="183" spans="1:33" ht="13.8" customHeight="1">
      <c r="A183" s="206">
        <v>160</v>
      </c>
      <c r="B183" s="55" t="s">
        <v>215</v>
      </c>
      <c r="C183" s="56" t="s">
        <v>75</v>
      </c>
      <c r="D183" s="142" t="s">
        <v>329</v>
      </c>
      <c r="E183" s="78">
        <v>2285072434.52</v>
      </c>
      <c r="F183" s="62">
        <f t="shared" si="128"/>
        <v>1.5655378843099522E-2</v>
      </c>
      <c r="G183" s="142" t="s">
        <v>329</v>
      </c>
      <c r="H183" s="61">
        <v>204.19</v>
      </c>
      <c r="I183" s="142" t="s">
        <v>329</v>
      </c>
      <c r="J183" s="61">
        <v>205.33</v>
      </c>
      <c r="K183" s="63">
        <v>190</v>
      </c>
      <c r="L183" s="64">
        <v>-1.9400000000000001E-2</v>
      </c>
      <c r="M183" s="64">
        <v>0.2054</v>
      </c>
      <c r="N183" s="142" t="s">
        <v>329</v>
      </c>
      <c r="O183" s="78">
        <v>2237335258.27</v>
      </c>
      <c r="P183" s="84">
        <f t="shared" si="129"/>
        <v>1.4745510295825784E-2</v>
      </c>
      <c r="Q183" s="142" t="s">
        <v>329</v>
      </c>
      <c r="R183" s="61">
        <v>204.19</v>
      </c>
      <c r="S183" s="142" t="s">
        <v>329</v>
      </c>
      <c r="T183" s="61">
        <v>205.33</v>
      </c>
      <c r="U183" s="63">
        <v>190</v>
      </c>
      <c r="V183" s="64">
        <v>0</v>
      </c>
      <c r="W183" s="64">
        <v>0.2054</v>
      </c>
      <c r="X183" s="156">
        <f t="shared" si="132"/>
        <v>-2.0890880975520422E-2</v>
      </c>
      <c r="Y183" s="156">
        <f t="shared" si="138"/>
        <v>0</v>
      </c>
      <c r="Z183" s="156">
        <f t="shared" si="139"/>
        <v>0</v>
      </c>
      <c r="AA183" s="156">
        <f t="shared" si="140"/>
        <v>1.9400000000000001E-2</v>
      </c>
      <c r="AB183" s="157">
        <f t="shared" si="141"/>
        <v>0</v>
      </c>
    </row>
    <row r="184" spans="1:33" ht="15.75" customHeight="1">
      <c r="A184" s="206">
        <v>161</v>
      </c>
      <c r="B184" s="55" t="s">
        <v>216</v>
      </c>
      <c r="C184" s="56" t="s">
        <v>78</v>
      </c>
      <c r="D184" s="142" t="s">
        <v>329</v>
      </c>
      <c r="E184" s="67">
        <v>1121589496.8499999</v>
      </c>
      <c r="F184" s="62">
        <f t="shared" si="128"/>
        <v>7.6841802537067211E-3</v>
      </c>
      <c r="G184" s="142" t="s">
        <v>329</v>
      </c>
      <c r="H184" s="61">
        <v>2.13</v>
      </c>
      <c r="I184" s="142" t="s">
        <v>329</v>
      </c>
      <c r="J184" s="61">
        <v>2.15</v>
      </c>
      <c r="K184" s="63">
        <v>215</v>
      </c>
      <c r="L184" s="64">
        <v>-2.1999999999999999E-2</v>
      </c>
      <c r="M184" s="64">
        <v>0.35849999999999999</v>
      </c>
      <c r="N184" s="142" t="s">
        <v>329</v>
      </c>
      <c r="O184" s="67">
        <v>988948505.13999999</v>
      </c>
      <c r="P184" s="84">
        <f t="shared" si="129"/>
        <v>6.5178208364977978E-3</v>
      </c>
      <c r="Q184" s="142" t="s">
        <v>329</v>
      </c>
      <c r="R184" s="61">
        <v>2.27</v>
      </c>
      <c r="S184" s="142" t="s">
        <v>329</v>
      </c>
      <c r="T184" s="61">
        <v>2.25</v>
      </c>
      <c r="U184" s="63">
        <v>217</v>
      </c>
      <c r="V184" s="64">
        <v>-2.1999999999999999E-2</v>
      </c>
      <c r="W184" s="64">
        <v>0.42859999999999998</v>
      </c>
      <c r="X184" s="156">
        <f t="shared" si="132"/>
        <v>-0.11826162074673847</v>
      </c>
      <c r="Y184" s="156">
        <f t="shared" si="138"/>
        <v>4.6511627906976785E-2</v>
      </c>
      <c r="Z184" s="156">
        <f t="shared" si="139"/>
        <v>9.3023255813953487E-3</v>
      </c>
      <c r="AA184" s="156">
        <f t="shared" si="140"/>
        <v>0</v>
      </c>
      <c r="AB184" s="157">
        <f t="shared" si="141"/>
        <v>7.0099999999999996E-2</v>
      </c>
      <c r="AD184" s="40"/>
    </row>
    <row r="185" spans="1:33" ht="16.8" customHeight="1">
      <c r="A185" s="206">
        <v>162</v>
      </c>
      <c r="B185" s="55" t="s">
        <v>325</v>
      </c>
      <c r="C185" s="56" t="s">
        <v>79</v>
      </c>
      <c r="D185" s="142" t="s">
        <v>329</v>
      </c>
      <c r="E185" s="61">
        <v>20940594344.540001</v>
      </c>
      <c r="F185" s="62">
        <f t="shared" si="128"/>
        <v>0.14346719723670612</v>
      </c>
      <c r="G185" s="142" t="s">
        <v>329</v>
      </c>
      <c r="H185" s="61">
        <v>582.04999999999995</v>
      </c>
      <c r="I185" s="142" t="s">
        <v>329</v>
      </c>
      <c r="J185" s="61">
        <v>587.45000000000005</v>
      </c>
      <c r="K185" s="63">
        <v>5799</v>
      </c>
      <c r="L185" s="64">
        <v>-4.3E-3</v>
      </c>
      <c r="M185" s="64">
        <v>0.3589</v>
      </c>
      <c r="N185" s="142" t="s">
        <v>329</v>
      </c>
      <c r="O185" s="61">
        <v>21352479647.130001</v>
      </c>
      <c r="P185" s="84">
        <f t="shared" si="129"/>
        <v>0.14072687913639881</v>
      </c>
      <c r="Q185" s="142" t="s">
        <v>329</v>
      </c>
      <c r="R185" s="61">
        <v>593.86</v>
      </c>
      <c r="S185" s="142" t="s">
        <v>329</v>
      </c>
      <c r="T185" s="61">
        <v>599.47</v>
      </c>
      <c r="U185" s="63">
        <v>5807</v>
      </c>
      <c r="V185" s="64">
        <v>2.0400000000000001E-2</v>
      </c>
      <c r="W185" s="64">
        <v>0.38650000000000001</v>
      </c>
      <c r="X185" s="156">
        <f t="shared" si="132"/>
        <v>1.9669226948059098E-2</v>
      </c>
      <c r="Y185" s="156">
        <f t="shared" si="138"/>
        <v>2.0461315856668619E-2</v>
      </c>
      <c r="Z185" s="156">
        <f t="shared" si="139"/>
        <v>1.3795481979651664E-3</v>
      </c>
      <c r="AA185" s="156">
        <f t="shared" si="140"/>
        <v>2.47E-2</v>
      </c>
      <c r="AB185" s="157">
        <f t="shared" si="141"/>
        <v>2.7600000000000013E-2</v>
      </c>
    </row>
    <row r="186" spans="1:33" ht="13.8" customHeight="1">
      <c r="A186" s="206">
        <v>163</v>
      </c>
      <c r="B186" s="55" t="s">
        <v>217</v>
      </c>
      <c r="C186" s="56" t="s">
        <v>87</v>
      </c>
      <c r="D186" s="142" t="s">
        <v>329</v>
      </c>
      <c r="E186" s="61">
        <v>5472770372.1199999</v>
      </c>
      <c r="F186" s="62">
        <f t="shared" si="128"/>
        <v>3.749478231084033E-2</v>
      </c>
      <c r="G186" s="142" t="s">
        <v>329</v>
      </c>
      <c r="H186" s="61">
        <v>3.7530999999999999</v>
      </c>
      <c r="I186" s="142" t="s">
        <v>329</v>
      </c>
      <c r="J186" s="61">
        <v>3.82</v>
      </c>
      <c r="K186" s="63">
        <v>10200</v>
      </c>
      <c r="L186" s="64">
        <v>-1.3599999999999999E-2</v>
      </c>
      <c r="M186" s="64">
        <v>0.22509999999999999</v>
      </c>
      <c r="N186" s="142" t="s">
        <v>329</v>
      </c>
      <c r="O186" s="61">
        <v>5608420922.4300003</v>
      </c>
      <c r="P186" s="84">
        <f t="shared" si="129"/>
        <v>3.6963181154603807E-2</v>
      </c>
      <c r="Q186" s="142" t="s">
        <v>329</v>
      </c>
      <c r="R186" s="61">
        <v>3.8376999999999999</v>
      </c>
      <c r="S186" s="142" t="s">
        <v>329</v>
      </c>
      <c r="T186" s="61">
        <v>3.9089</v>
      </c>
      <c r="U186" s="63">
        <v>10201</v>
      </c>
      <c r="V186" s="64">
        <v>1.7999999999999999E-2</v>
      </c>
      <c r="W186" s="64">
        <v>0.25319999999999998</v>
      </c>
      <c r="X186" s="156">
        <f t="shared" si="132"/>
        <v>2.4786450204643456E-2</v>
      </c>
      <c r="Y186" s="156">
        <f t="shared" si="138"/>
        <v>2.3272251308900576E-2</v>
      </c>
      <c r="Z186" s="156">
        <f t="shared" si="139"/>
        <v>9.8039215686274506E-5</v>
      </c>
      <c r="AA186" s="156">
        <f t="shared" si="140"/>
        <v>3.1599999999999996E-2</v>
      </c>
      <c r="AB186" s="157">
        <f t="shared" si="141"/>
        <v>2.8099999999999986E-2</v>
      </c>
    </row>
    <row r="187" spans="1:33" ht="16.2" customHeight="1">
      <c r="A187" s="206">
        <v>164</v>
      </c>
      <c r="B187" s="55" t="s">
        <v>218</v>
      </c>
      <c r="C187" s="56" t="s">
        <v>89</v>
      </c>
      <c r="D187" s="142" t="s">
        <v>329</v>
      </c>
      <c r="E187" s="61">
        <v>384511006.39999998</v>
      </c>
      <c r="F187" s="62">
        <f t="shared" si="128"/>
        <v>2.6343433948070663E-3</v>
      </c>
      <c r="G187" s="142" t="s">
        <v>329</v>
      </c>
      <c r="H187" s="61">
        <v>354.59</v>
      </c>
      <c r="I187" s="142" t="s">
        <v>329</v>
      </c>
      <c r="J187" s="61">
        <v>354.59</v>
      </c>
      <c r="K187" s="63">
        <v>37</v>
      </c>
      <c r="L187" s="64">
        <v>-3.73E-2</v>
      </c>
      <c r="M187" s="64">
        <v>0.29970000000000002</v>
      </c>
      <c r="N187" s="142" t="s">
        <v>329</v>
      </c>
      <c r="O187" s="61">
        <v>397393329.56</v>
      </c>
      <c r="P187" s="84">
        <f t="shared" si="129"/>
        <v>2.6190833094234087E-3</v>
      </c>
      <c r="Q187" s="142" t="s">
        <v>329</v>
      </c>
      <c r="R187" s="61">
        <v>366.42</v>
      </c>
      <c r="S187" s="142" t="s">
        <v>329</v>
      </c>
      <c r="T187" s="61">
        <v>366.42</v>
      </c>
      <c r="U187" s="63">
        <v>37</v>
      </c>
      <c r="V187" s="64">
        <v>3.3399999999999999E-2</v>
      </c>
      <c r="W187" s="64">
        <v>0.36990000000000001</v>
      </c>
      <c r="X187" s="156">
        <f t="shared" si="132"/>
        <v>3.3503132408643652E-2</v>
      </c>
      <c r="Y187" s="156">
        <f t="shared" si="138"/>
        <v>3.3362474971093493E-2</v>
      </c>
      <c r="Z187" s="156">
        <f t="shared" si="139"/>
        <v>0</v>
      </c>
      <c r="AA187" s="156">
        <f t="shared" si="140"/>
        <v>7.0699999999999999E-2</v>
      </c>
      <c r="AB187" s="157">
        <f t="shared" si="141"/>
        <v>7.0199999999999985E-2</v>
      </c>
    </row>
    <row r="188" spans="1:33" ht="13.8" customHeight="1">
      <c r="A188" s="206">
        <v>165</v>
      </c>
      <c r="B188" s="55" t="s">
        <v>219</v>
      </c>
      <c r="C188" s="55" t="s">
        <v>91</v>
      </c>
      <c r="D188" s="142" t="s">
        <v>329</v>
      </c>
      <c r="E188" s="83">
        <v>106274955.14</v>
      </c>
      <c r="F188" s="62">
        <f t="shared" si="128"/>
        <v>7.2810588369799211E-4</v>
      </c>
      <c r="G188" s="142" t="s">
        <v>329</v>
      </c>
      <c r="H188" s="61">
        <v>1.54</v>
      </c>
      <c r="I188" s="142" t="s">
        <v>329</v>
      </c>
      <c r="J188" s="61">
        <v>1.54</v>
      </c>
      <c r="K188" s="63">
        <v>30</v>
      </c>
      <c r="L188" s="64">
        <v>-1.4E-2</v>
      </c>
      <c r="M188" s="64">
        <v>5.9499999999999997E-2</v>
      </c>
      <c r="N188" s="142" t="s">
        <v>329</v>
      </c>
      <c r="O188" s="83">
        <v>106928070.86</v>
      </c>
      <c r="P188" s="84">
        <f t="shared" si="129"/>
        <v>7.047262871985021E-4</v>
      </c>
      <c r="Q188" s="142" t="s">
        <v>329</v>
      </c>
      <c r="R188" s="61">
        <v>1.54</v>
      </c>
      <c r="S188" s="142" t="s">
        <v>329</v>
      </c>
      <c r="T188" s="61">
        <v>1.54</v>
      </c>
      <c r="U188" s="63">
        <v>30</v>
      </c>
      <c r="V188" s="64">
        <v>8.0000000000000002E-3</v>
      </c>
      <c r="W188" s="64">
        <v>6.6000000000000003E-2</v>
      </c>
      <c r="X188" s="156">
        <f t="shared" si="132"/>
        <v>6.1455280704623668E-3</v>
      </c>
      <c r="Y188" s="156">
        <f t="shared" si="138"/>
        <v>0</v>
      </c>
      <c r="Z188" s="156">
        <f t="shared" si="139"/>
        <v>0</v>
      </c>
      <c r="AA188" s="156">
        <f t="shared" si="140"/>
        <v>2.1999999999999999E-2</v>
      </c>
      <c r="AB188" s="157">
        <f t="shared" si="141"/>
        <v>6.5000000000000058E-3</v>
      </c>
    </row>
    <row r="189" spans="1:33" ht="13.5" customHeight="1">
      <c r="A189" s="206">
        <v>166</v>
      </c>
      <c r="B189" s="55" t="s">
        <v>220</v>
      </c>
      <c r="C189" s="56" t="s">
        <v>35</v>
      </c>
      <c r="D189" s="142" t="s">
        <v>329</v>
      </c>
      <c r="E189" s="67">
        <v>13742286945.49</v>
      </c>
      <c r="F189" s="62">
        <f t="shared" si="128"/>
        <v>9.4150498273994174E-2</v>
      </c>
      <c r="G189" s="142" t="s">
        <v>329</v>
      </c>
      <c r="H189" s="61">
        <v>7.7152000000000003</v>
      </c>
      <c r="I189" s="142" t="s">
        <v>329</v>
      </c>
      <c r="J189" s="61">
        <v>7.8503999999999996</v>
      </c>
      <c r="K189" s="63">
        <v>13315</v>
      </c>
      <c r="L189" s="64">
        <v>-4.7399999999999998E-2</v>
      </c>
      <c r="M189" s="64">
        <v>0.2424</v>
      </c>
      <c r="N189" s="142" t="s">
        <v>329</v>
      </c>
      <c r="O189" s="67">
        <v>14080336449.639999</v>
      </c>
      <c r="P189" s="84">
        <f t="shared" si="129"/>
        <v>9.2798674369168693E-2</v>
      </c>
      <c r="Q189" s="142" t="s">
        <v>329</v>
      </c>
      <c r="R189" s="61">
        <v>7.8764000000000003</v>
      </c>
      <c r="S189" s="142" t="s">
        <v>329</v>
      </c>
      <c r="T189" s="61">
        <v>8.0150000000000006</v>
      </c>
      <c r="U189" s="63">
        <v>13931</v>
      </c>
      <c r="V189" s="64">
        <v>2.0899999999999998E-2</v>
      </c>
      <c r="W189" s="64">
        <v>0.26840000000000003</v>
      </c>
      <c r="X189" s="156">
        <f t="shared" si="132"/>
        <v>2.4599217400342675E-2</v>
      </c>
      <c r="Y189" s="156">
        <f t="shared" si="138"/>
        <v>2.0967084479771855E-2</v>
      </c>
      <c r="Z189" s="156">
        <f t="shared" si="139"/>
        <v>4.626361246714232E-2</v>
      </c>
      <c r="AA189" s="156">
        <f t="shared" si="140"/>
        <v>6.83E-2</v>
      </c>
      <c r="AB189" s="157">
        <f t="shared" si="141"/>
        <v>2.6000000000000023E-2</v>
      </c>
      <c r="AD189" s="40"/>
    </row>
    <row r="190" spans="1:33" ht="13.5" customHeight="1">
      <c r="A190" s="206">
        <v>167</v>
      </c>
      <c r="B190" s="55" t="s">
        <v>221</v>
      </c>
      <c r="C190" s="56" t="s">
        <v>222</v>
      </c>
      <c r="D190" s="142" t="s">
        <v>329</v>
      </c>
      <c r="E190" s="67">
        <v>166699652.09</v>
      </c>
      <c r="F190" s="62">
        <f t="shared" si="128"/>
        <v>1.1420846740160505E-3</v>
      </c>
      <c r="G190" s="142" t="s">
        <v>329</v>
      </c>
      <c r="H190" s="61">
        <v>2.9965999999999999</v>
      </c>
      <c r="I190" s="142" t="s">
        <v>329</v>
      </c>
      <c r="J190" s="61">
        <v>3.0127000000000002</v>
      </c>
      <c r="K190" s="63">
        <v>153</v>
      </c>
      <c r="L190" s="64">
        <v>-9.4999999999999998E-3</v>
      </c>
      <c r="M190" s="64">
        <v>7.4899999999999994E-2</v>
      </c>
      <c r="N190" s="142" t="s">
        <v>329</v>
      </c>
      <c r="O190" s="67">
        <v>171547246.22999999</v>
      </c>
      <c r="P190" s="84">
        <f t="shared" si="129"/>
        <v>1.130609136987802E-3</v>
      </c>
      <c r="Q190" s="142" t="s">
        <v>329</v>
      </c>
      <c r="R190" s="61">
        <v>3.069</v>
      </c>
      <c r="S190" s="142" t="s">
        <v>329</v>
      </c>
      <c r="T190" s="61">
        <v>3.0863</v>
      </c>
      <c r="U190" s="63">
        <v>153</v>
      </c>
      <c r="V190" s="64">
        <v>2.4299999999999999E-2</v>
      </c>
      <c r="W190" s="64">
        <v>0.10100000000000001</v>
      </c>
      <c r="X190" s="156">
        <f t="shared" si="132"/>
        <v>2.9079809581023016E-2</v>
      </c>
      <c r="Y190" s="156">
        <f t="shared" si="138"/>
        <v>2.4429913366747397E-2</v>
      </c>
      <c r="Z190" s="156">
        <f t="shared" si="139"/>
        <v>0</v>
      </c>
      <c r="AA190" s="156">
        <f t="shared" si="140"/>
        <v>3.3799999999999997E-2</v>
      </c>
      <c r="AB190" s="157">
        <f t="shared" si="141"/>
        <v>2.6100000000000012E-2</v>
      </c>
    </row>
    <row r="191" spans="1:33" ht="15" customHeight="1">
      <c r="A191" s="206">
        <v>168</v>
      </c>
      <c r="B191" s="55" t="s">
        <v>223</v>
      </c>
      <c r="C191" s="56" t="s">
        <v>143</v>
      </c>
      <c r="D191" s="142" t="s">
        <v>329</v>
      </c>
      <c r="E191" s="67">
        <v>2121768194.52</v>
      </c>
      <c r="F191" s="62">
        <f t="shared" si="128"/>
        <v>1.4536556653805781E-2</v>
      </c>
      <c r="G191" s="142" t="s">
        <v>329</v>
      </c>
      <c r="H191" s="61">
        <v>465.83</v>
      </c>
      <c r="I191" s="142" t="s">
        <v>329</v>
      </c>
      <c r="J191" s="61">
        <v>487.17</v>
      </c>
      <c r="K191" s="63">
        <v>158</v>
      </c>
      <c r="L191" s="64">
        <v>1.37E-2</v>
      </c>
      <c r="M191" s="64">
        <v>0.309</v>
      </c>
      <c r="N191" s="142" t="s">
        <v>329</v>
      </c>
      <c r="O191" s="67">
        <v>2106554039.6600001</v>
      </c>
      <c r="P191" s="84">
        <f t="shared" si="129"/>
        <v>1.3883576082620051E-2</v>
      </c>
      <c r="Q191" s="142" t="s">
        <v>329</v>
      </c>
      <c r="R191" s="61">
        <v>485.8</v>
      </c>
      <c r="S191" s="142" t="s">
        <v>329</v>
      </c>
      <c r="T191" s="61">
        <v>490.8</v>
      </c>
      <c r="U191" s="63">
        <v>158</v>
      </c>
      <c r="V191" s="64">
        <v>1.37E-2</v>
      </c>
      <c r="W191" s="64">
        <v>0.36509999999999998</v>
      </c>
      <c r="X191" s="156">
        <f t="shared" si="132"/>
        <v>-7.1705075508692595E-3</v>
      </c>
      <c r="Y191" s="156">
        <f t="shared" si="138"/>
        <v>7.4511977338505972E-3</v>
      </c>
      <c r="Z191" s="156">
        <f t="shared" si="139"/>
        <v>0</v>
      </c>
      <c r="AA191" s="156">
        <f t="shared" si="140"/>
        <v>0</v>
      </c>
      <c r="AB191" s="157">
        <f t="shared" si="141"/>
        <v>5.6099999999999983E-2</v>
      </c>
    </row>
    <row r="192" spans="1:33" ht="15.6" customHeight="1">
      <c r="A192" s="206">
        <v>169</v>
      </c>
      <c r="B192" s="55" t="s">
        <v>313</v>
      </c>
      <c r="C192" s="56" t="s">
        <v>312</v>
      </c>
      <c r="D192" s="142" t="s">
        <v>329</v>
      </c>
      <c r="E192" s="61">
        <v>51970674.229999997</v>
      </c>
      <c r="F192" s="62">
        <f t="shared" si="128"/>
        <v>3.5605899467815681E-4</v>
      </c>
      <c r="G192" s="142" t="s">
        <v>329</v>
      </c>
      <c r="H192" s="61">
        <v>1</v>
      </c>
      <c r="I192" s="142" t="s">
        <v>329</v>
      </c>
      <c r="J192" s="61">
        <v>1</v>
      </c>
      <c r="K192" s="63">
        <v>5</v>
      </c>
      <c r="L192" s="64">
        <v>7.76E-4</v>
      </c>
      <c r="M192" s="64">
        <v>0</v>
      </c>
      <c r="N192" s="142" t="s">
        <v>329</v>
      </c>
      <c r="O192" s="61">
        <v>52061325.520000003</v>
      </c>
      <c r="P192" s="84">
        <f t="shared" si="129"/>
        <v>3.4311836307585498E-4</v>
      </c>
      <c r="Q192" s="142" t="s">
        <v>329</v>
      </c>
      <c r="R192" s="61">
        <v>1</v>
      </c>
      <c r="S192" s="142" t="s">
        <v>329</v>
      </c>
      <c r="T192" s="61">
        <v>1</v>
      </c>
      <c r="U192" s="63">
        <v>5</v>
      </c>
      <c r="V192" s="64">
        <v>1.7440000000000001E-3</v>
      </c>
      <c r="W192" s="64">
        <v>0</v>
      </c>
      <c r="X192" s="156">
        <f t="shared" ref="X192" si="142">((O192-E192)/E192)</f>
        <v>1.7442777363022592E-3</v>
      </c>
      <c r="Y192" s="156">
        <f t="shared" ref="Y192" si="143">((T192-J192)/J192)</f>
        <v>0</v>
      </c>
      <c r="Z192" s="156">
        <f t="shared" ref="Z192" si="144">((U192-K192)/K192)</f>
        <v>0</v>
      </c>
      <c r="AA192" s="156">
        <f t="shared" ref="AA192" si="145">V192-L192</f>
        <v>9.6800000000000011E-4</v>
      </c>
      <c r="AB192" s="157">
        <f t="shared" ref="AB192" si="146">W192-M192</f>
        <v>0</v>
      </c>
    </row>
    <row r="193" spans="1:31" ht="15.6" customHeight="1">
      <c r="A193" s="206">
        <v>170</v>
      </c>
      <c r="B193" s="55" t="s">
        <v>224</v>
      </c>
      <c r="C193" s="56" t="s">
        <v>31</v>
      </c>
      <c r="D193" s="142" t="s">
        <v>329</v>
      </c>
      <c r="E193" s="67">
        <v>2866016662.6399999</v>
      </c>
      <c r="F193" s="62">
        <f t="shared" si="128"/>
        <v>1.9635516120385044E-2</v>
      </c>
      <c r="G193" s="142" t="s">
        <v>329</v>
      </c>
      <c r="H193" s="61">
        <v>552.22</v>
      </c>
      <c r="I193" s="142" t="s">
        <v>329</v>
      </c>
      <c r="J193" s="61">
        <v>552.22</v>
      </c>
      <c r="K193" s="63">
        <v>823</v>
      </c>
      <c r="L193" s="64">
        <v>-8.9700000000000002E-2</v>
      </c>
      <c r="M193" s="64">
        <v>0.36399999999999999</v>
      </c>
      <c r="N193" s="142" t="s">
        <v>329</v>
      </c>
      <c r="O193" s="67">
        <v>2958341995.1900001</v>
      </c>
      <c r="P193" s="84">
        <f t="shared" si="129"/>
        <v>1.9497418720508822E-2</v>
      </c>
      <c r="Q193" s="142" t="s">
        <v>329</v>
      </c>
      <c r="R193" s="61">
        <v>552.22</v>
      </c>
      <c r="S193" s="142" t="s">
        <v>329</v>
      </c>
      <c r="T193" s="61">
        <v>552.22</v>
      </c>
      <c r="U193" s="63">
        <v>823</v>
      </c>
      <c r="V193" s="64">
        <v>6.77E-3</v>
      </c>
      <c r="W193" s="64">
        <v>0.37319000000000002</v>
      </c>
      <c r="X193" s="156">
        <f t="shared" si="132"/>
        <v>3.2213815695319691E-2</v>
      </c>
      <c r="Y193" s="156">
        <f t="shared" ref="Y193:Z195" si="147">((T193-J193)/J193)</f>
        <v>0</v>
      </c>
      <c r="Z193" s="156">
        <f t="shared" si="147"/>
        <v>0</v>
      </c>
      <c r="AA193" s="156">
        <f t="shared" ref="AA193:AB195" si="148">V193-L193</f>
        <v>9.647E-2</v>
      </c>
      <c r="AB193" s="157">
        <f t="shared" si="148"/>
        <v>9.1900000000000315E-3</v>
      </c>
    </row>
    <row r="194" spans="1:31" ht="16.2" customHeight="1">
      <c r="A194" s="206">
        <v>171</v>
      </c>
      <c r="B194" s="55" t="s">
        <v>225</v>
      </c>
      <c r="C194" s="56" t="s">
        <v>100</v>
      </c>
      <c r="D194" s="142" t="s">
        <v>329</v>
      </c>
      <c r="E194" s="61">
        <v>82113853.060000002</v>
      </c>
      <c r="F194" s="62">
        <f t="shared" si="128"/>
        <v>5.6257449807753813E-4</v>
      </c>
      <c r="G194" s="142" t="s">
        <v>329</v>
      </c>
      <c r="H194" s="61">
        <v>3.46</v>
      </c>
      <c r="I194" s="142" t="s">
        <v>329</v>
      </c>
      <c r="J194" s="61">
        <v>3.46</v>
      </c>
      <c r="K194" s="63">
        <v>10</v>
      </c>
      <c r="L194" s="64">
        <v>-3.0099999999999998E-2</v>
      </c>
      <c r="M194" s="64">
        <v>0.31990000000000002</v>
      </c>
      <c r="N194" s="142" t="s">
        <v>329</v>
      </c>
      <c r="O194" s="61">
        <v>82113853.060000002</v>
      </c>
      <c r="P194" s="84">
        <f t="shared" si="129"/>
        <v>5.4118427770293324E-4</v>
      </c>
      <c r="Q194" s="142" t="s">
        <v>329</v>
      </c>
      <c r="R194" s="61">
        <v>3.58</v>
      </c>
      <c r="S194" s="142" t="s">
        <v>329</v>
      </c>
      <c r="T194" s="61">
        <v>3.58</v>
      </c>
      <c r="U194" s="63">
        <v>10</v>
      </c>
      <c r="V194" s="64">
        <v>3.1800000000000002E-2</v>
      </c>
      <c r="W194" s="64">
        <v>0.36349999999999999</v>
      </c>
      <c r="X194" s="156">
        <f t="shared" si="132"/>
        <v>0</v>
      </c>
      <c r="Y194" s="156">
        <f t="shared" si="147"/>
        <v>3.4682080924855523E-2</v>
      </c>
      <c r="Z194" s="156">
        <f t="shared" si="147"/>
        <v>0</v>
      </c>
      <c r="AA194" s="156">
        <f t="shared" si="148"/>
        <v>6.1899999999999997E-2</v>
      </c>
      <c r="AB194" s="157">
        <f t="shared" si="148"/>
        <v>4.3599999999999972E-2</v>
      </c>
      <c r="AE194" s="48"/>
    </row>
    <row r="195" spans="1:31" ht="15.6" customHeight="1">
      <c r="A195" s="206">
        <v>172</v>
      </c>
      <c r="B195" s="55" t="s">
        <v>226</v>
      </c>
      <c r="C195" s="56" t="s">
        <v>42</v>
      </c>
      <c r="D195" s="142" t="s">
        <v>329</v>
      </c>
      <c r="E195" s="61">
        <v>685755275.72000003</v>
      </c>
      <c r="F195" s="62">
        <f t="shared" si="128"/>
        <v>4.6982137077444157E-3</v>
      </c>
      <c r="G195" s="142" t="s">
        <v>329</v>
      </c>
      <c r="H195" s="61">
        <v>4.5</v>
      </c>
      <c r="I195" s="142" t="s">
        <v>329</v>
      </c>
      <c r="J195" s="61">
        <v>4.54</v>
      </c>
      <c r="K195" s="63">
        <v>142</v>
      </c>
      <c r="L195" s="64">
        <v>-2.1600000000000001E-2</v>
      </c>
      <c r="M195" s="64">
        <v>2.7000000000000001E-3</v>
      </c>
      <c r="N195" s="142" t="s">
        <v>329</v>
      </c>
      <c r="O195" s="61">
        <v>698310984.45000005</v>
      </c>
      <c r="P195" s="84">
        <f t="shared" si="129"/>
        <v>4.6023284945045486E-3</v>
      </c>
      <c r="Q195" s="142" t="s">
        <v>329</v>
      </c>
      <c r="R195" s="61">
        <v>4.5599999999999996</v>
      </c>
      <c r="S195" s="142" t="s">
        <v>329</v>
      </c>
      <c r="T195" s="61">
        <v>4.58</v>
      </c>
      <c r="U195" s="63">
        <v>140</v>
      </c>
      <c r="V195" s="64">
        <v>8.8000000000000005E-3</v>
      </c>
      <c r="W195" s="64">
        <v>2.8999999999999998E-3</v>
      </c>
      <c r="X195" s="156">
        <f t="shared" si="132"/>
        <v>1.8309314087036826E-2</v>
      </c>
      <c r="Y195" s="156">
        <f t="shared" si="147"/>
        <v>8.8105726872246774E-3</v>
      </c>
      <c r="Z195" s="156">
        <f t="shared" si="147"/>
        <v>-1.4084507042253521E-2</v>
      </c>
      <c r="AA195" s="156">
        <f t="shared" si="148"/>
        <v>3.0400000000000003E-2</v>
      </c>
      <c r="AB195" s="157">
        <f t="shared" si="148"/>
        <v>1.9999999999999966E-4</v>
      </c>
      <c r="AD195" s="40"/>
      <c r="AE195" s="40"/>
    </row>
    <row r="196" spans="1:31" ht="13.8" customHeight="1">
      <c r="A196" s="206">
        <v>173</v>
      </c>
      <c r="B196" s="55" t="s">
        <v>300</v>
      </c>
      <c r="C196" s="56" t="s">
        <v>301</v>
      </c>
      <c r="D196" s="142" t="s">
        <v>329</v>
      </c>
      <c r="E196" s="61">
        <v>284712769.63999999</v>
      </c>
      <c r="F196" s="62">
        <f t="shared" si="128"/>
        <v>1.9506104939376319E-3</v>
      </c>
      <c r="G196" s="142" t="s">
        <v>329</v>
      </c>
      <c r="H196" s="61">
        <v>138.63</v>
      </c>
      <c r="I196" s="142" t="s">
        <v>329</v>
      </c>
      <c r="J196" s="61">
        <v>140.41999999999999</v>
      </c>
      <c r="K196" s="63">
        <v>117</v>
      </c>
      <c r="L196" s="64">
        <v>-1.41E-2</v>
      </c>
      <c r="M196" s="64">
        <v>0.2026</v>
      </c>
      <c r="N196" s="142" t="s">
        <v>329</v>
      </c>
      <c r="O196" s="61">
        <v>289004714.19</v>
      </c>
      <c r="P196" s="62">
        <f t="shared" si="129"/>
        <v>1.9047310736639521E-3</v>
      </c>
      <c r="Q196" s="142" t="s">
        <v>329</v>
      </c>
      <c r="R196" s="61">
        <v>141.19</v>
      </c>
      <c r="S196" s="142" t="s">
        <v>329</v>
      </c>
      <c r="T196" s="61">
        <v>142.31</v>
      </c>
      <c r="U196" s="63">
        <v>118</v>
      </c>
      <c r="V196" s="64">
        <v>-1.41E-2</v>
      </c>
      <c r="W196" s="64">
        <v>0.22489999999999999</v>
      </c>
      <c r="X196" s="156">
        <f t="shared" ref="X196" si="149">((O196-E196)/E196)</f>
        <v>1.5074647180127836E-2</v>
      </c>
      <c r="Y196" s="156">
        <f t="shared" ref="Y196" si="150">((T196-J196)/J196)</f>
        <v>1.3459621136590336E-2</v>
      </c>
      <c r="Z196" s="156">
        <f t="shared" ref="Z196" si="151">((U196-K196)/K196)</f>
        <v>8.5470085470085479E-3</v>
      </c>
      <c r="AA196" s="156">
        <f t="shared" ref="AA196" si="152">V196-L196</f>
        <v>0</v>
      </c>
      <c r="AB196" s="157">
        <f t="shared" ref="AB196" si="153">W196-M196</f>
        <v>2.2299999999999986E-2</v>
      </c>
    </row>
    <row r="197" spans="1:31" ht="14.4" customHeight="1">
      <c r="A197" s="206">
        <v>174</v>
      </c>
      <c r="B197" s="55" t="s">
        <v>227</v>
      </c>
      <c r="C197" s="56" t="s">
        <v>46</v>
      </c>
      <c r="D197" s="142" t="s">
        <v>329</v>
      </c>
      <c r="E197" s="67">
        <v>13259561602.780001</v>
      </c>
      <c r="F197" s="62">
        <f t="shared" si="128"/>
        <v>9.0843273521235918E-2</v>
      </c>
      <c r="G197" s="142" t="s">
        <v>329</v>
      </c>
      <c r="H197" s="61">
        <v>12566.68</v>
      </c>
      <c r="I197" s="142" t="s">
        <v>329</v>
      </c>
      <c r="J197" s="61">
        <v>12690.9</v>
      </c>
      <c r="K197" s="63">
        <v>8579</v>
      </c>
      <c r="L197" s="64">
        <v>-3.4099999999999998E-2</v>
      </c>
      <c r="M197" s="64">
        <v>0.30409999999999998</v>
      </c>
      <c r="N197" s="142" t="s">
        <v>329</v>
      </c>
      <c r="O197" s="67">
        <v>14119990760.15</v>
      </c>
      <c r="P197" s="62">
        <f t="shared" si="129"/>
        <v>9.3060022346293597E-2</v>
      </c>
      <c r="Q197" s="142" t="s">
        <v>329</v>
      </c>
      <c r="R197" s="61">
        <v>13155.79</v>
      </c>
      <c r="S197" s="142" t="s">
        <v>329</v>
      </c>
      <c r="T197" s="61">
        <v>13287.58</v>
      </c>
      <c r="U197" s="63">
        <v>8762</v>
      </c>
      <c r="V197" s="64">
        <v>4.7E-2</v>
      </c>
      <c r="W197" s="64">
        <v>0.3654</v>
      </c>
      <c r="X197" s="156">
        <f t="shared" si="132"/>
        <v>6.4891222134342758E-2</v>
      </c>
      <c r="Y197" s="156">
        <f t="shared" ref="Y197:Z201" si="154">((T197-J197)/J197)</f>
        <v>4.7016366057568836E-2</v>
      </c>
      <c r="Z197" s="156">
        <f t="shared" si="154"/>
        <v>2.1331157477561487E-2</v>
      </c>
      <c r="AA197" s="156">
        <f t="shared" ref="AA197:AB201" si="155">V197-L197</f>
        <v>8.1100000000000005E-2</v>
      </c>
      <c r="AB197" s="157">
        <f t="shared" si="155"/>
        <v>6.1300000000000021E-2</v>
      </c>
    </row>
    <row r="198" spans="1:31" ht="13.2" customHeight="1">
      <c r="A198" s="206">
        <v>175</v>
      </c>
      <c r="B198" s="55" t="s">
        <v>228</v>
      </c>
      <c r="C198" s="55" t="s">
        <v>110</v>
      </c>
      <c r="D198" s="142" t="s">
        <v>329</v>
      </c>
      <c r="E198" s="67">
        <v>281883255.36000001</v>
      </c>
      <c r="F198" s="62">
        <f t="shared" si="128"/>
        <v>1.93122506119328E-3</v>
      </c>
      <c r="G198" s="142" t="s">
        <v>329</v>
      </c>
      <c r="H198" s="61">
        <v>1830.78</v>
      </c>
      <c r="I198" s="142" t="s">
        <v>329</v>
      </c>
      <c r="J198" s="61">
        <v>1856.27</v>
      </c>
      <c r="K198" s="63">
        <v>179</v>
      </c>
      <c r="L198" s="64">
        <v>-3.8999999999999998E-3</v>
      </c>
      <c r="M198" s="64">
        <v>0.2321</v>
      </c>
      <c r="N198" s="142" t="s">
        <v>329</v>
      </c>
      <c r="O198" s="67">
        <v>287479575.94999999</v>
      </c>
      <c r="P198" s="62">
        <f t="shared" si="129"/>
        <v>1.8946794099549257E-3</v>
      </c>
      <c r="Q198" s="142" t="s">
        <v>329</v>
      </c>
      <c r="R198" s="61">
        <v>1871.02</v>
      </c>
      <c r="S198" s="142" t="s">
        <v>329</v>
      </c>
      <c r="T198" s="61">
        <v>1897.83</v>
      </c>
      <c r="U198" s="63">
        <v>185</v>
      </c>
      <c r="V198" s="64">
        <v>2.1999999999999999E-2</v>
      </c>
      <c r="W198" s="64">
        <v>0.26300000000000001</v>
      </c>
      <c r="X198" s="156">
        <f t="shared" si="132"/>
        <v>1.9853327516218641E-2</v>
      </c>
      <c r="Y198" s="156">
        <f t="shared" si="154"/>
        <v>2.2388984361111232E-2</v>
      </c>
      <c r="Z198" s="156">
        <f t="shared" si="154"/>
        <v>3.3519553072625698E-2</v>
      </c>
      <c r="AA198" s="156">
        <f t="shared" si="155"/>
        <v>2.5899999999999999E-2</v>
      </c>
      <c r="AB198" s="157">
        <f t="shared" si="155"/>
        <v>3.0900000000000011E-2</v>
      </c>
    </row>
    <row r="199" spans="1:31" ht="15" customHeight="1">
      <c r="A199" s="206">
        <v>176</v>
      </c>
      <c r="B199" s="55" t="s">
        <v>229</v>
      </c>
      <c r="C199" s="55" t="s">
        <v>91</v>
      </c>
      <c r="D199" s="142" t="s">
        <v>329</v>
      </c>
      <c r="E199" s="67">
        <v>866310399.38</v>
      </c>
      <c r="F199" s="62">
        <f t="shared" si="128"/>
        <v>5.9352243251140782E-3</v>
      </c>
      <c r="G199" s="142" t="s">
        <v>329</v>
      </c>
      <c r="H199" s="61">
        <v>1.64</v>
      </c>
      <c r="I199" s="142" t="s">
        <v>329</v>
      </c>
      <c r="J199" s="61">
        <v>1.64</v>
      </c>
      <c r="K199" s="63">
        <v>43</v>
      </c>
      <c r="L199" s="64">
        <v>1E-3</v>
      </c>
      <c r="M199" s="64">
        <v>7.6899999999999996E-2</v>
      </c>
      <c r="N199" s="142" t="s">
        <v>329</v>
      </c>
      <c r="O199" s="67">
        <v>865231700.16999996</v>
      </c>
      <c r="P199" s="62">
        <f t="shared" si="129"/>
        <v>5.7024457537029173E-3</v>
      </c>
      <c r="Q199" s="142" t="s">
        <v>329</v>
      </c>
      <c r="R199" s="61">
        <v>1.64</v>
      </c>
      <c r="S199" s="142" t="s">
        <v>329</v>
      </c>
      <c r="T199" s="61">
        <v>1.64</v>
      </c>
      <c r="U199" s="63">
        <v>43</v>
      </c>
      <c r="V199" s="64">
        <v>1.1000000000000001E-3</v>
      </c>
      <c r="W199" s="64">
        <v>7.5600000000000001E-2</v>
      </c>
      <c r="X199" s="156">
        <f t="shared" si="132"/>
        <v>-1.2451647940184493E-3</v>
      </c>
      <c r="Y199" s="156">
        <f t="shared" si="154"/>
        <v>0</v>
      </c>
      <c r="Z199" s="156">
        <f t="shared" si="154"/>
        <v>0</v>
      </c>
      <c r="AA199" s="156">
        <f t="shared" si="155"/>
        <v>1.0000000000000005E-4</v>
      </c>
      <c r="AB199" s="157">
        <f t="shared" si="155"/>
        <v>-1.2999999999999956E-3</v>
      </c>
    </row>
    <row r="200" spans="1:31" ht="15" customHeight="1">
      <c r="A200" s="206">
        <v>177</v>
      </c>
      <c r="B200" s="55" t="s">
        <v>230</v>
      </c>
      <c r="C200" s="56" t="s">
        <v>49</v>
      </c>
      <c r="D200" s="142" t="s">
        <v>329</v>
      </c>
      <c r="E200" s="67">
        <v>8430529892.1899996</v>
      </c>
      <c r="F200" s="62">
        <f t="shared" si="128"/>
        <v>5.7758842702959508E-2</v>
      </c>
      <c r="G200" s="142" t="s">
        <v>329</v>
      </c>
      <c r="H200" s="61">
        <v>2.6708599999999998</v>
      </c>
      <c r="I200" s="142" t="s">
        <v>329</v>
      </c>
      <c r="J200" s="61">
        <v>2.6878199999999999</v>
      </c>
      <c r="K200" s="63">
        <v>3627</v>
      </c>
      <c r="L200" s="64">
        <v>-1.7399999999999999E-2</v>
      </c>
      <c r="M200" s="64">
        <v>0.30690000000000001</v>
      </c>
      <c r="N200" s="142" t="s">
        <v>329</v>
      </c>
      <c r="O200" s="67">
        <v>9352661122.4799995</v>
      </c>
      <c r="P200" s="84">
        <f t="shared" si="129"/>
        <v>6.1640185736640957E-2</v>
      </c>
      <c r="Q200" s="142" t="s">
        <v>329</v>
      </c>
      <c r="R200" s="61">
        <v>2.7526799999999998</v>
      </c>
      <c r="S200" s="142" t="s">
        <v>329</v>
      </c>
      <c r="T200" s="61">
        <v>2.7694800000000002</v>
      </c>
      <c r="U200" s="63">
        <v>3676</v>
      </c>
      <c r="V200" s="64">
        <v>3.0599999999999999E-2</v>
      </c>
      <c r="W200" s="64">
        <v>0.3649</v>
      </c>
      <c r="X200" s="156">
        <f t="shared" si="132"/>
        <v>0.10937998466078125</v>
      </c>
      <c r="Y200" s="156">
        <f t="shared" si="154"/>
        <v>3.038149876107786E-2</v>
      </c>
      <c r="Z200" s="156">
        <f t="shared" si="154"/>
        <v>1.3509787703336091E-2</v>
      </c>
      <c r="AA200" s="156">
        <f t="shared" si="155"/>
        <v>4.8000000000000001E-2</v>
      </c>
      <c r="AB200" s="157">
        <f t="shared" si="155"/>
        <v>5.7999999999999996E-2</v>
      </c>
    </row>
    <row r="201" spans="1:31" ht="14.4" customHeight="1">
      <c r="A201" s="206">
        <v>178</v>
      </c>
      <c r="B201" s="55" t="s">
        <v>231</v>
      </c>
      <c r="C201" s="56" t="s">
        <v>49</v>
      </c>
      <c r="D201" s="142" t="s">
        <v>329</v>
      </c>
      <c r="E201" s="67">
        <v>4107381392.25</v>
      </c>
      <c r="F201" s="62">
        <f t="shared" si="128"/>
        <v>2.8140294713361529E-2</v>
      </c>
      <c r="G201" s="142" t="s">
        <v>329</v>
      </c>
      <c r="H201" s="61">
        <v>2.05897</v>
      </c>
      <c r="I201" s="142" t="s">
        <v>329</v>
      </c>
      <c r="J201" s="61">
        <v>2.0764100000000001</v>
      </c>
      <c r="K201" s="63">
        <v>2418</v>
      </c>
      <c r="L201" s="64">
        <v>-2.3900000000000001E-2</v>
      </c>
      <c r="M201" s="64">
        <v>0.29149999999999998</v>
      </c>
      <c r="N201" s="142" t="s">
        <v>329</v>
      </c>
      <c r="O201" s="67">
        <v>4755643744.8000002</v>
      </c>
      <c r="P201" s="84">
        <f t="shared" si="129"/>
        <v>3.1342818892708534E-2</v>
      </c>
      <c r="Q201" s="142" t="s">
        <v>329</v>
      </c>
      <c r="R201" s="61">
        <v>2.1439300000000001</v>
      </c>
      <c r="S201" s="142" t="s">
        <v>329</v>
      </c>
      <c r="T201" s="61">
        <v>2.1607099999999999</v>
      </c>
      <c r="U201" s="63">
        <v>2518</v>
      </c>
      <c r="V201" s="64">
        <v>4.1300000000000003E-2</v>
      </c>
      <c r="W201" s="64">
        <v>0.36280000000000001</v>
      </c>
      <c r="X201" s="156">
        <f t="shared" si="132"/>
        <v>0.15782862379743259</v>
      </c>
      <c r="Y201" s="156">
        <f t="shared" si="154"/>
        <v>4.0598918325378812E-2</v>
      </c>
      <c r="Z201" s="156">
        <f t="shared" si="154"/>
        <v>4.1356492969396197E-2</v>
      </c>
      <c r="AA201" s="156">
        <f t="shared" si="155"/>
        <v>6.5200000000000008E-2</v>
      </c>
      <c r="AB201" s="157">
        <f t="shared" si="155"/>
        <v>7.130000000000003E-2</v>
      </c>
    </row>
    <row r="202" spans="1:31" ht="14.4" customHeight="1">
      <c r="A202" s="206">
        <v>179</v>
      </c>
      <c r="B202" s="55" t="s">
        <v>232</v>
      </c>
      <c r="C202" s="56" t="s">
        <v>115</v>
      </c>
      <c r="D202" s="142" t="s">
        <v>329</v>
      </c>
      <c r="E202" s="88">
        <v>12971338494.49</v>
      </c>
      <c r="F202" s="62">
        <f t="shared" ref="F202" si="156">(E202/$E$204)</f>
        <v>8.8868613163231344E-2</v>
      </c>
      <c r="G202" s="142" t="s">
        <v>329</v>
      </c>
      <c r="H202" s="61">
        <v>819.26</v>
      </c>
      <c r="I202" s="142" t="s">
        <v>329</v>
      </c>
      <c r="J202" s="61">
        <v>827.96</v>
      </c>
      <c r="K202" s="63">
        <v>43</v>
      </c>
      <c r="L202" s="64">
        <v>-2.7199999999999998E-2</v>
      </c>
      <c r="M202" s="64">
        <v>0.191</v>
      </c>
      <c r="N202" s="142" t="s">
        <v>329</v>
      </c>
      <c r="O202" s="88">
        <v>13514674143.49</v>
      </c>
      <c r="P202" s="84">
        <f t="shared" ref="P202" si="157">(O202/$O$204)</f>
        <v>8.9070587874994833E-2</v>
      </c>
      <c r="Q202" s="142" t="s">
        <v>329</v>
      </c>
      <c r="R202" s="61">
        <v>853.44</v>
      </c>
      <c r="S202" s="142" t="s">
        <v>329</v>
      </c>
      <c r="T202" s="61">
        <v>862.71</v>
      </c>
      <c r="U202" s="63">
        <v>43</v>
      </c>
      <c r="V202" s="64">
        <v>4.19E-2</v>
      </c>
      <c r="W202" s="64">
        <v>0.2409</v>
      </c>
      <c r="X202" s="156">
        <f t="shared" ref="X202" si="158">((O202-E202)/E202)</f>
        <v>4.1887400381294466E-2</v>
      </c>
      <c r="Y202" s="156">
        <f t="shared" ref="Y202" si="159">((T202-J202)/J202)</f>
        <v>4.1970626600318854E-2</v>
      </c>
      <c r="Z202" s="156">
        <f t="shared" ref="Z202" si="160">((U202-K202)/K202)</f>
        <v>0</v>
      </c>
      <c r="AA202" s="156">
        <f t="shared" ref="AA202" si="161">V202-L202</f>
        <v>6.9099999999999995E-2</v>
      </c>
      <c r="AB202" s="157">
        <f t="shared" ref="AB202" si="162">W202-M202</f>
        <v>4.99E-2</v>
      </c>
    </row>
    <row r="203" spans="1:31" ht="17.399999999999999" customHeight="1">
      <c r="A203" s="206">
        <v>180</v>
      </c>
      <c r="B203" s="55" t="s">
        <v>340</v>
      </c>
      <c r="C203" s="56" t="s">
        <v>121</v>
      </c>
      <c r="D203" s="142" t="s">
        <v>329</v>
      </c>
      <c r="E203" s="61">
        <v>7426343257.1899996</v>
      </c>
      <c r="F203" s="62">
        <f>(E203/$E$204)</f>
        <v>5.0879007314544512E-2</v>
      </c>
      <c r="G203" s="142" t="s">
        <v>329</v>
      </c>
      <c r="H203" s="61">
        <v>43.098700000000001</v>
      </c>
      <c r="I203" s="142" t="s">
        <v>329</v>
      </c>
      <c r="J203" s="61">
        <v>43.578000000000003</v>
      </c>
      <c r="K203" s="63">
        <v>6332</v>
      </c>
      <c r="L203" s="64">
        <v>-3.5200000000000002E-2</v>
      </c>
      <c r="M203" s="64">
        <v>0.2697</v>
      </c>
      <c r="N203" s="142" t="s">
        <v>329</v>
      </c>
      <c r="O203" s="61">
        <v>7784077621.6700001</v>
      </c>
      <c r="P203" s="84">
        <f>(O203/$O$204)</f>
        <v>5.1302189195639301E-2</v>
      </c>
      <c r="Q203" s="142" t="s">
        <v>329</v>
      </c>
      <c r="R203" s="61">
        <v>45.155999999999999</v>
      </c>
      <c r="S203" s="142" t="s">
        <v>329</v>
      </c>
      <c r="T203" s="61">
        <v>45.659799999999997</v>
      </c>
      <c r="U203" s="63">
        <v>6335</v>
      </c>
      <c r="V203" s="64">
        <v>5.3600000000000002E-2</v>
      </c>
      <c r="W203" s="64">
        <v>0.33029999999999998</v>
      </c>
      <c r="X203" s="156">
        <f>((O203-E203)/E203)</f>
        <v>4.8170997769817744E-2</v>
      </c>
      <c r="Y203" s="156">
        <f>((T203-J203)/J203)</f>
        <v>4.7771811464500297E-2</v>
      </c>
      <c r="Z203" s="156">
        <f>((U203-K203)/K203)</f>
        <v>4.7378395451674036E-4</v>
      </c>
      <c r="AA203" s="156">
        <f>V203-L203</f>
        <v>8.8800000000000004E-2</v>
      </c>
      <c r="AB203" s="157">
        <f>W203-M203</f>
        <v>6.0599999999999987E-2</v>
      </c>
    </row>
    <row r="204" spans="1:31">
      <c r="B204" s="70"/>
      <c r="C204" s="71" t="s">
        <v>52</v>
      </c>
      <c r="D204" s="116" t="s">
        <v>329</v>
      </c>
      <c r="E204" s="100">
        <f>SUM(E174:E203)</f>
        <v>145960852012.67419</v>
      </c>
      <c r="F204" s="73">
        <f>(E204/$E$239)</f>
        <v>1.5971013770711587E-2</v>
      </c>
      <c r="G204" s="142"/>
      <c r="H204" s="74"/>
      <c r="I204" s="142" t="s">
        <v>329</v>
      </c>
      <c r="J204" s="101"/>
      <c r="K204" s="76">
        <f>SUM(K174:K203)</f>
        <v>100177</v>
      </c>
      <c r="L204" s="102"/>
      <c r="M204" s="102"/>
      <c r="N204" s="142" t="s">
        <v>329</v>
      </c>
      <c r="O204" s="100">
        <f>SUM(O174:O203)</f>
        <v>151729930899.94</v>
      </c>
      <c r="P204" s="73">
        <f>(O204/$O$239)</f>
        <v>1.632734816743911E-2</v>
      </c>
      <c r="Q204" s="142" t="s">
        <v>329</v>
      </c>
      <c r="R204" s="74"/>
      <c r="S204" s="142" t="s">
        <v>329</v>
      </c>
      <c r="T204" s="101"/>
      <c r="U204" s="76">
        <f>SUM(U174:U203)</f>
        <v>101280</v>
      </c>
      <c r="V204" s="102"/>
      <c r="W204" s="102"/>
      <c r="X204" s="156">
        <f t="shared" ref="X204" si="163">((O204-E204)/E204)</f>
        <v>3.9524837021127163E-2</v>
      </c>
      <c r="Y204" s="156" t="e">
        <f t="shared" ref="Y204" si="164">((T204-J204)/J204)</f>
        <v>#DIV/0!</v>
      </c>
      <c r="Z204" s="156">
        <f t="shared" ref="Z204" si="165">((U204-K204)/K204)</f>
        <v>1.1010511394831149E-2</v>
      </c>
      <c r="AA204" s="156">
        <f t="shared" ref="AA204" si="166">V204-L204</f>
        <v>0</v>
      </c>
      <c r="AB204" s="157">
        <f t="shared" ref="AB204" si="167">W204-M204</f>
        <v>0</v>
      </c>
    </row>
    <row r="205" spans="1:31" ht="5.25" customHeight="1">
      <c r="B205" s="223"/>
      <c r="C205" s="223"/>
      <c r="D205" s="223"/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3"/>
      <c r="T205" s="223"/>
      <c r="U205" s="223"/>
      <c r="V205" s="223"/>
      <c r="W205" s="223"/>
      <c r="X205" s="223"/>
      <c r="Y205" s="223"/>
      <c r="Z205" s="223"/>
      <c r="AA205" s="223"/>
      <c r="AB205" s="223"/>
    </row>
    <row r="206" spans="1:31" ht="15" customHeight="1">
      <c r="A206" s="162"/>
      <c r="B206" s="225" t="s">
        <v>233</v>
      </c>
      <c r="C206" s="225"/>
      <c r="D206" s="225"/>
      <c r="E206" s="225"/>
      <c r="F206" s="225"/>
      <c r="G206" s="225"/>
      <c r="H206" s="225"/>
      <c r="I206" s="225"/>
      <c r="J206" s="225"/>
      <c r="K206" s="225"/>
      <c r="L206" s="225"/>
      <c r="M206" s="225"/>
      <c r="N206" s="225"/>
      <c r="O206" s="225"/>
      <c r="P206" s="225"/>
      <c r="Q206" s="225"/>
      <c r="R206" s="225"/>
      <c r="S206" s="225"/>
      <c r="T206" s="225"/>
      <c r="U206" s="225"/>
      <c r="V206" s="225"/>
      <c r="W206" s="225"/>
      <c r="X206" s="225"/>
      <c r="Y206" s="225"/>
      <c r="Z206" s="225"/>
      <c r="AA206" s="225"/>
      <c r="AB206" s="225"/>
    </row>
    <row r="207" spans="1:31" ht="15" customHeight="1">
      <c r="A207" s="209">
        <v>181</v>
      </c>
      <c r="B207" s="55" t="s">
        <v>305</v>
      </c>
      <c r="C207" s="56" t="s">
        <v>130</v>
      </c>
      <c r="D207" s="142" t="s">
        <v>329</v>
      </c>
      <c r="E207" s="103">
        <v>622181401.92999995</v>
      </c>
      <c r="F207" s="62">
        <v>0</v>
      </c>
      <c r="G207" s="142" t="s">
        <v>329</v>
      </c>
      <c r="H207" s="104">
        <v>1070.3900000000001</v>
      </c>
      <c r="I207" s="142" t="s">
        <v>329</v>
      </c>
      <c r="J207" s="104">
        <v>1070.3900000000001</v>
      </c>
      <c r="K207" s="63">
        <v>33</v>
      </c>
      <c r="L207" s="64">
        <v>2.0300000000000001E-3</v>
      </c>
      <c r="M207" s="64">
        <v>6.9239999999999996E-2</v>
      </c>
      <c r="N207" s="142" t="s">
        <v>329</v>
      </c>
      <c r="O207" s="103">
        <v>621881852.12</v>
      </c>
      <c r="P207" s="84">
        <f>(O207/$O$210)</f>
        <v>3.2829135869378787E-2</v>
      </c>
      <c r="Q207" s="142" t="s">
        <v>329</v>
      </c>
      <c r="R207" s="104">
        <v>1073.45</v>
      </c>
      <c r="S207" s="142" t="s">
        <v>329</v>
      </c>
      <c r="T207" s="104">
        <v>1073.45</v>
      </c>
      <c r="U207" s="63">
        <v>31</v>
      </c>
      <c r="V207" s="64">
        <v>2.0400000000000001E-3</v>
      </c>
      <c r="W207" s="64">
        <v>7.2300000000000003E-2</v>
      </c>
      <c r="X207" s="156">
        <f>((O207-E207)/E207)</f>
        <v>-4.814509226260099E-4</v>
      </c>
      <c r="Y207" s="156">
        <f t="shared" ref="Y207" si="168">((T207-J207)/J207)</f>
        <v>2.8587711021216054E-3</v>
      </c>
      <c r="Z207" s="156">
        <f t="shared" ref="Z207" si="169">((U207-K207)/K207)</f>
        <v>-6.0606060606060608E-2</v>
      </c>
      <c r="AA207" s="156">
        <f t="shared" ref="AA207" si="170">V207-L207</f>
        <v>1.0000000000000026E-5</v>
      </c>
      <c r="AB207" s="157">
        <f t="shared" ref="AB207" si="171">W207-M207</f>
        <v>3.0600000000000072E-3</v>
      </c>
    </row>
    <row r="208" spans="1:31">
      <c r="A208" s="206">
        <v>182</v>
      </c>
      <c r="B208" s="55" t="s">
        <v>234</v>
      </c>
      <c r="C208" s="56" t="s">
        <v>235</v>
      </c>
      <c r="D208" s="142" t="s">
        <v>329</v>
      </c>
      <c r="E208" s="103">
        <v>1906317717.46</v>
      </c>
      <c r="F208" s="62">
        <f>(E208/$E$210)</f>
        <v>0.10831524443287256</v>
      </c>
      <c r="G208" s="142" t="s">
        <v>329</v>
      </c>
      <c r="H208" s="104">
        <v>52.174399999999999</v>
      </c>
      <c r="I208" s="142" t="s">
        <v>329</v>
      </c>
      <c r="J208" s="104">
        <v>52.644399999999997</v>
      </c>
      <c r="K208" s="63">
        <v>1360</v>
      </c>
      <c r="L208" s="64">
        <v>-9.2999999999999992E-3</v>
      </c>
      <c r="M208" s="64">
        <v>0.3044</v>
      </c>
      <c r="N208" s="142" t="s">
        <v>329</v>
      </c>
      <c r="O208" s="103">
        <v>2116344554.3399999</v>
      </c>
      <c r="P208" s="84">
        <f>(O208/$O$210)</f>
        <v>0.11172180484765316</v>
      </c>
      <c r="Q208" s="142" t="s">
        <v>329</v>
      </c>
      <c r="R208" s="104">
        <v>52.758499999999998</v>
      </c>
      <c r="S208" s="142" t="s">
        <v>329</v>
      </c>
      <c r="T208" s="104">
        <v>53.2378</v>
      </c>
      <c r="U208" s="63">
        <v>1360</v>
      </c>
      <c r="V208" s="64">
        <v>1.5800000000000002E-2</v>
      </c>
      <c r="W208" s="64">
        <v>0.31909999999999999</v>
      </c>
      <c r="X208" s="156">
        <f>((O208-E208)/E208)</f>
        <v>0.11017409897435254</v>
      </c>
      <c r="Y208" s="156">
        <f t="shared" ref="Y208:Z210" si="172">((T208-J208)/J208)</f>
        <v>1.1271854176322697E-2</v>
      </c>
      <c r="Z208" s="156">
        <f t="shared" si="172"/>
        <v>0</v>
      </c>
      <c r="AA208" s="156">
        <f t="shared" ref="AA208:AB210" si="173">V208-L208</f>
        <v>2.5100000000000001E-2</v>
      </c>
      <c r="AB208" s="157">
        <f t="shared" si="173"/>
        <v>1.4699999999999991E-2</v>
      </c>
    </row>
    <row r="209" spans="1:30">
      <c r="A209" s="206">
        <v>183</v>
      </c>
      <c r="B209" s="55" t="s">
        <v>236</v>
      </c>
      <c r="C209" s="56" t="s">
        <v>46</v>
      </c>
      <c r="D209" s="142" t="s">
        <v>329</v>
      </c>
      <c r="E209" s="78">
        <v>15071218514.459999</v>
      </c>
      <c r="F209" s="62">
        <f>(E209/$E$210)</f>
        <v>0.85633297238093919</v>
      </c>
      <c r="G209" s="142" t="s">
        <v>329</v>
      </c>
      <c r="H209" s="104">
        <v>6.21</v>
      </c>
      <c r="I209" s="142" t="s">
        <v>329</v>
      </c>
      <c r="J209" s="104">
        <v>6.31</v>
      </c>
      <c r="K209" s="63">
        <v>17139</v>
      </c>
      <c r="L209" s="64">
        <v>-5.11E-2</v>
      </c>
      <c r="M209" s="64">
        <v>0.39290000000000003</v>
      </c>
      <c r="N209" s="142" t="s">
        <v>329</v>
      </c>
      <c r="O209" s="78">
        <v>16204759318</v>
      </c>
      <c r="P209" s="84">
        <f>(O209/$O$210)</f>
        <v>0.85544905928296811</v>
      </c>
      <c r="Q209" s="142" t="s">
        <v>329</v>
      </c>
      <c r="R209" s="104">
        <v>6.6</v>
      </c>
      <c r="S209" s="142" t="s">
        <v>329</v>
      </c>
      <c r="T209" s="104">
        <v>6.71</v>
      </c>
      <c r="U209" s="63">
        <v>17318</v>
      </c>
      <c r="V209" s="64">
        <v>6.3399999999999998E-2</v>
      </c>
      <c r="W209" s="64">
        <v>0.48120000000000002</v>
      </c>
      <c r="X209" s="156">
        <f>((O209-E209)/E209)</f>
        <v>7.5212286415489979E-2</v>
      </c>
      <c r="Y209" s="156">
        <f t="shared" si="172"/>
        <v>6.3391442155309091E-2</v>
      </c>
      <c r="Z209" s="156">
        <f t="shared" si="172"/>
        <v>1.0444016570395006E-2</v>
      </c>
      <c r="AA209" s="156">
        <f t="shared" si="173"/>
        <v>0.11449999999999999</v>
      </c>
      <c r="AB209" s="157">
        <f t="shared" si="173"/>
        <v>8.829999999999999E-2</v>
      </c>
    </row>
    <row r="210" spans="1:30">
      <c r="B210" s="70"/>
      <c r="C210" s="94" t="s">
        <v>52</v>
      </c>
      <c r="D210" s="94"/>
      <c r="E210" s="100">
        <f>SUM(E207:E209)</f>
        <v>17599717633.849998</v>
      </c>
      <c r="F210" s="73">
        <f>(E210/$E$239)</f>
        <v>1.9257583716108099E-3</v>
      </c>
      <c r="G210" s="116"/>
      <c r="H210" s="74"/>
      <c r="I210" s="74"/>
      <c r="J210" s="101"/>
      <c r="K210" s="76">
        <f>SUM(K207:K209)</f>
        <v>18532</v>
      </c>
      <c r="L210" s="102"/>
      <c r="M210" s="102"/>
      <c r="N210" s="142" t="s">
        <v>329</v>
      </c>
      <c r="O210" s="100">
        <f>SUM(O207:O209)</f>
        <v>18942985724.459999</v>
      </c>
      <c r="P210" s="73">
        <f>(O210/$O$239)</f>
        <v>2.0384160291884077E-3</v>
      </c>
      <c r="Q210" s="142" t="s">
        <v>329</v>
      </c>
      <c r="R210" s="74"/>
      <c r="S210" s="142" t="s">
        <v>329</v>
      </c>
      <c r="T210" s="101"/>
      <c r="U210" s="76">
        <f>SUM(U207:U209)</f>
        <v>18709</v>
      </c>
      <c r="V210" s="102"/>
      <c r="W210" s="102"/>
      <c r="X210" s="156">
        <f>((O210-E210)/E210)</f>
        <v>7.6323275097690088E-2</v>
      </c>
      <c r="Y210" s="156" t="e">
        <f t="shared" si="172"/>
        <v>#DIV/0!</v>
      </c>
      <c r="Z210" s="156">
        <f t="shared" si="172"/>
        <v>9.551046837902007E-3</v>
      </c>
      <c r="AA210" s="156">
        <f t="shared" si="173"/>
        <v>0</v>
      </c>
      <c r="AB210" s="157">
        <f t="shared" si="173"/>
        <v>0</v>
      </c>
    </row>
    <row r="211" spans="1:30" ht="6" customHeight="1">
      <c r="B211" s="223"/>
      <c r="C211" s="223"/>
      <c r="D211" s="223"/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3"/>
      <c r="T211" s="223"/>
      <c r="U211" s="223"/>
      <c r="V211" s="223"/>
      <c r="W211" s="223"/>
      <c r="X211" s="223"/>
      <c r="Y211" s="223"/>
      <c r="Z211" s="223"/>
      <c r="AA211" s="223"/>
      <c r="AB211" s="223"/>
    </row>
    <row r="212" spans="1:30" ht="15" customHeight="1">
      <c r="A212" s="162"/>
      <c r="B212" s="221" t="s">
        <v>335</v>
      </c>
      <c r="C212" s="221"/>
      <c r="D212" s="221"/>
      <c r="E212" s="221"/>
      <c r="F212" s="221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1"/>
      <c r="T212" s="221"/>
      <c r="U212" s="221"/>
      <c r="V212" s="221"/>
      <c r="W212" s="221"/>
      <c r="X212" s="221"/>
      <c r="Y212" s="221"/>
      <c r="Z212" s="221"/>
      <c r="AA212" s="221"/>
      <c r="AB212" s="221"/>
    </row>
    <row r="213" spans="1:30">
      <c r="A213" s="164"/>
      <c r="B213" s="224" t="s">
        <v>334</v>
      </c>
      <c r="C213" s="224"/>
      <c r="D213" s="224"/>
      <c r="E213" s="224"/>
      <c r="F213" s="224"/>
      <c r="G213" s="224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4"/>
      <c r="W213" s="224"/>
      <c r="X213" s="224"/>
      <c r="Y213" s="224"/>
      <c r="Z213" s="224"/>
      <c r="AA213" s="224"/>
      <c r="AB213" s="224"/>
    </row>
    <row r="214" spans="1:30">
      <c r="A214" s="206">
        <v>184</v>
      </c>
      <c r="B214" s="55" t="s">
        <v>237</v>
      </c>
      <c r="C214" s="56" t="s">
        <v>238</v>
      </c>
      <c r="D214" s="142" t="s">
        <v>329</v>
      </c>
      <c r="E214" s="80">
        <v>16476994460.58</v>
      </c>
      <c r="F214" s="62">
        <f>(E214/$E$238)</f>
        <v>0.12490031010689305</v>
      </c>
      <c r="G214" s="142" t="s">
        <v>329</v>
      </c>
      <c r="H214" s="105">
        <v>3.66</v>
      </c>
      <c r="I214" s="142" t="s">
        <v>329</v>
      </c>
      <c r="J214" s="105">
        <v>3.72</v>
      </c>
      <c r="K214" s="81">
        <v>17048</v>
      </c>
      <c r="L214" s="82">
        <v>-2.7199999999999998E-2</v>
      </c>
      <c r="M214" s="82">
        <v>0.32379999999999998</v>
      </c>
      <c r="N214" s="142" t="s">
        <v>329</v>
      </c>
      <c r="O214" s="80">
        <v>17144249551.629999</v>
      </c>
      <c r="P214" s="62">
        <f>(O214/$O$238)</f>
        <v>0.12598011318989771</v>
      </c>
      <c r="Q214" s="142" t="s">
        <v>329</v>
      </c>
      <c r="R214" s="105">
        <v>3.81</v>
      </c>
      <c r="S214" s="142" t="s">
        <v>329</v>
      </c>
      <c r="T214" s="105">
        <v>3.88</v>
      </c>
      <c r="U214" s="81">
        <v>17114</v>
      </c>
      <c r="V214" s="82">
        <v>4.3499999999999997E-2</v>
      </c>
      <c r="W214" s="82">
        <v>0.37690000000000001</v>
      </c>
      <c r="X214" s="158">
        <f>((O214-E214)/E214)</f>
        <v>4.049616528344159E-2</v>
      </c>
      <c r="Y214" s="158">
        <f>((T214-J214)/J214)</f>
        <v>4.3010752688171956E-2</v>
      </c>
      <c r="Z214" s="158">
        <f>((U214-K214)/K214)</f>
        <v>3.8714218676677617E-3</v>
      </c>
      <c r="AA214" s="158">
        <f>V214-L214</f>
        <v>7.0699999999999999E-2</v>
      </c>
      <c r="AB214" s="159">
        <f>W214-M214</f>
        <v>5.3100000000000036E-2</v>
      </c>
    </row>
    <row r="215" spans="1:30">
      <c r="A215" s="209">
        <v>185</v>
      </c>
      <c r="B215" s="55" t="s">
        <v>239</v>
      </c>
      <c r="C215" s="56" t="s">
        <v>46</v>
      </c>
      <c r="D215" s="142" t="s">
        <v>329</v>
      </c>
      <c r="E215" s="80">
        <v>26204076819.57</v>
      </c>
      <c r="F215" s="62">
        <f>(E215/$E$238)</f>
        <v>0.19863436433503132</v>
      </c>
      <c r="G215" s="142" t="s">
        <v>329</v>
      </c>
      <c r="H215" s="105">
        <v>1377.69</v>
      </c>
      <c r="I215" s="142" t="s">
        <v>329</v>
      </c>
      <c r="J215" s="105">
        <v>1399.72</v>
      </c>
      <c r="K215" s="81">
        <v>10084</v>
      </c>
      <c r="L215" s="82">
        <v>-4.8099999999999997E-2</v>
      </c>
      <c r="M215" s="82">
        <v>0.47210000000000002</v>
      </c>
      <c r="N215" s="142" t="s">
        <v>329</v>
      </c>
      <c r="O215" s="80">
        <v>30248873825.720001</v>
      </c>
      <c r="P215" s="62">
        <f>(O215/$O$238)</f>
        <v>0.22227607787410153</v>
      </c>
      <c r="Q215" s="142" t="s">
        <v>329</v>
      </c>
      <c r="R215" s="105">
        <v>1476.2</v>
      </c>
      <c r="S215" s="142" t="s">
        <v>329</v>
      </c>
      <c r="T215" s="105">
        <v>1496.76</v>
      </c>
      <c r="U215" s="81">
        <v>10399</v>
      </c>
      <c r="V215" s="82">
        <v>6.93E-2</v>
      </c>
      <c r="W215" s="82">
        <v>0.57420000000000004</v>
      </c>
      <c r="X215" s="158">
        <f>((O215-E215)/E215)</f>
        <v>0.15435754649937616</v>
      </c>
      <c r="Y215" s="158">
        <f>((T215-J215)/J215)</f>
        <v>6.9328151344554598E-2</v>
      </c>
      <c r="Z215" s="158">
        <f>((U215-K215)/K215)</f>
        <v>3.1237604125347086E-2</v>
      </c>
      <c r="AA215" s="158">
        <f>V215-L215</f>
        <v>0.1174</v>
      </c>
      <c r="AB215" s="159">
        <f>W215-M215</f>
        <v>0.10210000000000002</v>
      </c>
    </row>
    <row r="216" spans="1:30" ht="6" customHeight="1">
      <c r="B216" s="223"/>
      <c r="C216" s="223"/>
      <c r="D216" s="223"/>
      <c r="E216" s="223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23"/>
      <c r="V216" s="223"/>
      <c r="W216" s="223"/>
      <c r="X216" s="223"/>
      <c r="Y216" s="223"/>
      <c r="Z216" s="223"/>
      <c r="AA216" s="223"/>
      <c r="AB216" s="223"/>
    </row>
    <row r="217" spans="1:30" ht="15" customHeight="1">
      <c r="A217" s="164"/>
      <c r="B217" s="224" t="s">
        <v>332</v>
      </c>
      <c r="C217" s="224"/>
      <c r="D217" s="224"/>
      <c r="E217" s="224"/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4"/>
      <c r="X217" s="224"/>
      <c r="Y217" s="224"/>
      <c r="Z217" s="224"/>
      <c r="AA217" s="224"/>
      <c r="AB217" s="224"/>
    </row>
    <row r="218" spans="1:30">
      <c r="A218" s="206">
        <v>186</v>
      </c>
      <c r="B218" s="55" t="s">
        <v>240</v>
      </c>
      <c r="C218" s="56" t="s">
        <v>23</v>
      </c>
      <c r="D218" s="142" t="s">
        <v>329</v>
      </c>
      <c r="E218" s="67">
        <v>1646810223.02</v>
      </c>
      <c r="F218" s="62">
        <f>(E218/$E$238)</f>
        <v>1.248329044684035E-2</v>
      </c>
      <c r="G218" s="142" t="s">
        <v>329</v>
      </c>
      <c r="H218" s="104">
        <v>1.2043481789999999</v>
      </c>
      <c r="I218" s="142" t="s">
        <v>329</v>
      </c>
      <c r="J218" s="104">
        <v>1.2043481789999999</v>
      </c>
      <c r="K218" s="63">
        <v>914</v>
      </c>
      <c r="L218" s="64">
        <v>0.128</v>
      </c>
      <c r="M218" s="64">
        <v>0.12180000000000001</v>
      </c>
      <c r="N218" s="142" t="s">
        <v>329</v>
      </c>
      <c r="O218" s="67">
        <v>1638721690.27</v>
      </c>
      <c r="P218" s="62">
        <f t="shared" ref="P218:P231" si="174">(O218/$O$238)</f>
        <v>1.2041725326339939E-2</v>
      </c>
      <c r="Q218" s="142" t="s">
        <v>329</v>
      </c>
      <c r="R218" s="104">
        <v>1.207348179</v>
      </c>
      <c r="S218" s="142" t="s">
        <v>329</v>
      </c>
      <c r="T218" s="104">
        <v>1.207348179</v>
      </c>
      <c r="U218" s="63">
        <v>918</v>
      </c>
      <c r="V218" s="64">
        <v>0.12989999999999999</v>
      </c>
      <c r="W218" s="64">
        <v>0.12230000000000001</v>
      </c>
      <c r="X218" s="156">
        <f>((O218-E218)/E218)</f>
        <v>-4.9116362267698698E-3</v>
      </c>
      <c r="Y218" s="156">
        <f>((T218-J218)/J218)</f>
        <v>2.4909739993056561E-3</v>
      </c>
      <c r="Z218" s="156">
        <f>((U218-K218)/K218)</f>
        <v>4.3763676148796497E-3</v>
      </c>
      <c r="AA218" s="156">
        <f>V218-L218</f>
        <v>1.899999999999985E-3</v>
      </c>
      <c r="AB218" s="157">
        <f>W218-M218</f>
        <v>5.0000000000000044E-4</v>
      </c>
      <c r="AD218" s="30"/>
    </row>
    <row r="219" spans="1:30" ht="15" customHeight="1">
      <c r="A219" s="206">
        <v>187</v>
      </c>
      <c r="B219" s="55" t="s">
        <v>241</v>
      </c>
      <c r="C219" s="56" t="s">
        <v>242</v>
      </c>
      <c r="D219" s="142" t="s">
        <v>329</v>
      </c>
      <c r="E219" s="67">
        <v>299288234.81</v>
      </c>
      <c r="F219" s="62">
        <f>(E219/$E$238)</f>
        <v>2.268690047116626E-3</v>
      </c>
      <c r="G219" s="142" t="s">
        <v>329</v>
      </c>
      <c r="H219" s="104">
        <v>1153.17</v>
      </c>
      <c r="I219" s="142" t="s">
        <v>329</v>
      </c>
      <c r="J219" s="104">
        <v>1153.17</v>
      </c>
      <c r="K219" s="63">
        <v>19</v>
      </c>
      <c r="L219" s="64">
        <v>1.9E-3</v>
      </c>
      <c r="M219" s="64">
        <v>6.7000000000000004E-2</v>
      </c>
      <c r="N219" s="142" t="s">
        <v>329</v>
      </c>
      <c r="O219" s="67">
        <v>297413637.31999999</v>
      </c>
      <c r="P219" s="62">
        <f t="shared" si="174"/>
        <v>2.1854677033810721E-3</v>
      </c>
      <c r="Q219" s="142" t="s">
        <v>329</v>
      </c>
      <c r="R219" s="104">
        <v>1145.94</v>
      </c>
      <c r="S219" s="142" t="s">
        <v>329</v>
      </c>
      <c r="T219" s="104">
        <v>1145.94</v>
      </c>
      <c r="U219" s="63">
        <v>19</v>
      </c>
      <c r="V219" s="64">
        <v>2.3999999999999998E-3</v>
      </c>
      <c r="W219" s="64">
        <v>6.9500000000000006E-2</v>
      </c>
      <c r="X219" s="156">
        <f>((O219-E219)/E219)</f>
        <v>-6.2635188155327195E-3</v>
      </c>
      <c r="Y219" s="156">
        <f>((T219-J219)/J219)</f>
        <v>-6.2696740289809984E-3</v>
      </c>
      <c r="Z219" s="156">
        <f>((U219-K219)/K219)</f>
        <v>0</v>
      </c>
      <c r="AA219" s="156">
        <f>V219-L219</f>
        <v>4.9999999999999979E-4</v>
      </c>
      <c r="AB219" s="157">
        <f>W219-M219</f>
        <v>2.5000000000000022E-3</v>
      </c>
      <c r="AD219" s="30"/>
    </row>
    <row r="220" spans="1:30">
      <c r="A220" s="206">
        <v>188</v>
      </c>
      <c r="B220" s="55" t="s">
        <v>243</v>
      </c>
      <c r="C220" s="56" t="s">
        <v>69</v>
      </c>
      <c r="D220" s="142" t="s">
        <v>329</v>
      </c>
      <c r="E220" s="67">
        <v>355357260.70999998</v>
      </c>
      <c r="F220" s="62">
        <f>(E220/$E$238)</f>
        <v>2.6937092300177109E-3</v>
      </c>
      <c r="G220" s="142" t="s">
        <v>329</v>
      </c>
      <c r="H220" s="104">
        <v>126.67</v>
      </c>
      <c r="I220" s="142" t="s">
        <v>329</v>
      </c>
      <c r="J220" s="104">
        <v>126.67</v>
      </c>
      <c r="K220" s="63">
        <v>89</v>
      </c>
      <c r="L220" s="64">
        <v>3.0000000000000001E-3</v>
      </c>
      <c r="M220" s="64">
        <v>0.16089999999999999</v>
      </c>
      <c r="N220" s="142" t="s">
        <v>329</v>
      </c>
      <c r="O220" s="67">
        <v>361381360.94999999</v>
      </c>
      <c r="P220" s="62">
        <f t="shared" si="174"/>
        <v>2.6555180861137073E-3</v>
      </c>
      <c r="Q220" s="142" t="s">
        <v>329</v>
      </c>
      <c r="R220" s="104">
        <v>127.03</v>
      </c>
      <c r="S220" s="142" t="s">
        <v>329</v>
      </c>
      <c r="T220" s="104">
        <v>127.03</v>
      </c>
      <c r="U220" s="63">
        <v>88</v>
      </c>
      <c r="V220" s="64">
        <v>2.8E-3</v>
      </c>
      <c r="W220" s="64">
        <v>0.16089999999999999</v>
      </c>
      <c r="X220" s="156">
        <f t="shared" ref="X220:X239" si="175">((O220-E220)/E220)</f>
        <v>1.6952236259261799E-2</v>
      </c>
      <c r="Y220" s="156">
        <f t="shared" ref="Y220:Y238" si="176">((T220-J220)/J220)</f>
        <v>2.8420304728822882E-3</v>
      </c>
      <c r="Z220" s="156">
        <f t="shared" ref="Z220:Z238" si="177">((U220-K220)/K220)</f>
        <v>-1.1235955056179775E-2</v>
      </c>
      <c r="AA220" s="156">
        <f t="shared" ref="AA220:AA238" si="178">V220-L220</f>
        <v>-2.0000000000000009E-4</v>
      </c>
      <c r="AB220" s="157">
        <f t="shared" ref="AB220:AB238" si="179">W220-M220</f>
        <v>0</v>
      </c>
    </row>
    <row r="221" spans="1:30">
      <c r="A221" s="206">
        <v>189</v>
      </c>
      <c r="B221" s="212" t="s">
        <v>244</v>
      </c>
      <c r="C221" s="56" t="s">
        <v>245</v>
      </c>
      <c r="D221" s="142" t="s">
        <v>329</v>
      </c>
      <c r="E221" s="67">
        <v>55087700.219999999</v>
      </c>
      <c r="F221" s="62">
        <v>0</v>
      </c>
      <c r="G221" s="142" t="s">
        <v>329</v>
      </c>
      <c r="H221" s="104">
        <v>108.07</v>
      </c>
      <c r="I221" s="142" t="s">
        <v>329</v>
      </c>
      <c r="J221" s="104">
        <v>108.07</v>
      </c>
      <c r="K221" s="63">
        <v>12</v>
      </c>
      <c r="L221" s="64">
        <v>3.5999999999999999E-3</v>
      </c>
      <c r="M221" s="64">
        <v>8.0100000000000005E-2</v>
      </c>
      <c r="N221" s="142" t="s">
        <v>329</v>
      </c>
      <c r="O221" s="67">
        <v>55239256.130000003</v>
      </c>
      <c r="P221" s="62">
        <f t="shared" si="174"/>
        <v>4.0591148179603559E-4</v>
      </c>
      <c r="Q221" s="142" t="s">
        <v>329</v>
      </c>
      <c r="R221" s="104">
        <v>108.43</v>
      </c>
      <c r="S221" s="142" t="s">
        <v>329</v>
      </c>
      <c r="T221" s="104">
        <v>108.43</v>
      </c>
      <c r="U221" s="63">
        <v>11</v>
      </c>
      <c r="V221" s="64">
        <v>3.5999999999999999E-3</v>
      </c>
      <c r="W221" s="64">
        <v>8.43E-2</v>
      </c>
      <c r="X221" s="156">
        <f t="shared" si="175"/>
        <v>2.7511751152207364E-3</v>
      </c>
      <c r="Y221" s="156">
        <f t="shared" si="176"/>
        <v>3.3311742389193454E-3</v>
      </c>
      <c r="Z221" s="156">
        <f t="shared" si="177"/>
        <v>-8.3333333333333329E-2</v>
      </c>
      <c r="AA221" s="156">
        <f t="shared" si="178"/>
        <v>0</v>
      </c>
      <c r="AB221" s="157">
        <f t="shared" si="179"/>
        <v>4.1999999999999954E-3</v>
      </c>
    </row>
    <row r="222" spans="1:30">
      <c r="A222" s="206">
        <v>190</v>
      </c>
      <c r="B222" s="212" t="s">
        <v>246</v>
      </c>
      <c r="C222" s="56" t="s">
        <v>75</v>
      </c>
      <c r="D222" s="142" t="s">
        <v>329</v>
      </c>
      <c r="E222" s="78">
        <v>232796002.63999999</v>
      </c>
      <c r="F222" s="62">
        <f>(E222/$E$238)</f>
        <v>1.7646599925091914E-3</v>
      </c>
      <c r="G222" s="142" t="s">
        <v>329</v>
      </c>
      <c r="H222" s="104">
        <v>107.64</v>
      </c>
      <c r="I222" s="142" t="s">
        <v>329</v>
      </c>
      <c r="J222" s="104">
        <v>107.64</v>
      </c>
      <c r="K222" s="63">
        <v>20</v>
      </c>
      <c r="L222" s="64">
        <v>-1.3899999999999999E-2</v>
      </c>
      <c r="M222" s="64">
        <v>9.0800000000000006E-2</v>
      </c>
      <c r="N222" s="142" t="s">
        <v>329</v>
      </c>
      <c r="O222" s="78">
        <v>225570232.69999999</v>
      </c>
      <c r="P222" s="62">
        <f t="shared" si="174"/>
        <v>1.6575449022856628E-3</v>
      </c>
      <c r="Q222" s="142" t="s">
        <v>329</v>
      </c>
      <c r="R222" s="104">
        <v>107.64</v>
      </c>
      <c r="S222" s="142" t="s">
        <v>329</v>
      </c>
      <c r="T222" s="104">
        <v>107.64</v>
      </c>
      <c r="U222" s="63">
        <v>20</v>
      </c>
      <c r="V222" s="64">
        <v>0</v>
      </c>
      <c r="W222" s="64">
        <v>9.0800000000000006E-2</v>
      </c>
      <c r="X222" s="156">
        <f t="shared" si="175"/>
        <v>-3.1039063635358296E-2</v>
      </c>
      <c r="Y222" s="156">
        <f t="shared" si="176"/>
        <v>0</v>
      </c>
      <c r="Z222" s="156">
        <f t="shared" si="177"/>
        <v>0</v>
      </c>
      <c r="AA222" s="156">
        <f t="shared" si="178"/>
        <v>1.3899999999999999E-2</v>
      </c>
      <c r="AB222" s="157">
        <f t="shared" si="179"/>
        <v>0</v>
      </c>
    </row>
    <row r="223" spans="1:30">
      <c r="A223" s="206">
        <v>191</v>
      </c>
      <c r="B223" s="55" t="s">
        <v>247</v>
      </c>
      <c r="C223" s="56" t="s">
        <v>78</v>
      </c>
      <c r="D223" s="142" t="s">
        <v>329</v>
      </c>
      <c r="E223" s="78">
        <v>356734267.12</v>
      </c>
      <c r="F223" s="62">
        <v>0</v>
      </c>
      <c r="G223" s="142" t="s">
        <v>329</v>
      </c>
      <c r="H223" s="104">
        <v>1.23</v>
      </c>
      <c r="I223" s="142" t="s">
        <v>329</v>
      </c>
      <c r="J223" s="104">
        <v>1.23</v>
      </c>
      <c r="K223" s="63">
        <v>59</v>
      </c>
      <c r="L223" s="64">
        <v>1.6000000000000001E-3</v>
      </c>
      <c r="M223" s="64">
        <v>0.13819999999999999</v>
      </c>
      <c r="N223" s="142" t="s">
        <v>329</v>
      </c>
      <c r="O223" s="78">
        <v>356734267.12</v>
      </c>
      <c r="P223" s="62">
        <f t="shared" si="174"/>
        <v>2.6213701110189436E-3</v>
      </c>
      <c r="Q223" s="142" t="s">
        <v>329</v>
      </c>
      <c r="R223" s="104">
        <v>1.24</v>
      </c>
      <c r="S223" s="142" t="s">
        <v>329</v>
      </c>
      <c r="T223" s="104">
        <v>1.24</v>
      </c>
      <c r="U223" s="63">
        <v>57</v>
      </c>
      <c r="V223" s="64">
        <v>2E-3</v>
      </c>
      <c r="W223" s="64">
        <v>0.13880000000000001</v>
      </c>
      <c r="X223" s="156">
        <f t="shared" ref="X223:X224" si="180">((O223-E223)/E223)</f>
        <v>0</v>
      </c>
      <c r="Y223" s="156">
        <f t="shared" ref="Y223:Y224" si="181">((T223-J223)/J223)</f>
        <v>8.1300813008130159E-3</v>
      </c>
      <c r="Z223" s="156">
        <f t="shared" ref="Z223" si="182">((U223-K223)/K223)</f>
        <v>-3.3898305084745763E-2</v>
      </c>
      <c r="AA223" s="156">
        <f t="shared" ref="AA223" si="183">V223-L223</f>
        <v>3.9999999999999996E-4</v>
      </c>
      <c r="AB223" s="157">
        <f t="shared" ref="AB223" si="184">W223-M223</f>
        <v>6.0000000000001719E-4</v>
      </c>
    </row>
    <row r="224" spans="1:30">
      <c r="A224" s="206">
        <v>192</v>
      </c>
      <c r="B224" s="55" t="s">
        <v>326</v>
      </c>
      <c r="C224" s="56" t="s">
        <v>79</v>
      </c>
      <c r="D224" s="142" t="s">
        <v>329</v>
      </c>
      <c r="E224" s="67">
        <v>5917657837.25</v>
      </c>
      <c r="F224" s="62">
        <f t="shared" ref="F224:F231" si="185">(E224/$E$238)</f>
        <v>4.4857531556941097E-2</v>
      </c>
      <c r="G224" s="142" t="s">
        <v>329</v>
      </c>
      <c r="H224" s="104">
        <v>152.24</v>
      </c>
      <c r="I224" s="142" t="s">
        <v>329</v>
      </c>
      <c r="J224" s="104">
        <v>152.24</v>
      </c>
      <c r="K224" s="63">
        <v>974</v>
      </c>
      <c r="L224" s="64">
        <v>2.5000000000000001E-3</v>
      </c>
      <c r="M224" s="64">
        <v>6.9900000000000004E-2</v>
      </c>
      <c r="N224" s="142" t="s">
        <v>329</v>
      </c>
      <c r="O224" s="67">
        <v>5951770639.6199999</v>
      </c>
      <c r="P224" s="62">
        <f t="shared" si="174"/>
        <v>4.373505743728219E-2</v>
      </c>
      <c r="Q224" s="142" t="s">
        <v>329</v>
      </c>
      <c r="R224" s="104">
        <v>152.61000000000001</v>
      </c>
      <c r="S224" s="142" t="s">
        <v>329</v>
      </c>
      <c r="T224" s="104">
        <v>152.61000000000001</v>
      </c>
      <c r="U224" s="63">
        <v>984</v>
      </c>
      <c r="V224" s="64">
        <v>2.3999999999999998E-3</v>
      </c>
      <c r="W224" s="64">
        <v>7.2499999999999995E-2</v>
      </c>
      <c r="X224" s="156">
        <f t="shared" si="180"/>
        <v>5.764578370055352E-3</v>
      </c>
      <c r="Y224" s="156">
        <f t="shared" si="181"/>
        <v>2.430373095113009E-3</v>
      </c>
      <c r="Z224" s="156">
        <f t="shared" si="177"/>
        <v>1.0266940451745379E-2</v>
      </c>
      <c r="AA224" s="156">
        <f t="shared" si="178"/>
        <v>-1.0000000000000026E-4</v>
      </c>
      <c r="AB224" s="157">
        <f t="shared" si="179"/>
        <v>2.5999999999999912E-3</v>
      </c>
    </row>
    <row r="225" spans="1:32">
      <c r="A225" s="206">
        <v>193</v>
      </c>
      <c r="B225" s="55" t="s">
        <v>248</v>
      </c>
      <c r="C225" s="56" t="s">
        <v>67</v>
      </c>
      <c r="D225" s="142" t="s">
        <v>329</v>
      </c>
      <c r="E225" s="67">
        <v>1008393380.85</v>
      </c>
      <c r="F225" s="62">
        <f t="shared" si="185"/>
        <v>7.6439089834754882E-3</v>
      </c>
      <c r="G225" s="142" t="s">
        <v>329</v>
      </c>
      <c r="H225" s="66">
        <v>1408.31</v>
      </c>
      <c r="I225" s="142" t="s">
        <v>329</v>
      </c>
      <c r="J225" s="66">
        <v>1408.31</v>
      </c>
      <c r="K225" s="63">
        <v>333</v>
      </c>
      <c r="L225" s="64">
        <v>0.12959999999999999</v>
      </c>
      <c r="M225" s="64">
        <v>0.125</v>
      </c>
      <c r="N225" s="142" t="s">
        <v>329</v>
      </c>
      <c r="O225" s="67">
        <v>994665648.15999997</v>
      </c>
      <c r="P225" s="62">
        <f t="shared" si="174"/>
        <v>7.3090449695061765E-3</v>
      </c>
      <c r="Q225" s="142" t="s">
        <v>329</v>
      </c>
      <c r="R225" s="66">
        <v>1411.78</v>
      </c>
      <c r="S225" s="142" t="s">
        <v>329</v>
      </c>
      <c r="T225" s="66">
        <v>1411.78</v>
      </c>
      <c r="U225" s="63">
        <v>333</v>
      </c>
      <c r="V225" s="64">
        <v>0.12820000000000001</v>
      </c>
      <c r="W225" s="64">
        <v>0.12540000000000001</v>
      </c>
      <c r="X225" s="156">
        <f t="shared" si="175"/>
        <v>-1.3613469654499921E-2</v>
      </c>
      <c r="Y225" s="156">
        <f t="shared" si="176"/>
        <v>2.4639461482202267E-3</v>
      </c>
      <c r="Z225" s="156">
        <f t="shared" si="177"/>
        <v>0</v>
      </c>
      <c r="AA225" s="156">
        <f t="shared" si="178"/>
        <v>-1.3999999999999846E-3</v>
      </c>
      <c r="AB225" s="157">
        <f t="shared" si="179"/>
        <v>4.0000000000001146E-4</v>
      </c>
    </row>
    <row r="226" spans="1:32">
      <c r="A226" s="206">
        <v>194</v>
      </c>
      <c r="B226" s="55" t="s">
        <v>249</v>
      </c>
      <c r="C226" s="56" t="s">
        <v>238</v>
      </c>
      <c r="D226" s="142" t="s">
        <v>329</v>
      </c>
      <c r="E226" s="67">
        <v>48606151663.650002</v>
      </c>
      <c r="F226" s="62">
        <f t="shared" si="185"/>
        <v>0.36844847101313283</v>
      </c>
      <c r="G226" s="142" t="s">
        <v>329</v>
      </c>
      <c r="H226" s="66">
        <v>1321.52</v>
      </c>
      <c r="I226" s="142" t="s">
        <v>329</v>
      </c>
      <c r="J226" s="66">
        <v>1321.52</v>
      </c>
      <c r="K226" s="63">
        <v>13745</v>
      </c>
      <c r="L226" s="64">
        <v>3.8E-3</v>
      </c>
      <c r="M226" s="64">
        <v>7.7700000000000005E-2</v>
      </c>
      <c r="N226" s="142" t="s">
        <v>329</v>
      </c>
      <c r="O226" s="67">
        <v>48260261243.07</v>
      </c>
      <c r="P226" s="62">
        <f t="shared" si="174"/>
        <v>0.35462813088823414</v>
      </c>
      <c r="Q226" s="142" t="s">
        <v>329</v>
      </c>
      <c r="R226" s="66">
        <v>1286.3800000000001</v>
      </c>
      <c r="S226" s="142" t="s">
        <v>329</v>
      </c>
      <c r="T226" s="66">
        <v>1286.3800000000001</v>
      </c>
      <c r="U226" s="63">
        <v>13943</v>
      </c>
      <c r="V226" s="64">
        <v>-2.6599999999999999E-2</v>
      </c>
      <c r="W226" s="64">
        <v>8.1500000000000003E-2</v>
      </c>
      <c r="X226" s="156">
        <f t="shared" si="175"/>
        <v>-7.1161860945818346E-3</v>
      </c>
      <c r="Y226" s="156">
        <f t="shared" si="176"/>
        <v>-2.6590592650886761E-2</v>
      </c>
      <c r="Z226" s="156">
        <f t="shared" si="177"/>
        <v>1.4405238268461259E-2</v>
      </c>
      <c r="AA226" s="156">
        <f t="shared" si="178"/>
        <v>-3.04E-2</v>
      </c>
      <c r="AB226" s="157">
        <f t="shared" si="179"/>
        <v>3.7999999999999978E-3</v>
      </c>
    </row>
    <row r="227" spans="1:32">
      <c r="A227" s="206">
        <v>195</v>
      </c>
      <c r="B227" s="55" t="s">
        <v>250</v>
      </c>
      <c r="C227" s="56" t="s">
        <v>251</v>
      </c>
      <c r="D227" s="142" t="s">
        <v>329</v>
      </c>
      <c r="E227" s="67">
        <v>594928836.41999996</v>
      </c>
      <c r="F227" s="62">
        <f t="shared" si="185"/>
        <v>4.5097299958535885E-3</v>
      </c>
      <c r="G227" s="142" t="s">
        <v>329</v>
      </c>
      <c r="H227" s="105">
        <v>141.88999999999999</v>
      </c>
      <c r="I227" s="142" t="s">
        <v>329</v>
      </c>
      <c r="J227" s="105">
        <v>142.34</v>
      </c>
      <c r="K227" s="81">
        <v>144</v>
      </c>
      <c r="L227" s="64">
        <v>-2.0000000000000001E-4</v>
      </c>
      <c r="M227" s="64">
        <v>0.1668</v>
      </c>
      <c r="N227" s="142" t="s">
        <v>329</v>
      </c>
      <c r="O227" s="67">
        <v>502721346.72000003</v>
      </c>
      <c r="P227" s="62">
        <f t="shared" si="174"/>
        <v>3.6941186589728569E-3</v>
      </c>
      <c r="Q227" s="142" t="s">
        <v>329</v>
      </c>
      <c r="R227" s="105">
        <v>142.57</v>
      </c>
      <c r="S227" s="142" t="s">
        <v>329</v>
      </c>
      <c r="T227" s="105">
        <v>143.1</v>
      </c>
      <c r="U227" s="81">
        <v>146</v>
      </c>
      <c r="V227" s="64">
        <v>5.3E-3</v>
      </c>
      <c r="W227" s="64">
        <v>0.17299999999999999</v>
      </c>
      <c r="X227" s="156">
        <f>((O227-E227)/E227)</f>
        <v>-0.15498910803325813</v>
      </c>
      <c r="Y227" s="156">
        <f t="shared" si="176"/>
        <v>5.3393283686946104E-3</v>
      </c>
      <c r="Z227" s="156">
        <f t="shared" si="177"/>
        <v>1.3888888888888888E-2</v>
      </c>
      <c r="AA227" s="156">
        <f t="shared" si="178"/>
        <v>5.4999999999999997E-3</v>
      </c>
      <c r="AB227" s="157">
        <f t="shared" si="179"/>
        <v>6.1999999999999833E-3</v>
      </c>
    </row>
    <row r="228" spans="1:32">
      <c r="A228" s="206">
        <v>196</v>
      </c>
      <c r="B228" s="55" t="s">
        <v>252</v>
      </c>
      <c r="C228" s="56" t="s">
        <v>251</v>
      </c>
      <c r="D228" s="142" t="s">
        <v>329</v>
      </c>
      <c r="E228" s="67">
        <v>1050499139.9</v>
      </c>
      <c r="F228" s="62">
        <f t="shared" si="185"/>
        <v>7.9630826273832372E-3</v>
      </c>
      <c r="G228" s="142" t="s">
        <v>329</v>
      </c>
      <c r="H228" s="105">
        <v>150.99</v>
      </c>
      <c r="I228" s="142" t="s">
        <v>329</v>
      </c>
      <c r="J228" s="105">
        <v>150.99</v>
      </c>
      <c r="K228" s="81">
        <v>145</v>
      </c>
      <c r="L228" s="64">
        <v>4.7999999999999996E-3</v>
      </c>
      <c r="M228" s="64">
        <v>0.1133</v>
      </c>
      <c r="N228" s="142" t="s">
        <v>329</v>
      </c>
      <c r="O228" s="67">
        <v>1061138180.74</v>
      </c>
      <c r="P228" s="62">
        <f t="shared" si="174"/>
        <v>7.7975012972811876E-3</v>
      </c>
      <c r="Q228" s="142" t="s">
        <v>329</v>
      </c>
      <c r="R228" s="105">
        <v>151.69999999999999</v>
      </c>
      <c r="S228" s="142" t="s">
        <v>329</v>
      </c>
      <c r="T228" s="105">
        <v>151.69999999999999</v>
      </c>
      <c r="U228" s="81">
        <v>149</v>
      </c>
      <c r="V228" s="64">
        <v>4.7000000000000002E-3</v>
      </c>
      <c r="W228" s="64">
        <v>0.1186</v>
      </c>
      <c r="X228" s="156">
        <f t="shared" si="175"/>
        <v>1.0127605474301287E-2</v>
      </c>
      <c r="Y228" s="156">
        <f t="shared" si="176"/>
        <v>4.7022981654412845E-3</v>
      </c>
      <c r="Z228" s="156">
        <f t="shared" si="177"/>
        <v>2.7586206896551724E-2</v>
      </c>
      <c r="AA228" s="156">
        <f t="shared" si="178"/>
        <v>-9.9999999999999395E-5</v>
      </c>
      <c r="AB228" s="157">
        <f t="shared" si="179"/>
        <v>5.2999999999999992E-3</v>
      </c>
    </row>
    <row r="229" spans="1:32" ht="13.5" customHeight="1">
      <c r="A229" s="206">
        <v>197</v>
      </c>
      <c r="B229" s="55" t="s">
        <v>253</v>
      </c>
      <c r="C229" s="56" t="s">
        <v>98</v>
      </c>
      <c r="D229" s="142" t="s">
        <v>329</v>
      </c>
      <c r="E229" s="67">
        <v>3944872363</v>
      </c>
      <c r="F229" s="62">
        <f t="shared" si="185"/>
        <v>2.990325587895282E-2</v>
      </c>
      <c r="G229" s="142" t="s">
        <v>329</v>
      </c>
      <c r="H229" s="87">
        <v>105.69</v>
      </c>
      <c r="I229" s="142" t="s">
        <v>329</v>
      </c>
      <c r="J229" s="87">
        <v>105.69</v>
      </c>
      <c r="K229" s="63">
        <v>1004</v>
      </c>
      <c r="L229" s="64">
        <v>-3.2399999999999998E-2</v>
      </c>
      <c r="M229" s="64">
        <v>0.18540000000000001</v>
      </c>
      <c r="N229" s="142" t="s">
        <v>329</v>
      </c>
      <c r="O229" s="67">
        <v>4064755172</v>
      </c>
      <c r="P229" s="62">
        <f t="shared" si="174"/>
        <v>2.9868809078849184E-2</v>
      </c>
      <c r="Q229" s="142" t="s">
        <v>329</v>
      </c>
      <c r="R229" s="87">
        <v>106.01</v>
      </c>
      <c r="S229" s="142" t="s">
        <v>329</v>
      </c>
      <c r="T229" s="87">
        <v>106.01</v>
      </c>
      <c r="U229" s="63">
        <v>1014</v>
      </c>
      <c r="V229" s="64">
        <v>3.0000000000000001E-3</v>
      </c>
      <c r="W229" s="64">
        <v>0.18440000000000001</v>
      </c>
      <c r="X229" s="156">
        <f t="shared" si="175"/>
        <v>3.0389527966585821E-2</v>
      </c>
      <c r="Y229" s="156">
        <f t="shared" si="176"/>
        <v>3.0277225849182268E-3</v>
      </c>
      <c r="Z229" s="156">
        <f t="shared" si="177"/>
        <v>9.9601593625498006E-3</v>
      </c>
      <c r="AA229" s="156">
        <f t="shared" si="178"/>
        <v>3.5400000000000001E-2</v>
      </c>
      <c r="AB229" s="157">
        <f t="shared" si="179"/>
        <v>-1.0000000000000009E-3</v>
      </c>
    </row>
    <row r="230" spans="1:32" ht="15.75" customHeight="1">
      <c r="A230" s="206">
        <v>198</v>
      </c>
      <c r="B230" s="55" t="s">
        <v>254</v>
      </c>
      <c r="C230" s="56" t="s">
        <v>46</v>
      </c>
      <c r="D230" s="142" t="s">
        <v>329</v>
      </c>
      <c r="E230" s="67">
        <v>2322945048.9200001</v>
      </c>
      <c r="F230" s="62">
        <f t="shared" si="185"/>
        <v>1.7608584967696038E-2</v>
      </c>
      <c r="G230" s="142" t="s">
        <v>329</v>
      </c>
      <c r="H230" s="87">
        <v>152.83000000000001</v>
      </c>
      <c r="I230" s="142" t="s">
        <v>329</v>
      </c>
      <c r="J230" s="87">
        <v>152.83000000000001</v>
      </c>
      <c r="K230" s="63">
        <v>3423</v>
      </c>
      <c r="L230" s="64">
        <v>6.7000000000000002E-3</v>
      </c>
      <c r="M230" s="64">
        <v>0.11550000000000001</v>
      </c>
      <c r="N230" s="142" t="s">
        <v>329</v>
      </c>
      <c r="O230" s="67">
        <v>2309750438.8899999</v>
      </c>
      <c r="P230" s="62">
        <f t="shared" si="174"/>
        <v>1.6972607687229611E-2</v>
      </c>
      <c r="Q230" s="142" t="s">
        <v>329</v>
      </c>
      <c r="R230" s="87">
        <v>153.97</v>
      </c>
      <c r="S230" s="142" t="s">
        <v>329</v>
      </c>
      <c r="T230" s="87">
        <v>153.97</v>
      </c>
      <c r="U230" s="63">
        <v>3510</v>
      </c>
      <c r="V230" s="64">
        <v>7.4999999999999997E-3</v>
      </c>
      <c r="W230" s="64">
        <v>0.12640000000000001</v>
      </c>
      <c r="X230" s="156">
        <f t="shared" si="175"/>
        <v>-5.6801214631119843E-3</v>
      </c>
      <c r="Y230" s="156">
        <f t="shared" si="176"/>
        <v>7.4592684682325871E-3</v>
      </c>
      <c r="Z230" s="156">
        <f t="shared" si="177"/>
        <v>2.5416301489921123E-2</v>
      </c>
      <c r="AA230" s="156">
        <f t="shared" si="178"/>
        <v>7.999999999999995E-4</v>
      </c>
      <c r="AB230" s="157">
        <f t="shared" si="179"/>
        <v>1.0900000000000007E-2</v>
      </c>
    </row>
    <row r="231" spans="1:32">
      <c r="A231" s="206">
        <v>199</v>
      </c>
      <c r="B231" s="55" t="s">
        <v>255</v>
      </c>
      <c r="C231" s="56" t="s">
        <v>49</v>
      </c>
      <c r="D231" s="142" t="s">
        <v>329</v>
      </c>
      <c r="E231" s="67">
        <v>3674731835.5500002</v>
      </c>
      <c r="F231" s="62">
        <f t="shared" si="185"/>
        <v>2.7855513753914991E-2</v>
      </c>
      <c r="G231" s="142" t="s">
        <v>329</v>
      </c>
      <c r="H231" s="87">
        <v>1.15741</v>
      </c>
      <c r="I231" s="142" t="s">
        <v>329</v>
      </c>
      <c r="J231" s="87">
        <v>1.15741</v>
      </c>
      <c r="K231" s="63">
        <v>2331</v>
      </c>
      <c r="L231" s="64">
        <v>2.3E-3</v>
      </c>
      <c r="M231" s="64">
        <v>0.1008</v>
      </c>
      <c r="N231" s="142" t="s">
        <v>329</v>
      </c>
      <c r="O231" s="67">
        <v>4107621510.6399999</v>
      </c>
      <c r="P231" s="62">
        <f t="shared" si="174"/>
        <v>3.0183801355276367E-2</v>
      </c>
      <c r="Q231" s="142" t="s">
        <v>329</v>
      </c>
      <c r="R231" s="87">
        <v>1.16001</v>
      </c>
      <c r="S231" s="142" t="s">
        <v>329</v>
      </c>
      <c r="T231" s="87">
        <v>1.16001</v>
      </c>
      <c r="U231" s="63">
        <v>2339</v>
      </c>
      <c r="V231" s="64">
        <v>2.2000000000000001E-3</v>
      </c>
      <c r="W231" s="64">
        <v>0.1197</v>
      </c>
      <c r="X231" s="156">
        <f t="shared" si="175"/>
        <v>0.11780170484881347</v>
      </c>
      <c r="Y231" s="156">
        <f t="shared" si="176"/>
        <v>2.246394968075216E-3</v>
      </c>
      <c r="Z231" s="156">
        <f t="shared" si="177"/>
        <v>3.432003432003432E-3</v>
      </c>
      <c r="AA231" s="156">
        <f t="shared" si="178"/>
        <v>-9.9999999999999829E-5</v>
      </c>
      <c r="AB231" s="157">
        <f t="shared" si="179"/>
        <v>1.89E-2</v>
      </c>
    </row>
    <row r="232" spans="1:32" ht="4.8" customHeight="1">
      <c r="B232" s="223"/>
      <c r="C232" s="223"/>
      <c r="D232" s="223"/>
      <c r="E232" s="223"/>
      <c r="F232" s="223"/>
      <c r="G232" s="223"/>
      <c r="H232" s="223"/>
      <c r="I232" s="223"/>
      <c r="J232" s="223"/>
      <c r="K232" s="223"/>
      <c r="L232" s="223"/>
      <c r="M232" s="223"/>
      <c r="N232" s="223"/>
      <c r="O232" s="223"/>
      <c r="P232" s="223"/>
      <c r="Q232" s="223"/>
      <c r="R232" s="223"/>
      <c r="S232" s="223"/>
      <c r="T232" s="223"/>
      <c r="U232" s="223"/>
      <c r="V232" s="223"/>
      <c r="W232" s="223"/>
      <c r="X232" s="223"/>
      <c r="Y232" s="223"/>
      <c r="Z232" s="223"/>
      <c r="AA232" s="223"/>
      <c r="AB232" s="223"/>
    </row>
    <row r="233" spans="1:32">
      <c r="A233" s="164"/>
      <c r="B233" s="224" t="s">
        <v>333</v>
      </c>
      <c r="C233" s="224"/>
      <c r="D233" s="224"/>
      <c r="E233" s="224"/>
      <c r="F233" s="224"/>
      <c r="G233" s="224"/>
      <c r="H233" s="224"/>
      <c r="I233" s="224"/>
      <c r="J233" s="224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4"/>
      <c r="W233" s="224"/>
      <c r="X233" s="224"/>
      <c r="Y233" s="224"/>
      <c r="Z233" s="224"/>
      <c r="AA233" s="224"/>
      <c r="AB233" s="224"/>
    </row>
    <row r="234" spans="1:32">
      <c r="A234" s="206">
        <v>200</v>
      </c>
      <c r="B234" s="55" t="s">
        <v>256</v>
      </c>
      <c r="C234" s="56" t="s">
        <v>19</v>
      </c>
      <c r="D234" s="142" t="s">
        <v>329</v>
      </c>
      <c r="E234" s="103">
        <v>641807476.53999996</v>
      </c>
      <c r="F234" s="62">
        <f>(E234/$E$210)</f>
        <v>3.6466918952471991E-2</v>
      </c>
      <c r="G234" s="142" t="s">
        <v>329</v>
      </c>
      <c r="H234" s="104">
        <v>115.9299</v>
      </c>
      <c r="I234" s="142" t="s">
        <v>329</v>
      </c>
      <c r="J234" s="104">
        <v>115.9299</v>
      </c>
      <c r="K234" s="59">
        <v>110</v>
      </c>
      <c r="L234" s="60">
        <v>-9.9000000000000008E-3</v>
      </c>
      <c r="M234" s="60">
        <v>0.10539999999999999</v>
      </c>
      <c r="N234" s="142" t="s">
        <v>329</v>
      </c>
      <c r="O234" s="103">
        <v>653324831.63</v>
      </c>
      <c r="P234" s="84">
        <f>(O234/O235)</f>
        <v>3.7871258325808149E-2</v>
      </c>
      <c r="Q234" s="142" t="s">
        <v>329</v>
      </c>
      <c r="R234" s="104">
        <v>119.2338</v>
      </c>
      <c r="S234" s="142" t="s">
        <v>329</v>
      </c>
      <c r="T234" s="104">
        <v>119.2338</v>
      </c>
      <c r="U234" s="59">
        <v>110</v>
      </c>
      <c r="V234" s="60">
        <v>2.8500000000000001E-2</v>
      </c>
      <c r="W234" s="60">
        <v>0.13689999999999999</v>
      </c>
      <c r="X234" s="156">
        <f>((O234-E234)/E234)</f>
        <v>1.7945186852746528E-2</v>
      </c>
      <c r="Y234" s="156">
        <f t="shared" ref="Y234" si="186">((T234-J234)/J234)</f>
        <v>2.8499118864072154E-2</v>
      </c>
      <c r="Z234" s="156">
        <f t="shared" ref="Z234" si="187">((U234-K234)/K234)</f>
        <v>0</v>
      </c>
      <c r="AA234" s="156">
        <f t="shared" ref="AA234" si="188">V234-L234</f>
        <v>3.8400000000000004E-2</v>
      </c>
      <c r="AB234" s="157">
        <f t="shared" ref="AB234" si="189">W234-M234</f>
        <v>3.15E-2</v>
      </c>
      <c r="AD234" s="50"/>
      <c r="AE234" s="185"/>
    </row>
    <row r="235" spans="1:32">
      <c r="A235" s="209">
        <v>201</v>
      </c>
      <c r="B235" s="55" t="s">
        <v>257</v>
      </c>
      <c r="C235" s="56" t="s">
        <v>23</v>
      </c>
      <c r="D235" s="142" t="s">
        <v>329</v>
      </c>
      <c r="E235" s="103">
        <v>17956381412.43</v>
      </c>
      <c r="F235" s="62">
        <f>(E235/$E$210)</f>
        <v>1.0202653125464933</v>
      </c>
      <c r="G235" s="142" t="s">
        <v>329</v>
      </c>
      <c r="H235" s="104">
        <v>140.46719999999999</v>
      </c>
      <c r="I235" s="142" t="s">
        <v>329</v>
      </c>
      <c r="J235" s="104">
        <v>144.68761889999999</v>
      </c>
      <c r="K235" s="59">
        <v>7592</v>
      </c>
      <c r="L235" s="60">
        <v>-2.8400000000000002E-2</v>
      </c>
      <c r="M235" s="60">
        <v>0.34920000000000001</v>
      </c>
      <c r="N235" s="142" t="s">
        <v>329</v>
      </c>
      <c r="O235" s="103">
        <v>17251204752.939999</v>
      </c>
      <c r="P235" s="84">
        <f>(O235/$O$210)</f>
        <v>0.91069090183943391</v>
      </c>
      <c r="Q235" s="142" t="s">
        <v>329</v>
      </c>
      <c r="R235" s="104">
        <v>148.09229999999999</v>
      </c>
      <c r="S235" s="142" t="s">
        <v>329</v>
      </c>
      <c r="T235" s="104">
        <v>152.54261890000001</v>
      </c>
      <c r="U235" s="59">
        <v>7720</v>
      </c>
      <c r="V235" s="60">
        <v>5.4300000000000001E-2</v>
      </c>
      <c r="W235" s="60">
        <v>0.42199999999999999</v>
      </c>
      <c r="X235" s="156">
        <f>((O235-E235)/E235)</f>
        <v>-3.9271646290708388E-2</v>
      </c>
      <c r="Y235" s="156">
        <f t="shared" ref="Y235" si="190">((T235-J235)/J235)</f>
        <v>5.4289372233217524E-2</v>
      </c>
      <c r="Z235" s="156">
        <f t="shared" ref="Z235" si="191">((U235-K235)/K235)</f>
        <v>1.6859852476290831E-2</v>
      </c>
      <c r="AA235" s="156">
        <f t="shared" ref="AA235" si="192">V235-L235</f>
        <v>8.2699999999999996E-2</v>
      </c>
      <c r="AB235" s="157">
        <f t="shared" ref="AB235" si="193">W235-M235</f>
        <v>7.2799999999999976E-2</v>
      </c>
      <c r="AC235" s="40"/>
      <c r="AD235" s="40"/>
      <c r="AE235" s="40"/>
      <c r="AF235" s="50"/>
    </row>
    <row r="236" spans="1:32">
      <c r="A236" s="206">
        <v>202</v>
      </c>
      <c r="B236" s="55" t="s">
        <v>258</v>
      </c>
      <c r="C236" s="56" t="s">
        <v>238</v>
      </c>
      <c r="D236" s="142" t="s">
        <v>329</v>
      </c>
      <c r="E236" s="67">
        <v>388094693.91000003</v>
      </c>
      <c r="F236" s="62">
        <f t="shared" ref="F236" si="194">(E236/$E$238)</f>
        <v>2.9418682961972944E-3</v>
      </c>
      <c r="G236" s="142" t="s">
        <v>329</v>
      </c>
      <c r="H236" s="66">
        <v>1537.34</v>
      </c>
      <c r="I236" s="142" t="s">
        <v>329</v>
      </c>
      <c r="J236" s="66">
        <v>1537.34</v>
      </c>
      <c r="K236" s="63">
        <v>183</v>
      </c>
      <c r="L236" s="64">
        <v>-2.5999999999999999E-2</v>
      </c>
      <c r="M236" s="64">
        <v>0.23180000000000001</v>
      </c>
      <c r="N236" s="142" t="s">
        <v>329</v>
      </c>
      <c r="O236" s="67">
        <v>408372810.80000001</v>
      </c>
      <c r="P236" s="62">
        <f t="shared" ref="P236" si="195">(O236/$O$238)</f>
        <v>3.0008226824585244E-3</v>
      </c>
      <c r="Q236" s="142" t="s">
        <v>329</v>
      </c>
      <c r="R236" s="66">
        <v>1604.96</v>
      </c>
      <c r="S236" s="142" t="s">
        <v>329</v>
      </c>
      <c r="T236" s="66">
        <v>1604.96</v>
      </c>
      <c r="U236" s="63">
        <v>183</v>
      </c>
      <c r="V236" s="64">
        <v>4.7399999999999998E-2</v>
      </c>
      <c r="W236" s="64">
        <v>0.28599999999999998</v>
      </c>
      <c r="X236" s="156">
        <f t="shared" ref="X236" si="196">((O236-E236)/E236)</f>
        <v>5.2250435803954907E-2</v>
      </c>
      <c r="Y236" s="156">
        <f t="shared" ref="Y236" si="197">((T236-J236)/J236)</f>
        <v>4.3985065112467067E-2</v>
      </c>
      <c r="Z236" s="156">
        <f t="shared" ref="Z236" si="198">((U236-K236)/K236)</f>
        <v>0</v>
      </c>
      <c r="AA236" s="156">
        <f t="shared" ref="AA236" si="199">V236-L236</f>
        <v>7.3399999999999993E-2</v>
      </c>
      <c r="AB236" s="157">
        <f t="shared" ref="AB236" si="200">W236-M236</f>
        <v>5.419999999999997E-2</v>
      </c>
      <c r="AD236" s="169"/>
    </row>
    <row r="237" spans="1:32">
      <c r="A237" s="206">
        <v>203</v>
      </c>
      <c r="B237" s="55" t="s">
        <v>259</v>
      </c>
      <c r="C237" s="56" t="s">
        <v>260</v>
      </c>
      <c r="D237" s="142" t="s">
        <v>329</v>
      </c>
      <c r="E237" s="67">
        <v>187556682.52000001</v>
      </c>
      <c r="F237" s="62">
        <f t="shared" ref="F237" si="201">(E237/$E$238)</f>
        <v>1.4217330633576896E-3</v>
      </c>
      <c r="G237" s="142" t="s">
        <v>329</v>
      </c>
      <c r="H237" s="66">
        <v>135.69999999999999</v>
      </c>
      <c r="I237" s="142" t="s">
        <v>329</v>
      </c>
      <c r="J237" s="66">
        <v>138.5</v>
      </c>
      <c r="K237" s="63">
        <v>321</v>
      </c>
      <c r="L237" s="64">
        <v>-1.8E-3</v>
      </c>
      <c r="M237" s="64">
        <v>0.2364</v>
      </c>
      <c r="N237" s="142" t="s">
        <v>329</v>
      </c>
      <c r="O237" s="67">
        <v>193181087.00999999</v>
      </c>
      <c r="P237" s="62">
        <f t="shared" ref="P237" si="202">(O237/$O$238)</f>
        <v>1.4195415864880143E-3</v>
      </c>
      <c r="Q237" s="142" t="s">
        <v>329</v>
      </c>
      <c r="R237" s="66">
        <v>135.24</v>
      </c>
      <c r="S237" s="142" t="s">
        <v>329</v>
      </c>
      <c r="T237" s="66">
        <v>138.03</v>
      </c>
      <c r="U237" s="63">
        <v>334</v>
      </c>
      <c r="V237" s="64">
        <v>-3.3999999999999998E-3</v>
      </c>
      <c r="W237" s="64">
        <v>0.22220000000000001</v>
      </c>
      <c r="X237" s="156">
        <f t="shared" ref="X237" si="203">((O237-E237)/E237)</f>
        <v>2.99877584441718E-2</v>
      </c>
      <c r="Y237" s="156">
        <f t="shared" ref="Y237" si="204">((T237-J237)/J237)</f>
        <v>-3.3935018050541433E-3</v>
      </c>
      <c r="Z237" s="156">
        <f t="shared" ref="Z237" si="205">((U237-K237)/K237)</f>
        <v>4.0498442367601244E-2</v>
      </c>
      <c r="AA237" s="156">
        <f t="shared" ref="AA237" si="206">V237-L237</f>
        <v>-1.5999999999999999E-3</v>
      </c>
      <c r="AB237" s="157">
        <f t="shared" ref="AB237" si="207">W237-M237</f>
        <v>-1.419999999999999E-2</v>
      </c>
    </row>
    <row r="238" spans="1:32">
      <c r="B238" s="70"/>
      <c r="C238" s="94" t="s">
        <v>52</v>
      </c>
      <c r="D238" s="116" t="s">
        <v>329</v>
      </c>
      <c r="E238" s="85">
        <f>SUM(E214:E237)</f>
        <v>131921165339.61</v>
      </c>
      <c r="F238" s="73">
        <f>(E238/$E$239)</f>
        <v>1.4434793434230446E-2</v>
      </c>
      <c r="G238" s="116" t="s">
        <v>329</v>
      </c>
      <c r="H238" s="74"/>
      <c r="I238" s="116" t="s">
        <v>329</v>
      </c>
      <c r="J238" s="98"/>
      <c r="K238" s="106">
        <f>SUM(K214:K237)</f>
        <v>58550</v>
      </c>
      <c r="L238" s="99"/>
      <c r="M238" s="99"/>
      <c r="N238" s="142" t="s">
        <v>329</v>
      </c>
      <c r="O238" s="85">
        <f>SUM(O214:O237)</f>
        <v>136086951484.06001</v>
      </c>
      <c r="P238" s="73">
        <f>(O238/$O$239)</f>
        <v>1.4644039081457994E-2</v>
      </c>
      <c r="Q238" s="142" t="s">
        <v>329</v>
      </c>
      <c r="R238" s="74"/>
      <c r="S238" s="142" t="s">
        <v>329</v>
      </c>
      <c r="T238" s="98"/>
      <c r="U238" s="76">
        <f>SUM(U214:U237)</f>
        <v>59391</v>
      </c>
      <c r="V238" s="99"/>
      <c r="W238" s="99"/>
      <c r="X238" s="156">
        <f t="shared" si="175"/>
        <v>3.1577845251183616E-2</v>
      </c>
      <c r="Y238" s="156" t="e">
        <f t="shared" si="176"/>
        <v>#DIV/0!</v>
      </c>
      <c r="Z238" s="156">
        <f t="shared" si="177"/>
        <v>1.4363791631084543E-2</v>
      </c>
      <c r="AA238" s="156">
        <f t="shared" si="178"/>
        <v>0</v>
      </c>
      <c r="AB238" s="157">
        <f t="shared" si="179"/>
        <v>0</v>
      </c>
    </row>
    <row r="239" spans="1:32">
      <c r="A239" s="165"/>
      <c r="B239" s="107"/>
      <c r="C239" s="108" t="s">
        <v>261</v>
      </c>
      <c r="D239" s="108"/>
      <c r="E239" s="109">
        <f>SUM(E27,E77,E118,E162,E171,E204,E210,E238)</f>
        <v>9139110021953.9121</v>
      </c>
      <c r="F239" s="110"/>
      <c r="G239" s="110"/>
      <c r="H239" s="110"/>
      <c r="I239" s="110"/>
      <c r="J239" s="111"/>
      <c r="K239" s="109">
        <f>SUM(K27,K77,K118,K162,K171,K204,K210,K238)</f>
        <v>1437735</v>
      </c>
      <c r="L239" s="112"/>
      <c r="M239" s="112"/>
      <c r="N239" s="112"/>
      <c r="O239" s="109">
        <f>SUM(O27,O77,O118,O162,O171,O204,O210,O238)</f>
        <v>9292992918625.2129</v>
      </c>
      <c r="P239" s="110"/>
      <c r="Q239" s="110"/>
      <c r="R239" s="110"/>
      <c r="S239" s="110"/>
      <c r="T239" s="111"/>
      <c r="U239" s="109">
        <f>SUM(U27,U77,U118,U162,U171,U204,U210,U238)</f>
        <v>1451720</v>
      </c>
      <c r="V239" s="113"/>
      <c r="W239" s="109"/>
      <c r="X239" s="114">
        <f t="shared" si="175"/>
        <v>1.6837842667573131E-2</v>
      </c>
      <c r="Y239" s="114"/>
      <c r="Z239" s="114"/>
      <c r="AA239" s="114"/>
      <c r="AB239" s="114"/>
    </row>
    <row r="240" spans="1:32" ht="6.75" customHeight="1">
      <c r="B240" s="223"/>
      <c r="C240" s="223"/>
      <c r="D240" s="223"/>
      <c r="E240" s="223"/>
      <c r="F240" s="223"/>
      <c r="G240" s="223"/>
      <c r="H240" s="223"/>
      <c r="I240" s="223"/>
      <c r="J240" s="223"/>
      <c r="K240" s="223"/>
      <c r="L240" s="223"/>
      <c r="M240" s="223"/>
      <c r="N240" s="223"/>
      <c r="O240" s="223"/>
      <c r="P240" s="223"/>
      <c r="Q240" s="223"/>
      <c r="R240" s="223"/>
      <c r="S240" s="223"/>
      <c r="T240" s="223"/>
      <c r="U240" s="223"/>
      <c r="V240" s="223"/>
      <c r="W240" s="223"/>
      <c r="X240" s="223"/>
      <c r="Y240" s="223"/>
      <c r="Z240" s="223"/>
      <c r="AA240" s="223"/>
      <c r="AB240" s="70"/>
    </row>
    <row r="241" spans="1:33" ht="14.4" customHeight="1">
      <c r="A241" s="162"/>
      <c r="B241" s="221" t="s">
        <v>262</v>
      </c>
      <c r="C241" s="221"/>
      <c r="D241" s="221"/>
      <c r="E241" s="221"/>
      <c r="F241" s="221"/>
      <c r="G241" s="221"/>
      <c r="H241" s="221"/>
      <c r="I241" s="221"/>
      <c r="J241" s="221"/>
      <c r="K241" s="221"/>
      <c r="L241" s="221"/>
      <c r="M241" s="221"/>
      <c r="N241" s="221"/>
      <c r="O241" s="221"/>
      <c r="P241" s="221"/>
      <c r="Q241" s="221"/>
      <c r="R241" s="221"/>
      <c r="S241" s="221"/>
      <c r="T241" s="221"/>
      <c r="U241" s="221"/>
      <c r="V241" s="221"/>
      <c r="W241" s="221"/>
      <c r="X241" s="221"/>
      <c r="Y241" s="221"/>
      <c r="Z241" s="221"/>
      <c r="AA241" s="221"/>
      <c r="AB241" s="221"/>
    </row>
    <row r="242" spans="1:33" ht="14.4" customHeight="1">
      <c r="A242" s="209">
        <v>1</v>
      </c>
      <c r="B242" s="55" t="s">
        <v>263</v>
      </c>
      <c r="C242" s="56" t="s">
        <v>23</v>
      </c>
      <c r="D242" s="145">
        <v>1966047.27</v>
      </c>
      <c r="E242" s="67">
        <v>2690843571.9974823</v>
      </c>
      <c r="F242" s="62">
        <f t="shared" ref="F242" si="208">(E242/$E$238)</f>
        <v>2.0397360537790388E-2</v>
      </c>
      <c r="G242" s="145">
        <v>1.0591361109999999</v>
      </c>
      <c r="H242" s="66">
        <v>1449.5936286184826</v>
      </c>
      <c r="I242" s="66">
        <v>1.0591361109999999</v>
      </c>
      <c r="J242" s="66">
        <v>1449.5936286184826</v>
      </c>
      <c r="K242" s="63">
        <v>61</v>
      </c>
      <c r="L242" s="64">
        <v>4.1200000000000001E-2</v>
      </c>
      <c r="M242" s="64">
        <v>4.3099999999999999E-2</v>
      </c>
      <c r="N242" s="145">
        <v>1968191.09</v>
      </c>
      <c r="O242" s="67">
        <f>1968191.09*1378.8217</f>
        <v>2713784584.6386533</v>
      </c>
      <c r="P242" s="62">
        <f t="shared" ref="P242:P247" si="209">(O242/$O$248)</f>
        <v>8.6017058264859142E-2</v>
      </c>
      <c r="Q242" s="145">
        <v>1.060336111</v>
      </c>
      <c r="R242" s="66">
        <f>1.060336111*1378.8217</f>
        <v>1462.0144391404087</v>
      </c>
      <c r="S242" s="145">
        <v>1.060336111</v>
      </c>
      <c r="T242" s="66">
        <f>1.060336111*1378.8217</f>
        <v>1462.0144391404087</v>
      </c>
      <c r="U242" s="63">
        <v>60</v>
      </c>
      <c r="V242" s="64">
        <v>5.91E-2</v>
      </c>
      <c r="W242" s="64">
        <v>4.3799999999999999E-2</v>
      </c>
      <c r="X242" s="156">
        <f t="shared" ref="X242" si="210">((O242-E242)/E242)</f>
        <v>8.525583902352701E-3</v>
      </c>
      <c r="Y242" s="156">
        <f t="shared" ref="Y242" si="211">((T242-J242)/J242)</f>
        <v>8.5684775903462091E-3</v>
      </c>
      <c r="Z242" s="156">
        <f t="shared" ref="Z242" si="212">((U242-K242)/K242)</f>
        <v>-1.6393442622950821E-2</v>
      </c>
      <c r="AA242" s="156">
        <f t="shared" ref="AA242" si="213">V242-L242</f>
        <v>1.7899999999999999E-2</v>
      </c>
      <c r="AB242" s="157">
        <f t="shared" ref="AB242" si="214">W242-M242</f>
        <v>6.9999999999999923E-4</v>
      </c>
    </row>
    <row r="243" spans="1:33" ht="14.4" customHeight="1">
      <c r="A243" s="209">
        <v>2</v>
      </c>
      <c r="B243" s="55" t="s">
        <v>264</v>
      </c>
      <c r="C243" s="56" t="s">
        <v>198</v>
      </c>
      <c r="D243" s="143" t="s">
        <v>329</v>
      </c>
      <c r="E243" s="67">
        <v>15379949721.25</v>
      </c>
      <c r="F243" s="62">
        <f t="shared" ref="F243" si="215">(E243/$E$238)</f>
        <v>0.11658439858120395</v>
      </c>
      <c r="G243" s="143" t="s">
        <v>329</v>
      </c>
      <c r="H243" s="66">
        <v>123.2</v>
      </c>
      <c r="I243" s="66" t="s">
        <v>329</v>
      </c>
      <c r="J243" s="66">
        <v>123.2</v>
      </c>
      <c r="K243" s="63">
        <v>11</v>
      </c>
      <c r="L243" s="64">
        <v>3.2000000000000002E-3</v>
      </c>
      <c r="M243" s="64">
        <v>2.7389999999999999</v>
      </c>
      <c r="N243" s="143" t="s">
        <v>329</v>
      </c>
      <c r="O243" s="67">
        <v>15435884562.110001</v>
      </c>
      <c r="P243" s="62">
        <f t="shared" si="209"/>
        <v>0.48926115553326005</v>
      </c>
      <c r="Q243" s="143" t="s">
        <v>329</v>
      </c>
      <c r="R243" s="66">
        <v>123.2</v>
      </c>
      <c r="S243" s="143" t="s">
        <v>329</v>
      </c>
      <c r="T243" s="66">
        <v>123.2</v>
      </c>
      <c r="U243" s="63">
        <v>11</v>
      </c>
      <c r="V243" s="64">
        <v>3.5999999999999999E-3</v>
      </c>
      <c r="W243" s="64">
        <v>2.7526000000000002</v>
      </c>
      <c r="X243" s="156">
        <f t="shared" ref="X243" si="216">((O243-E243)/E243)</f>
        <v>3.6368676018958095E-3</v>
      </c>
      <c r="Y243" s="156">
        <f t="shared" ref="Y243" si="217">((T243-J243)/J243)</f>
        <v>0</v>
      </c>
      <c r="Z243" s="156">
        <f t="shared" ref="Z243" si="218">((U243-K243)/K243)</f>
        <v>0</v>
      </c>
      <c r="AA243" s="156">
        <f t="shared" ref="AA243" si="219">V243-L243</f>
        <v>3.9999999999999975E-4</v>
      </c>
      <c r="AB243" s="157">
        <f t="shared" ref="AB243" si="220">W243-M243</f>
        <v>1.3600000000000279E-2</v>
      </c>
      <c r="AD243" s="214"/>
      <c r="AE243" s="33"/>
      <c r="AG243" s="48"/>
    </row>
    <row r="244" spans="1:33" ht="14.4" customHeight="1">
      <c r="A244" s="209">
        <v>3</v>
      </c>
      <c r="B244" s="55" t="s">
        <v>265</v>
      </c>
      <c r="C244" s="56" t="s">
        <v>38</v>
      </c>
      <c r="D244" s="143" t="s">
        <v>329</v>
      </c>
      <c r="E244" s="67">
        <v>11014311332.32</v>
      </c>
      <c r="F244" s="62">
        <f>(E244/$E$238)</f>
        <v>8.3491616405642052E-2</v>
      </c>
      <c r="G244" s="143" t="s">
        <v>329</v>
      </c>
      <c r="H244" s="66">
        <v>1.056</v>
      </c>
      <c r="I244" s="66" t="s">
        <v>329</v>
      </c>
      <c r="J244" s="66">
        <v>1.056</v>
      </c>
      <c r="K244" s="63">
        <v>16</v>
      </c>
      <c r="L244" s="64">
        <v>7.9000000000000008E-3</v>
      </c>
      <c r="M244" s="64">
        <v>0.2059</v>
      </c>
      <c r="N244" s="143" t="s">
        <v>329</v>
      </c>
      <c r="O244" s="67">
        <v>11058912276.9</v>
      </c>
      <c r="P244" s="62">
        <f t="shared" si="209"/>
        <v>0.35052712254784035</v>
      </c>
      <c r="Q244" s="143" t="s">
        <v>329</v>
      </c>
      <c r="R244" s="66">
        <v>1.056</v>
      </c>
      <c r="S244" s="143" t="s">
        <v>329</v>
      </c>
      <c r="T244" s="66">
        <v>1.056</v>
      </c>
      <c r="U244" s="63">
        <v>16</v>
      </c>
      <c r="V244" s="64">
        <v>4.0000000000000001E-3</v>
      </c>
      <c r="W244" s="64">
        <v>0.21110000000000001</v>
      </c>
      <c r="X244" s="156">
        <f>((O244-E244)/E244)</f>
        <v>4.0493629818801752E-3</v>
      </c>
      <c r="Y244" s="156">
        <f>((T244-J244)/J244)</f>
        <v>0</v>
      </c>
      <c r="Z244" s="156">
        <f>((U244-K244)/K244)</f>
        <v>0</v>
      </c>
      <c r="AA244" s="156">
        <f>V244-L244</f>
        <v>-3.9000000000000007E-3</v>
      </c>
      <c r="AB244" s="157">
        <f>W244-M244</f>
        <v>5.2000000000000102E-3</v>
      </c>
      <c r="AD244" s="215"/>
      <c r="AE244" s="216"/>
      <c r="AG244" s="168"/>
    </row>
    <row r="245" spans="1:33" ht="14.4" customHeight="1">
      <c r="A245" s="209">
        <v>4</v>
      </c>
      <c r="B245" s="55" t="s">
        <v>327</v>
      </c>
      <c r="C245" s="56" t="s">
        <v>79</v>
      </c>
      <c r="D245" s="145">
        <v>925765.85</v>
      </c>
      <c r="E245" s="67">
        <v>1269752666.8845</v>
      </c>
      <c r="F245" s="62">
        <f>(E245/$E$238)</f>
        <v>9.6250867979806292E-3</v>
      </c>
      <c r="G245" s="145">
        <v>112.3</v>
      </c>
      <c r="H245" s="66">
        <v>154027.31099999999</v>
      </c>
      <c r="I245" s="66">
        <v>112.3</v>
      </c>
      <c r="J245" s="66">
        <v>154027.31099999999</v>
      </c>
      <c r="K245" s="63">
        <v>18</v>
      </c>
      <c r="L245" s="64">
        <v>3.2000000000000002E-3</v>
      </c>
      <c r="M245" s="64">
        <v>4.5999999999999999E-3</v>
      </c>
      <c r="N245" s="145">
        <v>929160.89</v>
      </c>
      <c r="O245" s="67">
        <f>929160.89*1381.58000016529</f>
        <v>1283710102.5597808</v>
      </c>
      <c r="P245" s="62">
        <f t="shared" si="209"/>
        <v>4.068892104115765E-2</v>
      </c>
      <c r="Q245" s="66">
        <v>112.72</v>
      </c>
      <c r="R245" s="66">
        <f>Q245*1381.58000016529</f>
        <v>155731.69761863147</v>
      </c>
      <c r="S245" s="66">
        <v>112.72</v>
      </c>
      <c r="T245" s="66">
        <f>S245*1381.58000016529</f>
        <v>155731.69761863147</v>
      </c>
      <c r="U245" s="63">
        <v>18</v>
      </c>
      <c r="V245" s="64">
        <v>3.7000000000000002E-3</v>
      </c>
      <c r="W245" s="64">
        <v>8.3000000000000001E-3</v>
      </c>
      <c r="X245" s="156">
        <f t="shared" ref="X245" si="221">((O245-E245)/E245)</f>
        <v>1.0992247576472634E-2</v>
      </c>
      <c r="Y245" s="156">
        <f t="shared" ref="Y245" si="222">((T245-J245)/J245)</f>
        <v>1.1065483176756132E-2</v>
      </c>
      <c r="Z245" s="156">
        <f t="shared" ref="Z245" si="223">((U245-K245)/K245)</f>
        <v>0</v>
      </c>
      <c r="AA245" s="156">
        <f t="shared" ref="AA245" si="224">V245-L245</f>
        <v>5.0000000000000001E-4</v>
      </c>
      <c r="AB245" s="157">
        <f t="shared" ref="AB245" si="225">W245-M245</f>
        <v>3.7000000000000002E-3</v>
      </c>
      <c r="AD245" s="217"/>
      <c r="AE245" s="170"/>
    </row>
    <row r="246" spans="1:33" ht="14.4" customHeight="1">
      <c r="A246" s="206">
        <v>5</v>
      </c>
      <c r="B246" s="55" t="s">
        <v>266</v>
      </c>
      <c r="C246" s="56" t="s">
        <v>49</v>
      </c>
      <c r="D246" s="143" t="s">
        <v>329</v>
      </c>
      <c r="E246" s="67">
        <v>429091215.24000001</v>
      </c>
      <c r="F246" s="62">
        <f t="shared" ref="F246" si="226">(E246/$E$238)</f>
        <v>3.2526336023137236E-3</v>
      </c>
      <c r="G246" s="143" t="s">
        <v>329</v>
      </c>
      <c r="H246" s="66">
        <v>1.4075299999999999</v>
      </c>
      <c r="I246" s="66" t="s">
        <v>329</v>
      </c>
      <c r="J246" s="66">
        <v>1.4075299999999999</v>
      </c>
      <c r="K246" s="63">
        <v>59</v>
      </c>
      <c r="L246" s="64">
        <v>-2.7300000000000001E-2</v>
      </c>
      <c r="M246" s="64">
        <v>0.29039999999999999</v>
      </c>
      <c r="N246" s="143" t="s">
        <v>329</v>
      </c>
      <c r="O246" s="67">
        <v>459523533.70999998</v>
      </c>
      <c r="P246" s="62">
        <f t="shared" si="209"/>
        <v>1.4565217444652161E-2</v>
      </c>
      <c r="Q246" s="143" t="s">
        <v>329</v>
      </c>
      <c r="R246" s="66">
        <v>1.46079</v>
      </c>
      <c r="S246" s="143" t="s">
        <v>329</v>
      </c>
      <c r="T246" s="66">
        <v>1.46079</v>
      </c>
      <c r="U246" s="63">
        <v>59</v>
      </c>
      <c r="V246" s="64">
        <v>1.5100000000000001E-2</v>
      </c>
      <c r="W246" s="64">
        <v>0.37240000000000001</v>
      </c>
      <c r="X246" s="156">
        <f t="shared" ref="X246:X248" si="227">((O246-E246)/E246)</f>
        <v>7.0922725493176353E-2</v>
      </c>
      <c r="Y246" s="156">
        <f t="shared" ref="Y246" si="228">((T246-J246)/J246)</f>
        <v>3.7839335573664569E-2</v>
      </c>
      <c r="Z246" s="156">
        <f t="shared" ref="Z246" si="229">((U246-K246)/K246)</f>
        <v>0</v>
      </c>
      <c r="AA246" s="156">
        <f t="shared" ref="AA246" si="230">V246-L246</f>
        <v>4.24E-2</v>
      </c>
      <c r="AB246" s="157">
        <f t="shared" ref="AB246" si="231">W246-M246</f>
        <v>8.2000000000000017E-2</v>
      </c>
      <c r="AD246" s="218"/>
      <c r="AE246" s="170"/>
    </row>
    <row r="247" spans="1:33" ht="14.4" customHeight="1">
      <c r="A247" s="209">
        <v>6</v>
      </c>
      <c r="B247" s="55" t="s">
        <v>315</v>
      </c>
      <c r="C247" s="56" t="s">
        <v>115</v>
      </c>
      <c r="D247" s="145">
        <v>432459.7</v>
      </c>
      <c r="E247" s="67">
        <v>592552129.32687998</v>
      </c>
      <c r="F247" s="62">
        <v>0</v>
      </c>
      <c r="G247" s="145">
        <v>9.9228000000000005</v>
      </c>
      <c r="H247" s="66">
        <v>13596.125301120001</v>
      </c>
      <c r="I247" s="66">
        <v>9.9228000000000005</v>
      </c>
      <c r="J247" s="66">
        <v>13596.125301120001</v>
      </c>
      <c r="K247" s="63">
        <v>12</v>
      </c>
      <c r="L247" s="64">
        <v>2.5999999999999999E-3</v>
      </c>
      <c r="M247" s="64">
        <v>-7.7000000000000002E-3</v>
      </c>
      <c r="N247" s="145">
        <v>433135.01</v>
      </c>
      <c r="O247" s="67">
        <f>433135.01*C270</f>
        <v>597561765.80970109</v>
      </c>
      <c r="P247" s="62">
        <f t="shared" si="209"/>
        <v>1.8940525168230797E-2</v>
      </c>
      <c r="Q247" s="145">
        <v>9.9382999999999999</v>
      </c>
      <c r="R247" s="66">
        <f>9.9383*C270</f>
        <v>13711.07843983</v>
      </c>
      <c r="S247" s="145">
        <v>9.9382999999999999</v>
      </c>
      <c r="T247" s="66">
        <f>9.9383*C270</f>
        <v>13711.07843983</v>
      </c>
      <c r="U247" s="63">
        <v>13</v>
      </c>
      <c r="V247" s="64">
        <v>1.6000000000000001E-3</v>
      </c>
      <c r="W247" s="64">
        <v>-6.1999999999999998E-3</v>
      </c>
      <c r="X247" s="156">
        <f t="shared" ref="X247" si="232">((O247-E247)/E247)</f>
        <v>8.4543388419039047E-3</v>
      </c>
      <c r="Y247" s="156">
        <f t="shared" ref="Y247" si="233">((T247-J247)/J247)</f>
        <v>8.4548454919380744E-3</v>
      </c>
      <c r="Z247" s="156">
        <f t="shared" ref="Z247" si="234">((U247-K247)/K247)</f>
        <v>8.3333333333333329E-2</v>
      </c>
      <c r="AA247" s="156">
        <f t="shared" ref="AA247" si="235">V247-L247</f>
        <v>-9.999999999999998E-4</v>
      </c>
      <c r="AB247" s="157">
        <f t="shared" ref="AB247" si="236">W247-M247</f>
        <v>1.5000000000000005E-3</v>
      </c>
      <c r="AD247" s="170"/>
      <c r="AE247" s="170"/>
    </row>
    <row r="248" spans="1:33" ht="14.4" customHeight="1">
      <c r="A248" s="165"/>
      <c r="B248" s="115"/>
      <c r="C248" s="115" t="s">
        <v>52</v>
      </c>
      <c r="D248" s="115"/>
      <c r="E248" s="115">
        <f>SUM(E242:E247)</f>
        <v>31376500637.018864</v>
      </c>
      <c r="F248" s="115"/>
      <c r="G248" s="115"/>
      <c r="H248" s="115"/>
      <c r="I248" s="115"/>
      <c r="J248" s="115"/>
      <c r="K248" s="115">
        <f>SUM(K242:K247)</f>
        <v>177</v>
      </c>
      <c r="L248" s="115"/>
      <c r="M248" s="115"/>
      <c r="N248" s="115"/>
      <c r="O248" s="115">
        <f>SUM(O242:O247)</f>
        <v>31549376825.72813</v>
      </c>
      <c r="P248" s="115"/>
      <c r="Q248" s="115"/>
      <c r="R248" s="115"/>
      <c r="S248" s="115"/>
      <c r="T248" s="115"/>
      <c r="U248" s="115">
        <f>SUM(U242:U247)</f>
        <v>177</v>
      </c>
      <c r="V248" s="115"/>
      <c r="W248" s="115"/>
      <c r="X248" s="114">
        <f t="shared" si="227"/>
        <v>5.5097345210416027E-3</v>
      </c>
      <c r="Y248" s="115"/>
      <c r="Z248" s="115"/>
      <c r="AA248" s="115"/>
      <c r="AB248" s="115"/>
      <c r="AD248" s="170"/>
      <c r="AE248" s="170"/>
    </row>
    <row r="249" spans="1:33" ht="6" customHeight="1">
      <c r="B249" s="116"/>
      <c r="C249" s="94"/>
      <c r="D249" s="94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70"/>
      <c r="AD249" s="170"/>
      <c r="AE249" s="170"/>
    </row>
    <row r="250" spans="1:33" ht="15.6">
      <c r="A250" s="162"/>
      <c r="B250" s="221"/>
      <c r="C250" s="221"/>
      <c r="D250" s="221"/>
      <c r="E250" s="221"/>
      <c r="F250" s="221"/>
      <c r="G250" s="221"/>
      <c r="H250" s="221"/>
      <c r="I250" s="221"/>
      <c r="J250" s="221"/>
      <c r="K250" s="221"/>
      <c r="L250" s="221"/>
      <c r="M250" s="221"/>
      <c r="N250" s="221"/>
      <c r="O250" s="221"/>
      <c r="P250" s="221"/>
      <c r="Q250" s="221"/>
      <c r="R250" s="221"/>
      <c r="S250" s="221"/>
      <c r="T250" s="221"/>
      <c r="U250" s="221"/>
      <c r="V250" s="221"/>
      <c r="W250" s="221"/>
      <c r="X250" s="221"/>
      <c r="Y250" s="221"/>
      <c r="Z250" s="221"/>
      <c r="AA250" s="221"/>
      <c r="AB250" s="221"/>
      <c r="AD250" s="170"/>
      <c r="AE250" s="170"/>
    </row>
    <row r="251" spans="1:33">
      <c r="A251" s="206">
        <v>1</v>
      </c>
      <c r="B251" s="55" t="s">
        <v>267</v>
      </c>
      <c r="C251" s="56" t="s">
        <v>268</v>
      </c>
      <c r="D251" s="143" t="s">
        <v>329</v>
      </c>
      <c r="E251" s="67">
        <v>130560032327</v>
      </c>
      <c r="F251" s="62">
        <f>(E251/$E$253)</f>
        <v>0.90771892305254376</v>
      </c>
      <c r="G251" s="143" t="s">
        <v>329</v>
      </c>
      <c r="H251" s="83">
        <v>135</v>
      </c>
      <c r="I251" s="143" t="s">
        <v>329</v>
      </c>
      <c r="J251" s="161">
        <v>135</v>
      </c>
      <c r="K251" s="63">
        <v>7715</v>
      </c>
      <c r="L251" s="64" t="s">
        <v>297</v>
      </c>
      <c r="M251" s="64">
        <v>0.27510000000000001</v>
      </c>
      <c r="N251" s="143" t="s">
        <v>329</v>
      </c>
      <c r="O251" s="67">
        <v>130560032327</v>
      </c>
      <c r="P251" s="62">
        <f>(O251/$O$253)</f>
        <v>0.90743012568645232</v>
      </c>
      <c r="Q251" s="143" t="s">
        <v>329</v>
      </c>
      <c r="R251" s="83">
        <v>148.5</v>
      </c>
      <c r="S251" s="143" t="s">
        <v>329</v>
      </c>
      <c r="T251" s="161">
        <v>148.5</v>
      </c>
      <c r="U251" s="63">
        <v>7972</v>
      </c>
      <c r="V251" s="64" t="s">
        <v>297</v>
      </c>
      <c r="W251" s="64">
        <v>0.4592</v>
      </c>
      <c r="X251" s="156">
        <f>((O251-E251)/E251)</f>
        <v>0</v>
      </c>
      <c r="Y251" s="156">
        <f>((T251-J251)/J251)</f>
        <v>0.1</v>
      </c>
      <c r="Z251" s="156">
        <f>((U251-K251)/K251)</f>
        <v>3.3311730395333763E-2</v>
      </c>
      <c r="AA251" s="156" t="e">
        <f>V251-L251</f>
        <v>#VALUE!</v>
      </c>
      <c r="AB251" s="157">
        <f>W251-M251</f>
        <v>0.18409999999999999</v>
      </c>
      <c r="AD251" s="170"/>
      <c r="AE251" s="170"/>
    </row>
    <row r="252" spans="1:33" ht="14.4" customHeight="1">
      <c r="A252" s="209">
        <v>2</v>
      </c>
      <c r="B252" s="55" t="s">
        <v>269</v>
      </c>
      <c r="C252" s="56" t="s">
        <v>49</v>
      </c>
      <c r="D252" s="143" t="s">
        <v>329</v>
      </c>
      <c r="E252" s="67">
        <v>13273073947.73</v>
      </c>
      <c r="F252" s="62">
        <f>(E252/$E$253)</f>
        <v>9.2281076947456159E-2</v>
      </c>
      <c r="G252" s="143" t="s">
        <v>329</v>
      </c>
      <c r="H252" s="117">
        <v>1000000</v>
      </c>
      <c r="I252" s="143" t="s">
        <v>329</v>
      </c>
      <c r="J252" s="117">
        <v>1000000</v>
      </c>
      <c r="K252" s="63">
        <v>26</v>
      </c>
      <c r="L252" s="64">
        <v>0.1794</v>
      </c>
      <c r="M252" s="64">
        <v>0.1794</v>
      </c>
      <c r="N252" s="143" t="s">
        <v>329</v>
      </c>
      <c r="O252" s="67">
        <v>13318850058.83</v>
      </c>
      <c r="P252" s="62">
        <f>(O252/$O$253)</f>
        <v>9.256987431354774E-2</v>
      </c>
      <c r="Q252" s="143" t="s">
        <v>329</v>
      </c>
      <c r="R252" s="117">
        <v>1000000</v>
      </c>
      <c r="S252" s="143" t="s">
        <v>329</v>
      </c>
      <c r="T252" s="117">
        <v>1000000</v>
      </c>
      <c r="U252" s="63">
        <v>26</v>
      </c>
      <c r="V252" s="64">
        <v>1.8E-3</v>
      </c>
      <c r="W252" s="64">
        <v>0.17979999999999999</v>
      </c>
      <c r="X252" s="156">
        <f>((O252-E252)/E252)</f>
        <v>3.4487950025946438E-3</v>
      </c>
      <c r="Y252" s="156">
        <f>((T252-J252)/J252)</f>
        <v>0</v>
      </c>
      <c r="Z252" s="156">
        <f>((U252-K252)/K252)</f>
        <v>0</v>
      </c>
      <c r="AA252" s="156">
        <f>V252-L252</f>
        <v>-0.17760000000000001</v>
      </c>
      <c r="AB252" s="157">
        <f>W252-M252</f>
        <v>3.999999999999837E-4</v>
      </c>
      <c r="AD252" s="170"/>
      <c r="AE252" s="170"/>
    </row>
    <row r="253" spans="1:33" ht="15" customHeight="1">
      <c r="A253" s="165"/>
      <c r="B253" s="107"/>
      <c r="C253" s="108" t="s">
        <v>270</v>
      </c>
      <c r="D253" s="108"/>
      <c r="E253" s="115">
        <f>SUM(E251:E252)</f>
        <v>143833106274.73001</v>
      </c>
      <c r="F253" s="118"/>
      <c r="G253" s="118"/>
      <c r="H253" s="119"/>
      <c r="I253" s="119"/>
      <c r="J253" s="119"/>
      <c r="K253" s="115">
        <f>SUM(K251:K252)</f>
        <v>7741</v>
      </c>
      <c r="L253" s="120"/>
      <c r="M253" s="120"/>
      <c r="N253" s="120"/>
      <c r="O253" s="115">
        <f>SUM(O251:O252)</f>
        <v>143878882385.82999</v>
      </c>
      <c r="P253" s="118"/>
      <c r="Q253" s="118"/>
      <c r="R253" s="119"/>
      <c r="S253" s="119"/>
      <c r="T253" s="119"/>
      <c r="U253" s="115">
        <f>SUM(U251:U252)</f>
        <v>7998</v>
      </c>
      <c r="V253" s="120"/>
      <c r="W253" s="115"/>
      <c r="X253" s="114">
        <f>((O253-E253)/E253)</f>
        <v>3.1825851701026617E-4</v>
      </c>
      <c r="Y253" s="121"/>
      <c r="Z253" s="121"/>
      <c r="AA253" s="114"/>
      <c r="AB253" s="122"/>
      <c r="AD253" s="170"/>
      <c r="AE253" s="170"/>
    </row>
    <row r="254" spans="1:33" ht="4.5" customHeight="1">
      <c r="B254" s="222"/>
      <c r="C254" s="222"/>
      <c r="D254" s="222"/>
      <c r="E254" s="222"/>
      <c r="F254" s="222"/>
      <c r="G254" s="222"/>
      <c r="H254" s="222"/>
      <c r="I254" s="222"/>
      <c r="J254" s="222"/>
      <c r="K254" s="222"/>
      <c r="L254" s="222"/>
      <c r="M254" s="222"/>
      <c r="N254" s="222"/>
      <c r="O254" s="222"/>
      <c r="P254" s="222"/>
      <c r="Q254" s="222"/>
      <c r="R254" s="222"/>
      <c r="S254" s="222"/>
      <c r="T254" s="222"/>
      <c r="U254" s="222"/>
      <c r="V254" s="222"/>
      <c r="W254" s="222"/>
      <c r="X254" s="222"/>
      <c r="Y254" s="222"/>
      <c r="Z254" s="222"/>
      <c r="AA254" s="222"/>
      <c r="AB254" s="222"/>
      <c r="AD254" s="170"/>
      <c r="AE254" s="170"/>
    </row>
    <row r="255" spans="1:33" ht="15.6">
      <c r="A255" s="162"/>
      <c r="B255" s="221"/>
      <c r="C255" s="221"/>
      <c r="D255" s="221"/>
      <c r="E255" s="221"/>
      <c r="F255" s="221"/>
      <c r="G255" s="221"/>
      <c r="H255" s="221"/>
      <c r="I255" s="221"/>
      <c r="J255" s="221"/>
      <c r="K255" s="221"/>
      <c r="L255" s="221"/>
      <c r="M255" s="221"/>
      <c r="N255" s="221"/>
      <c r="O255" s="221"/>
      <c r="P255" s="221"/>
      <c r="Q255" s="221"/>
      <c r="R255" s="221"/>
      <c r="S255" s="221"/>
      <c r="T255" s="221"/>
      <c r="U255" s="221"/>
      <c r="V255" s="221"/>
      <c r="W255" s="221"/>
      <c r="X255" s="221"/>
      <c r="Y255" s="221"/>
      <c r="Z255" s="221"/>
      <c r="AA255" s="221"/>
      <c r="AB255" s="221"/>
      <c r="AD255" s="117"/>
      <c r="AE255" s="170"/>
      <c r="AF255" s="189"/>
    </row>
    <row r="256" spans="1:33">
      <c r="A256" s="209">
        <v>1</v>
      </c>
      <c r="B256" s="55" t="s">
        <v>271</v>
      </c>
      <c r="C256" s="56" t="s">
        <v>89</v>
      </c>
      <c r="D256" s="143" t="s">
        <v>329</v>
      </c>
      <c r="E256" s="123">
        <v>2215787113.0500002</v>
      </c>
      <c r="F256" s="124">
        <f t="shared" ref="F256:F267" si="237">(E256/$E$268)</f>
        <v>7.548185823167769E-2</v>
      </c>
      <c r="G256" s="143" t="s">
        <v>329</v>
      </c>
      <c r="H256" s="167">
        <v>541.41</v>
      </c>
      <c r="I256" s="143" t="s">
        <v>329</v>
      </c>
      <c r="J256" s="167">
        <v>541.41</v>
      </c>
      <c r="K256" s="125">
        <v>2416</v>
      </c>
      <c r="L256" s="77">
        <v>-6.7000000000000002E-3</v>
      </c>
      <c r="M256" s="77">
        <v>0.53410000000000002</v>
      </c>
      <c r="N256" s="143" t="s">
        <v>329</v>
      </c>
      <c r="O256" s="123">
        <v>2350270875.7399998</v>
      </c>
      <c r="P256" s="124">
        <f t="shared" ref="P256:P267" si="238">(O256/$O$268)</f>
        <v>7.5678172369116115E-2</v>
      </c>
      <c r="Q256" s="143" t="s">
        <v>329</v>
      </c>
      <c r="R256" s="167">
        <v>574.27</v>
      </c>
      <c r="S256" s="143" t="s">
        <v>329</v>
      </c>
      <c r="T256" s="167">
        <v>574.27</v>
      </c>
      <c r="U256" s="125">
        <v>2433</v>
      </c>
      <c r="V256" s="77">
        <v>6.0699999999999997E-2</v>
      </c>
      <c r="W256" s="77">
        <v>0.62719999999999998</v>
      </c>
      <c r="X256" s="156">
        <f>((O256-E256)/E256)</f>
        <v>6.0693449247876771E-2</v>
      </c>
      <c r="Y256" s="156">
        <f>((T256-J256)/J256)</f>
        <v>6.0693374706784167E-2</v>
      </c>
      <c r="Z256" s="156">
        <f>((U256-K256)/K256)</f>
        <v>7.036423841059603E-3</v>
      </c>
      <c r="AA256" s="156">
        <f>V256-L256</f>
        <v>6.7400000000000002E-2</v>
      </c>
      <c r="AB256" s="157">
        <f>W256-M256</f>
        <v>9.3099999999999961E-2</v>
      </c>
      <c r="AD256" s="117"/>
      <c r="AE256" s="170"/>
      <c r="AF256" s="213"/>
    </row>
    <row r="257" spans="1:32">
      <c r="A257" s="206">
        <v>2</v>
      </c>
      <c r="B257" s="55" t="s">
        <v>272</v>
      </c>
      <c r="C257" s="56" t="s">
        <v>238</v>
      </c>
      <c r="D257" s="143" t="s">
        <v>329</v>
      </c>
      <c r="E257" s="123">
        <v>3178764996.5300002</v>
      </c>
      <c r="F257" s="124">
        <f t="shared" si="237"/>
        <v>0.10828616495093885</v>
      </c>
      <c r="G257" s="143" t="s">
        <v>329</v>
      </c>
      <c r="H257" s="117">
        <v>90.41</v>
      </c>
      <c r="I257" s="143" t="s">
        <v>329</v>
      </c>
      <c r="J257" s="117">
        <v>99.93</v>
      </c>
      <c r="K257" s="125">
        <v>3214</v>
      </c>
      <c r="L257" s="77">
        <v>-5.9900000000000002E-2</v>
      </c>
      <c r="M257" s="77">
        <v>0.54190000000000005</v>
      </c>
      <c r="N257" s="143" t="s">
        <v>329</v>
      </c>
      <c r="O257" s="123">
        <v>3523288285.0799999</v>
      </c>
      <c r="P257" s="124">
        <f t="shared" si="238"/>
        <v>0.11344905853050639</v>
      </c>
      <c r="Q257" s="143" t="s">
        <v>329</v>
      </c>
      <c r="R257" s="117">
        <v>100.21</v>
      </c>
      <c r="S257" s="143" t="s">
        <v>329</v>
      </c>
      <c r="T257" s="117">
        <v>110.76</v>
      </c>
      <c r="U257" s="125">
        <v>3214</v>
      </c>
      <c r="V257" s="77">
        <v>0.1084</v>
      </c>
      <c r="W257" s="77">
        <v>0.69199999999999995</v>
      </c>
      <c r="X257" s="156">
        <f t="shared" ref="X257:X268" si="239">((O257-E257)/E257)</f>
        <v>0.10838274893742943</v>
      </c>
      <c r="Y257" s="156">
        <f t="shared" ref="Y257:Y268" si="240">((T257-J257)/J257)</f>
        <v>0.1083758631041729</v>
      </c>
      <c r="Z257" s="156">
        <f t="shared" ref="Z257:Z268" si="241">((U257-K257)/K257)</f>
        <v>0</v>
      </c>
      <c r="AA257" s="156">
        <f t="shared" ref="AA257:AA268" si="242">V257-L257</f>
        <v>0.16830000000000001</v>
      </c>
      <c r="AB257" s="157">
        <f t="shared" ref="AB257:AB268" si="243">W257-M257</f>
        <v>0.1500999999999999</v>
      </c>
      <c r="AD257" s="117"/>
      <c r="AE257" s="170"/>
    </row>
    <row r="258" spans="1:32">
      <c r="A258" s="206">
        <v>3</v>
      </c>
      <c r="B258" s="55" t="s">
        <v>273</v>
      </c>
      <c r="C258" s="56" t="s">
        <v>40</v>
      </c>
      <c r="D258" s="143" t="s">
        <v>329</v>
      </c>
      <c r="E258" s="123">
        <v>812094747.42999995</v>
      </c>
      <c r="F258" s="124">
        <f t="shared" si="237"/>
        <v>2.766439981313229E-2</v>
      </c>
      <c r="G258" s="143" t="s">
        <v>329</v>
      </c>
      <c r="H258" s="117">
        <v>60.08</v>
      </c>
      <c r="I258" s="143" t="s">
        <v>329</v>
      </c>
      <c r="J258" s="117">
        <v>60.49</v>
      </c>
      <c r="K258" s="125">
        <v>1831</v>
      </c>
      <c r="L258" s="77">
        <v>7.9699999999999993E-2</v>
      </c>
      <c r="M258" s="77">
        <v>0.67349999999999999</v>
      </c>
      <c r="N258" s="143" t="s">
        <v>329</v>
      </c>
      <c r="O258" s="123">
        <v>836841227.13</v>
      </c>
      <c r="P258" s="124">
        <f t="shared" si="238"/>
        <v>2.6946091740334691E-2</v>
      </c>
      <c r="Q258" s="143" t="s">
        <v>329</v>
      </c>
      <c r="R258" s="117">
        <v>61.98</v>
      </c>
      <c r="S258" s="143" t="s">
        <v>329</v>
      </c>
      <c r="T258" s="117">
        <v>62.19</v>
      </c>
      <c r="U258" s="125">
        <v>1831</v>
      </c>
      <c r="V258" s="77">
        <v>3.0499999999999999E-2</v>
      </c>
      <c r="W258" s="77">
        <v>0.52449999999999997</v>
      </c>
      <c r="X258" s="156">
        <f t="shared" si="239"/>
        <v>3.0472404578793459E-2</v>
      </c>
      <c r="Y258" s="156">
        <f t="shared" si="240"/>
        <v>2.8103818813026874E-2</v>
      </c>
      <c r="Z258" s="156">
        <f t="shared" si="241"/>
        <v>0</v>
      </c>
      <c r="AA258" s="156">
        <f t="shared" si="242"/>
        <v>-4.9199999999999994E-2</v>
      </c>
      <c r="AB258" s="157">
        <f t="shared" si="243"/>
        <v>-0.14900000000000002</v>
      </c>
      <c r="AD258" s="217"/>
      <c r="AE258" s="170"/>
    </row>
    <row r="259" spans="1:32">
      <c r="A259" s="206">
        <v>4</v>
      </c>
      <c r="B259" s="55" t="s">
        <v>274</v>
      </c>
      <c r="C259" s="56" t="s">
        <v>40</v>
      </c>
      <c r="D259" s="143" t="s">
        <v>329</v>
      </c>
      <c r="E259" s="123">
        <v>1471134013.6700001</v>
      </c>
      <c r="F259" s="124">
        <f t="shared" si="237"/>
        <v>5.0114890733698472E-2</v>
      </c>
      <c r="G259" s="143" t="s">
        <v>329</v>
      </c>
      <c r="H259" s="117">
        <v>124.85</v>
      </c>
      <c r="I259" s="143" t="s">
        <v>329</v>
      </c>
      <c r="J259" s="117">
        <v>125.68</v>
      </c>
      <c r="K259" s="125">
        <v>1469</v>
      </c>
      <c r="L259" s="77">
        <v>-1.46E-2</v>
      </c>
      <c r="M259" s="77">
        <v>0.49959999999999999</v>
      </c>
      <c r="N259" s="143" t="s">
        <v>329</v>
      </c>
      <c r="O259" s="123">
        <v>1421389581.5</v>
      </c>
      <c r="P259" s="124">
        <f t="shared" si="238"/>
        <v>4.5768411999980302E-2</v>
      </c>
      <c r="Q259" s="143" t="s">
        <v>329</v>
      </c>
      <c r="R259" s="117">
        <v>120.7</v>
      </c>
      <c r="S259" s="143" t="s">
        <v>329</v>
      </c>
      <c r="T259" s="117">
        <v>121.11</v>
      </c>
      <c r="U259" s="125">
        <v>1469</v>
      </c>
      <c r="V259" s="77">
        <v>-3.3799999999999997E-2</v>
      </c>
      <c r="W259" s="77">
        <v>0.44890000000000002</v>
      </c>
      <c r="X259" s="156">
        <f t="shared" si="239"/>
        <v>-3.3813664634062754E-2</v>
      </c>
      <c r="Y259" s="156">
        <f t="shared" si="240"/>
        <v>-3.6362189688096812E-2</v>
      </c>
      <c r="Z259" s="156">
        <f t="shared" si="241"/>
        <v>0</v>
      </c>
      <c r="AA259" s="156">
        <f t="shared" si="242"/>
        <v>-1.9199999999999995E-2</v>
      </c>
      <c r="AB259" s="157">
        <f t="shared" si="243"/>
        <v>-5.0699999999999967E-2</v>
      </c>
      <c r="AD259" s="170"/>
      <c r="AE259" s="170"/>
    </row>
    <row r="260" spans="1:32">
      <c r="A260" s="206">
        <v>5</v>
      </c>
      <c r="B260" s="55" t="s">
        <v>275</v>
      </c>
      <c r="C260" s="56" t="s">
        <v>276</v>
      </c>
      <c r="D260" s="143" t="s">
        <v>329</v>
      </c>
      <c r="E260" s="123">
        <v>1857363645.74</v>
      </c>
      <c r="F260" s="124">
        <f t="shared" si="237"/>
        <v>6.3271989699154416E-2</v>
      </c>
      <c r="G260" s="143" t="s">
        <v>329</v>
      </c>
      <c r="H260" s="117">
        <v>51210</v>
      </c>
      <c r="I260" s="143" t="s">
        <v>329</v>
      </c>
      <c r="J260" s="117">
        <v>56150</v>
      </c>
      <c r="K260" s="125">
        <v>1022</v>
      </c>
      <c r="L260" s="77">
        <v>1.4999999999999999E-2</v>
      </c>
      <c r="M260" s="77">
        <v>-0.1</v>
      </c>
      <c r="N260" s="143" t="s">
        <v>329</v>
      </c>
      <c r="O260" s="123">
        <v>1840363125.01</v>
      </c>
      <c r="P260" s="124">
        <f t="shared" si="238"/>
        <v>5.9259262085022482E-2</v>
      </c>
      <c r="Q260" s="143" t="s">
        <v>329</v>
      </c>
      <c r="R260" s="117">
        <v>49840</v>
      </c>
      <c r="S260" s="143" t="s">
        <v>329</v>
      </c>
      <c r="T260" s="117">
        <v>54900</v>
      </c>
      <c r="U260" s="125">
        <v>1022</v>
      </c>
      <c r="V260" s="77">
        <v>-8.9999999999999993E-3</v>
      </c>
      <c r="W260" s="77">
        <v>-0.11</v>
      </c>
      <c r="X260" s="156">
        <f t="shared" si="239"/>
        <v>-9.1530383772676725E-3</v>
      </c>
      <c r="Y260" s="156">
        <f t="shared" si="240"/>
        <v>-2.2261798753339269E-2</v>
      </c>
      <c r="Z260" s="156">
        <f t="shared" si="241"/>
        <v>0</v>
      </c>
      <c r="AA260" s="156">
        <f t="shared" si="242"/>
        <v>-2.4E-2</v>
      </c>
      <c r="AB260" s="157">
        <f t="shared" si="243"/>
        <v>-9.999999999999995E-3</v>
      </c>
      <c r="AD260" s="170"/>
      <c r="AE260" s="170"/>
    </row>
    <row r="261" spans="1:32">
      <c r="A261" s="206">
        <v>6</v>
      </c>
      <c r="B261" s="55" t="s">
        <v>277</v>
      </c>
      <c r="C261" s="56" t="s">
        <v>278</v>
      </c>
      <c r="D261" s="143" t="s">
        <v>329</v>
      </c>
      <c r="E261" s="123">
        <v>1552902971.1199999</v>
      </c>
      <c r="F261" s="124">
        <f t="shared" si="237"/>
        <v>5.2900389763655908E-2</v>
      </c>
      <c r="G261" s="143" t="s">
        <v>329</v>
      </c>
      <c r="H261" s="117">
        <v>3028.8</v>
      </c>
      <c r="I261" s="143" t="s">
        <v>329</v>
      </c>
      <c r="J261" s="117">
        <v>3028.8</v>
      </c>
      <c r="K261" s="125">
        <v>1756</v>
      </c>
      <c r="L261" s="77">
        <v>-2.12E-2</v>
      </c>
      <c r="M261" s="77">
        <v>0.49270000000000003</v>
      </c>
      <c r="N261" s="143" t="s">
        <v>329</v>
      </c>
      <c r="O261" s="123">
        <v>1687642250.8</v>
      </c>
      <c r="P261" s="124">
        <f t="shared" si="238"/>
        <v>5.4341685663458962E-2</v>
      </c>
      <c r="Q261" s="143" t="s">
        <v>329</v>
      </c>
      <c r="R261" s="117">
        <v>3292</v>
      </c>
      <c r="S261" s="143" t="s">
        <v>329</v>
      </c>
      <c r="T261" s="117">
        <v>3292</v>
      </c>
      <c r="U261" s="125">
        <v>1756</v>
      </c>
      <c r="V261" s="77">
        <v>6.3299999999999995E-2</v>
      </c>
      <c r="W261" s="77">
        <v>0.58720000000000006</v>
      </c>
      <c r="X261" s="156">
        <f t="shared" si="239"/>
        <v>8.6766064709646401E-2</v>
      </c>
      <c r="Y261" s="156">
        <f t="shared" si="240"/>
        <v>8.6899101954569402E-2</v>
      </c>
      <c r="Z261" s="156">
        <f t="shared" si="241"/>
        <v>0</v>
      </c>
      <c r="AA261" s="156">
        <f t="shared" si="242"/>
        <v>8.4499999999999992E-2</v>
      </c>
      <c r="AB261" s="157">
        <f t="shared" si="243"/>
        <v>9.4500000000000028E-2</v>
      </c>
      <c r="AD261" s="170"/>
      <c r="AE261" s="170"/>
    </row>
    <row r="262" spans="1:32">
      <c r="A262" s="206">
        <v>7</v>
      </c>
      <c r="B262" s="55" t="s">
        <v>279</v>
      </c>
      <c r="C262" s="56" t="s">
        <v>278</v>
      </c>
      <c r="D262" s="143" t="s">
        <v>329</v>
      </c>
      <c r="E262" s="123">
        <v>1728297663.9000001</v>
      </c>
      <c r="F262" s="124">
        <f t="shared" si="237"/>
        <v>5.8875294688879157E-2</v>
      </c>
      <c r="G262" s="143" t="s">
        <v>329</v>
      </c>
      <c r="H262" s="117">
        <v>2875.5</v>
      </c>
      <c r="I262" s="143" t="s">
        <v>329</v>
      </c>
      <c r="J262" s="117">
        <v>2875.5</v>
      </c>
      <c r="K262" s="125">
        <v>8838</v>
      </c>
      <c r="L262" s="77">
        <v>-8.6E-3</v>
      </c>
      <c r="M262" s="77">
        <v>0.45669999999999999</v>
      </c>
      <c r="N262" s="143" t="s">
        <v>329</v>
      </c>
      <c r="O262" s="123">
        <v>1860511374.9000001</v>
      </c>
      <c r="P262" s="124">
        <f t="shared" si="238"/>
        <v>5.9908031017935959E-2</v>
      </c>
      <c r="Q262" s="143" t="s">
        <v>329</v>
      </c>
      <c r="R262" s="117">
        <v>2363.7600000000002</v>
      </c>
      <c r="S262" s="143" t="s">
        <v>329</v>
      </c>
      <c r="T262" s="117">
        <v>2363.7600000000002</v>
      </c>
      <c r="U262" s="125">
        <v>8838</v>
      </c>
      <c r="V262" s="77">
        <v>6.4100000000000004E-2</v>
      </c>
      <c r="W262" s="77">
        <v>0.55000000000000004</v>
      </c>
      <c r="X262" s="156">
        <f t="shared" si="239"/>
        <v>7.6499386512883655E-2</v>
      </c>
      <c r="Y262" s="156">
        <f t="shared" si="240"/>
        <v>-0.17796557120500775</v>
      </c>
      <c r="Z262" s="156">
        <f t="shared" si="241"/>
        <v>0</v>
      </c>
      <c r="AA262" s="156">
        <f t="shared" si="242"/>
        <v>7.2700000000000001E-2</v>
      </c>
      <c r="AB262" s="157">
        <f t="shared" si="243"/>
        <v>9.330000000000005E-2</v>
      </c>
      <c r="AD262" s="117"/>
      <c r="AE262" s="170"/>
      <c r="AF262" s="182"/>
    </row>
    <row r="263" spans="1:32">
      <c r="A263" s="206">
        <v>8</v>
      </c>
      <c r="B263" s="55" t="s">
        <v>280</v>
      </c>
      <c r="C263" s="56" t="s">
        <v>281</v>
      </c>
      <c r="D263" s="143" t="s">
        <v>329</v>
      </c>
      <c r="E263" s="123">
        <v>692356159.54999995</v>
      </c>
      <c r="F263" s="124">
        <f t="shared" si="237"/>
        <v>2.3585446983237619E-2</v>
      </c>
      <c r="G263" s="143" t="s">
        <v>329</v>
      </c>
      <c r="H263" s="117">
        <v>45.46</v>
      </c>
      <c r="I263" s="143" t="s">
        <v>329</v>
      </c>
      <c r="J263" s="117">
        <v>45.56</v>
      </c>
      <c r="K263" s="125">
        <v>4526</v>
      </c>
      <c r="L263" s="77">
        <v>-3.4099999999999998E-2</v>
      </c>
      <c r="M263" s="77">
        <v>0.40770000000000001</v>
      </c>
      <c r="N263" s="143" t="s">
        <v>329</v>
      </c>
      <c r="O263" s="123">
        <v>713220714.74000001</v>
      </c>
      <c r="P263" s="124">
        <f t="shared" si="238"/>
        <v>2.2965540161545599E-2</v>
      </c>
      <c r="Q263" s="143" t="s">
        <v>329</v>
      </c>
      <c r="R263" s="117">
        <v>46.87</v>
      </c>
      <c r="S263" s="143" t="s">
        <v>329</v>
      </c>
      <c r="T263" s="117">
        <v>46.97</v>
      </c>
      <c r="U263" s="125">
        <v>4563</v>
      </c>
      <c r="V263" s="77">
        <v>-7.3000000000000001E-3</v>
      </c>
      <c r="W263" s="77">
        <v>0.39739999999999998</v>
      </c>
      <c r="X263" s="156">
        <f t="shared" si="239"/>
        <v>3.0135581091040007E-2</v>
      </c>
      <c r="Y263" s="156">
        <f t="shared" si="240"/>
        <v>3.094820017559255E-2</v>
      </c>
      <c r="Z263" s="156">
        <f t="shared" si="241"/>
        <v>8.1749889527176316E-3</v>
      </c>
      <c r="AA263" s="156">
        <f t="shared" si="242"/>
        <v>2.6799999999999997E-2</v>
      </c>
      <c r="AB263" s="157">
        <f t="shared" si="243"/>
        <v>-1.0300000000000031E-2</v>
      </c>
      <c r="AD263" s="117"/>
      <c r="AE263" s="170"/>
      <c r="AF263" s="182"/>
    </row>
    <row r="264" spans="1:32">
      <c r="A264" s="206">
        <v>9</v>
      </c>
      <c r="B264" s="55" t="s">
        <v>282</v>
      </c>
      <c r="C264" s="56" t="s">
        <v>281</v>
      </c>
      <c r="D264" s="143" t="s">
        <v>329</v>
      </c>
      <c r="E264" s="126">
        <v>1807059789.1900001</v>
      </c>
      <c r="F264" s="124">
        <f t="shared" si="237"/>
        <v>6.1558364529005649E-2</v>
      </c>
      <c r="G264" s="143" t="s">
        <v>329</v>
      </c>
      <c r="H264" s="117">
        <v>20.46</v>
      </c>
      <c r="I264" s="143" t="s">
        <v>329</v>
      </c>
      <c r="J264" s="117">
        <v>20.56</v>
      </c>
      <c r="K264" s="125">
        <v>5485</v>
      </c>
      <c r="L264" s="77">
        <v>2.1100000000000001E-2</v>
      </c>
      <c r="M264" s="77">
        <v>0.32129999999999997</v>
      </c>
      <c r="N264" s="143" t="s">
        <v>329</v>
      </c>
      <c r="O264" s="126">
        <v>1886186138.25</v>
      </c>
      <c r="P264" s="124">
        <f t="shared" si="238"/>
        <v>6.0734752391371598E-2</v>
      </c>
      <c r="Q264" s="143" t="s">
        <v>329</v>
      </c>
      <c r="R264" s="117">
        <v>21.44</v>
      </c>
      <c r="S264" s="143" t="s">
        <v>329</v>
      </c>
      <c r="T264" s="117">
        <v>21.54</v>
      </c>
      <c r="U264" s="125">
        <v>5710</v>
      </c>
      <c r="V264" s="77">
        <v>7.8899999999999998E-2</v>
      </c>
      <c r="W264" s="77">
        <v>0.38429999999999997</v>
      </c>
      <c r="X264" s="156">
        <f t="shared" si="239"/>
        <v>4.378734424469026E-2</v>
      </c>
      <c r="Y264" s="156">
        <f t="shared" si="240"/>
        <v>4.7665369649805472E-2</v>
      </c>
      <c r="Z264" s="156">
        <f t="shared" si="241"/>
        <v>4.1020966271649952E-2</v>
      </c>
      <c r="AA264" s="156">
        <f t="shared" si="242"/>
        <v>5.7799999999999997E-2</v>
      </c>
      <c r="AB264" s="157">
        <f t="shared" si="243"/>
        <v>6.3E-2</v>
      </c>
      <c r="AD264" s="219"/>
      <c r="AE264" s="217"/>
      <c r="AF264" s="182"/>
    </row>
    <row r="265" spans="1:32" ht="15" customHeight="1">
      <c r="A265" s="206">
        <v>10</v>
      </c>
      <c r="B265" s="55" t="s">
        <v>283</v>
      </c>
      <c r="C265" s="56" t="s">
        <v>281</v>
      </c>
      <c r="D265" s="143" t="s">
        <v>329</v>
      </c>
      <c r="E265" s="123">
        <v>416976405.06999999</v>
      </c>
      <c r="F265" s="124">
        <f t="shared" si="237"/>
        <v>1.4204502638398604E-2</v>
      </c>
      <c r="G265" s="143" t="s">
        <v>329</v>
      </c>
      <c r="H265" s="117">
        <v>139.22</v>
      </c>
      <c r="I265" s="143" t="s">
        <v>329</v>
      </c>
      <c r="J265" s="117">
        <v>141.22</v>
      </c>
      <c r="K265" s="125">
        <v>2484</v>
      </c>
      <c r="L265" s="77">
        <v>-0.20200000000000001</v>
      </c>
      <c r="M265" s="77">
        <v>8.5500000000000007E-2</v>
      </c>
      <c r="N265" s="143" t="s">
        <v>329</v>
      </c>
      <c r="O265" s="123">
        <v>420752624.07999998</v>
      </c>
      <c r="P265" s="124">
        <f t="shared" si="238"/>
        <v>1.3548136063192518E-2</v>
      </c>
      <c r="Q265" s="143" t="s">
        <v>329</v>
      </c>
      <c r="R265" s="117">
        <v>140.49</v>
      </c>
      <c r="S265" s="143" t="s">
        <v>329</v>
      </c>
      <c r="T265" s="117">
        <v>142.49</v>
      </c>
      <c r="U265" s="125">
        <v>2503</v>
      </c>
      <c r="V265" s="77">
        <v>7.1900000000000006E-2</v>
      </c>
      <c r="W265" s="77">
        <v>0.16350000000000001</v>
      </c>
      <c r="X265" s="156">
        <f t="shared" si="239"/>
        <v>9.0561935018027145E-3</v>
      </c>
      <c r="Y265" s="156">
        <f t="shared" si="240"/>
        <v>8.9930604730208905E-3</v>
      </c>
      <c r="Z265" s="156">
        <f t="shared" si="241"/>
        <v>7.6489533011272143E-3</v>
      </c>
      <c r="AA265" s="156">
        <f t="shared" si="242"/>
        <v>0.27390000000000003</v>
      </c>
      <c r="AB265" s="157">
        <f t="shared" si="243"/>
        <v>7.8E-2</v>
      </c>
      <c r="AD265" s="220"/>
      <c r="AE265" s="219"/>
      <c r="AF265" s="183"/>
    </row>
    <row r="266" spans="1:32">
      <c r="A266" s="209">
        <v>11</v>
      </c>
      <c r="B266" s="55" t="s">
        <v>284</v>
      </c>
      <c r="C266" s="56" t="s">
        <v>281</v>
      </c>
      <c r="D266" s="143" t="s">
        <v>329</v>
      </c>
      <c r="E266" s="123">
        <v>13050097881.139999</v>
      </c>
      <c r="F266" s="124">
        <f t="shared" si="237"/>
        <v>0.44455788752098357</v>
      </c>
      <c r="G266" s="143" t="s">
        <v>329</v>
      </c>
      <c r="H266" s="117">
        <v>83.44</v>
      </c>
      <c r="I266" s="143" t="s">
        <v>329</v>
      </c>
      <c r="J266" s="117">
        <v>83.64</v>
      </c>
      <c r="K266" s="125">
        <v>7561</v>
      </c>
      <c r="L266" s="77">
        <v>9.0499999999999997E-2</v>
      </c>
      <c r="M266" s="77">
        <v>0.4556</v>
      </c>
      <c r="N266" s="143" t="s">
        <v>329</v>
      </c>
      <c r="O266" s="123">
        <v>13890767955.290001</v>
      </c>
      <c r="P266" s="124">
        <f t="shared" si="238"/>
        <v>0.44727947851068212</v>
      </c>
      <c r="Q266" s="143" t="s">
        <v>329</v>
      </c>
      <c r="R266" s="117">
        <v>88.99</v>
      </c>
      <c r="S266" s="143" t="s">
        <v>329</v>
      </c>
      <c r="T266" s="117">
        <v>89.19</v>
      </c>
      <c r="U266" s="125">
        <v>7671</v>
      </c>
      <c r="V266" s="77">
        <v>-7.4000000000000003E-3</v>
      </c>
      <c r="W266" s="77">
        <v>0.55220000000000002</v>
      </c>
      <c r="X266" s="156">
        <f t="shared" si="239"/>
        <v>6.4418679599709205E-2</v>
      </c>
      <c r="Y266" s="156">
        <f t="shared" si="240"/>
        <v>6.6355810616929661E-2</v>
      </c>
      <c r="Z266" s="156">
        <f t="shared" si="241"/>
        <v>1.4548340166644623E-2</v>
      </c>
      <c r="AA266" s="156">
        <f t="shared" si="242"/>
        <v>-9.7900000000000001E-2</v>
      </c>
      <c r="AB266" s="157">
        <f t="shared" si="243"/>
        <v>9.6600000000000019E-2</v>
      </c>
      <c r="AD266" s="117"/>
      <c r="AE266" s="219"/>
      <c r="AF266" s="182"/>
    </row>
    <row r="267" spans="1:32">
      <c r="A267" s="209">
        <v>12</v>
      </c>
      <c r="B267" s="55" t="s">
        <v>285</v>
      </c>
      <c r="C267" s="56" t="s">
        <v>281</v>
      </c>
      <c r="D267" s="143" t="s">
        <v>329</v>
      </c>
      <c r="E267" s="126">
        <v>572392014.73000002</v>
      </c>
      <c r="F267" s="124">
        <f t="shared" si="237"/>
        <v>1.9498810447237801E-2</v>
      </c>
      <c r="G267" s="143" t="s">
        <v>329</v>
      </c>
      <c r="H267" s="117">
        <v>96.88</v>
      </c>
      <c r="I267" s="143" t="s">
        <v>329</v>
      </c>
      <c r="J267" s="117">
        <v>97.08</v>
      </c>
      <c r="K267" s="125">
        <v>3865</v>
      </c>
      <c r="L267" s="77">
        <v>-5.0900000000000001E-2</v>
      </c>
      <c r="M267" s="77">
        <v>0.70709999999999995</v>
      </c>
      <c r="N267" s="143" t="s">
        <v>329</v>
      </c>
      <c r="O267" s="126">
        <v>624892101.12</v>
      </c>
      <c r="P267" s="124">
        <f t="shared" si="238"/>
        <v>2.0121379466853447E-2</v>
      </c>
      <c r="Q267" s="143" t="s">
        <v>329</v>
      </c>
      <c r="R267" s="117">
        <v>107.03</v>
      </c>
      <c r="S267" s="143" t="s">
        <v>329</v>
      </c>
      <c r="T267" s="117">
        <v>107.23</v>
      </c>
      <c r="U267" s="125">
        <v>3968</v>
      </c>
      <c r="V267" s="77">
        <v>8.1199999999999994E-2</v>
      </c>
      <c r="W267" s="77">
        <v>0.88549999999999995</v>
      </c>
      <c r="X267" s="156">
        <f t="shared" si="239"/>
        <v>9.1720508041616411E-2</v>
      </c>
      <c r="Y267" s="156">
        <f t="shared" si="240"/>
        <v>0.10455294602389788</v>
      </c>
      <c r="Z267" s="156">
        <f t="shared" si="241"/>
        <v>2.6649417852522637E-2</v>
      </c>
      <c r="AA267" s="156">
        <f t="shared" si="242"/>
        <v>0.1321</v>
      </c>
      <c r="AB267" s="157">
        <f t="shared" si="243"/>
        <v>0.1784</v>
      </c>
      <c r="AD267" s="117"/>
      <c r="AE267" s="217"/>
      <c r="AF267" s="183"/>
    </row>
    <row r="268" spans="1:32">
      <c r="A268" s="127"/>
      <c r="B268" s="127"/>
      <c r="C268" s="128" t="s">
        <v>286</v>
      </c>
      <c r="D268" s="149"/>
      <c r="E268" s="115">
        <f>SUM(E256:E267)</f>
        <v>29355227401.119999</v>
      </c>
      <c r="F268" s="118"/>
      <c r="G268" s="118"/>
      <c r="H268" s="118"/>
      <c r="I268" s="118"/>
      <c r="J268" s="119"/>
      <c r="K268" s="115">
        <f>SUM(K256:K267)</f>
        <v>44467</v>
      </c>
      <c r="L268" s="120"/>
      <c r="M268" s="120"/>
      <c r="N268" s="120"/>
      <c r="O268" s="115">
        <f>SUM(O256:O267)</f>
        <v>31056126253.639996</v>
      </c>
      <c r="P268" s="118"/>
      <c r="Q268" s="118"/>
      <c r="R268" s="118"/>
      <c r="S268" s="118"/>
      <c r="T268" s="119"/>
      <c r="U268" s="115">
        <f>SUM(U256:U267)</f>
        <v>44978</v>
      </c>
      <c r="V268" s="120"/>
      <c r="W268" s="120"/>
      <c r="X268" s="156">
        <f t="shared" si="239"/>
        <v>5.7941940945587828E-2</v>
      </c>
      <c r="Y268" s="156" t="e">
        <f t="shared" si="240"/>
        <v>#DIV/0!</v>
      </c>
      <c r="Z268" s="156">
        <f t="shared" si="241"/>
        <v>1.1491667978500911E-2</v>
      </c>
      <c r="AA268" s="156">
        <f t="shared" si="242"/>
        <v>0</v>
      </c>
      <c r="AB268" s="157">
        <f t="shared" si="243"/>
        <v>0</v>
      </c>
      <c r="AF268" s="23"/>
    </row>
    <row r="269" spans="1:32">
      <c r="A269" s="129"/>
      <c r="B269" s="129"/>
      <c r="C269" s="130" t="s">
        <v>287</v>
      </c>
      <c r="D269" s="148"/>
      <c r="E269" s="131">
        <f>SUM(E239,E248,E253,E268)</f>
        <v>9343674856266.7813</v>
      </c>
      <c r="F269" s="132"/>
      <c r="G269" s="132"/>
      <c r="H269" s="132"/>
      <c r="I269" s="132"/>
      <c r="J269" s="133"/>
      <c r="K269" s="131">
        <f>SUM(K239,K248,K253,K268)</f>
        <v>1490120</v>
      </c>
      <c r="L269" s="134"/>
      <c r="M269" s="134"/>
      <c r="N269" s="134"/>
      <c r="O269" s="131">
        <f>SUM(O239,O248,O253,O268)</f>
        <v>9499477304090.4121</v>
      </c>
      <c r="P269" s="132"/>
      <c r="Q269" s="132"/>
      <c r="R269" s="132"/>
      <c r="S269" s="132"/>
      <c r="T269" s="131"/>
      <c r="U269" s="131">
        <f>SUM(U239,U248,U253,U268)</f>
        <v>1504873</v>
      </c>
      <c r="V269" s="135"/>
      <c r="W269" s="131"/>
      <c r="X269" s="136"/>
      <c r="Y269" s="137"/>
      <c r="Z269" s="137"/>
      <c r="AA269" s="138"/>
      <c r="AB269" s="138"/>
      <c r="AF269" s="23"/>
    </row>
    <row r="270" spans="1:32">
      <c r="A270" s="139"/>
      <c r="B270" s="139" t="s">
        <v>345</v>
      </c>
      <c r="C270" s="147">
        <v>1379.6201000000001</v>
      </c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  <c r="AA270" s="140"/>
      <c r="AB270" s="140"/>
    </row>
    <row r="271" spans="1:32">
      <c r="B271" s="31"/>
    </row>
    <row r="272" spans="1:32">
      <c r="B272" s="31"/>
      <c r="D272" s="32"/>
      <c r="E272" s="33"/>
      <c r="O272" s="33"/>
    </row>
    <row r="273" spans="2:15" ht="15">
      <c r="B273" s="34"/>
      <c r="C273" s="35"/>
      <c r="D273" s="35"/>
      <c r="E273" s="36"/>
      <c r="H273" s="37"/>
      <c r="I273" s="37"/>
      <c r="J273" s="37"/>
      <c r="L273" s="38"/>
      <c r="M273" s="39"/>
      <c r="N273" s="39"/>
    </row>
    <row r="274" spans="2:15">
      <c r="C274" s="31"/>
      <c r="D274" s="31"/>
    </row>
    <row r="275" spans="2:15">
      <c r="O275" s="30"/>
    </row>
    <row r="276" spans="2:15">
      <c r="B276" s="32"/>
    </row>
    <row r="277" spans="2:15">
      <c r="O277" s="40"/>
    </row>
  </sheetData>
  <sheetProtection algorithmName="SHA-512" hashValue="nJ13KyE5VnSeENjs/lx+iyDgBVZPzXKxVTtFY7/mpTBlQveO+iMbgyZKHmE9frjArCHCJYPk43MULteacjPVgQ==" saltValue="fjLeOv9CwXtfPwh0k08lqg==" spinCount="100000" sheet="1" objects="1" scenarios="1"/>
  <mergeCells count="34">
    <mergeCell ref="A1:AB1"/>
    <mergeCell ref="D2:M2"/>
    <mergeCell ref="N2:W2"/>
    <mergeCell ref="X2:Z2"/>
    <mergeCell ref="AA2:AB2"/>
    <mergeCell ref="B4:AB4"/>
    <mergeCell ref="B5:AB5"/>
    <mergeCell ref="B28:AB28"/>
    <mergeCell ref="B29:AB29"/>
    <mergeCell ref="B78:AB78"/>
    <mergeCell ref="B79:AB79"/>
    <mergeCell ref="B119:AB119"/>
    <mergeCell ref="B120:AB120"/>
    <mergeCell ref="B121:AB121"/>
    <mergeCell ref="B140:AB140"/>
    <mergeCell ref="B141:AB141"/>
    <mergeCell ref="B163:AB163"/>
    <mergeCell ref="B164:AB164"/>
    <mergeCell ref="B172:AB172"/>
    <mergeCell ref="B173:AB173"/>
    <mergeCell ref="B205:AB205"/>
    <mergeCell ref="B206:AB206"/>
    <mergeCell ref="B211:AB211"/>
    <mergeCell ref="B212:AB212"/>
    <mergeCell ref="B213:AB213"/>
    <mergeCell ref="B241:AB241"/>
    <mergeCell ref="B250:AB250"/>
    <mergeCell ref="B254:AB254"/>
    <mergeCell ref="B255:AB255"/>
    <mergeCell ref="B216:AB216"/>
    <mergeCell ref="B217:AB217"/>
    <mergeCell ref="B232:AB232"/>
    <mergeCell ref="B233:AB233"/>
    <mergeCell ref="B240:AA240"/>
  </mergeCells>
  <pageMargins left="0.7" right="0.7" top="0.75" bottom="0.75" header="0.3" footer="0.3"/>
  <pageSetup paperSize="9" orientation="portrait" horizontalDpi="300" verticalDpi="300" r:id="rId1"/>
  <ignoredErrors>
    <ignoredError sqref="F104 F84 P55 P38 F38 P147 F147" formula="1"/>
    <ignoredError sqref="Y171 Y27 Y77 Y118 Y162 Y204 Y210 Y238 Y268 Z251:Z252 X56:Z56 X147 X134:Z134 X51:Z5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44"/>
  <sheetViews>
    <sheetView workbookViewId="0">
      <selection activeCell="D9" sqref="D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203"/>
      <c r="B1" s="203"/>
      <c r="C1" s="203"/>
      <c r="D1" s="240"/>
      <c r="E1" s="15"/>
      <c r="F1" s="20"/>
      <c r="G1" s="15"/>
      <c r="H1" s="20"/>
    </row>
    <row r="2" spans="1:8" ht="27.6">
      <c r="A2" s="173" t="s">
        <v>288</v>
      </c>
      <c r="B2" s="196" t="s">
        <v>342</v>
      </c>
      <c r="C2" s="196" t="s">
        <v>348</v>
      </c>
      <c r="D2" s="242"/>
      <c r="E2" s="15"/>
      <c r="F2" s="20"/>
      <c r="G2" s="15"/>
      <c r="H2" s="20"/>
    </row>
    <row r="3" spans="1:8">
      <c r="A3" s="174" t="s">
        <v>17</v>
      </c>
      <c r="B3" s="197">
        <f t="shared" ref="B3:C10" si="0">B13</f>
        <v>219.90676230828188</v>
      </c>
      <c r="C3" s="197">
        <f t="shared" si="0"/>
        <v>233.6249986943202</v>
      </c>
      <c r="D3" s="242"/>
      <c r="E3" s="15"/>
      <c r="F3" s="20"/>
      <c r="G3" s="15"/>
      <c r="H3" s="20"/>
    </row>
    <row r="4" spans="1:8" ht="15.6" customHeight="1">
      <c r="A4" s="173" t="s">
        <v>53</v>
      </c>
      <c r="B4" s="198">
        <f t="shared" si="0"/>
        <v>6078.8707366338913</v>
      </c>
      <c r="C4" s="198">
        <f t="shared" si="0"/>
        <v>6164.1797264145689</v>
      </c>
      <c r="D4" s="242"/>
      <c r="E4" s="15"/>
      <c r="F4" s="20"/>
      <c r="G4" s="15"/>
      <c r="H4" s="20"/>
    </row>
    <row r="5" spans="1:8" ht="16.2" customHeight="1">
      <c r="A5" s="173" t="s">
        <v>289</v>
      </c>
      <c r="B5" s="197">
        <f t="shared" si="0"/>
        <v>224.77820568713</v>
      </c>
      <c r="C5" s="197">
        <f t="shared" si="0"/>
        <v>235.47056679778436</v>
      </c>
      <c r="D5" s="242"/>
      <c r="E5" s="15"/>
      <c r="F5" s="20"/>
      <c r="G5" s="15"/>
      <c r="H5" s="20"/>
    </row>
    <row r="6" spans="1:8">
      <c r="A6" s="173" t="s">
        <v>164</v>
      </c>
      <c r="B6" s="198">
        <f t="shared" si="0"/>
        <v>1809.4977592891062</v>
      </c>
      <c r="C6" s="198">
        <f t="shared" si="0"/>
        <v>1842.5583735116059</v>
      </c>
      <c r="D6" s="242"/>
      <c r="E6" s="15"/>
      <c r="F6" s="20"/>
      <c r="G6" s="15"/>
      <c r="H6" s="20"/>
    </row>
    <row r="7" spans="1:8">
      <c r="A7" s="173" t="s">
        <v>290</v>
      </c>
      <c r="B7" s="197">
        <f t="shared" si="0"/>
        <v>510.57482304936997</v>
      </c>
      <c r="C7" s="197">
        <f t="shared" si="0"/>
        <v>510.39938509847246</v>
      </c>
      <c r="D7" s="242"/>
      <c r="E7" s="15"/>
      <c r="F7" s="20"/>
      <c r="G7" s="15"/>
      <c r="H7" s="20"/>
    </row>
    <row r="8" spans="1:8">
      <c r="A8" s="173" t="s">
        <v>203</v>
      </c>
      <c r="B8" s="175">
        <f t="shared" si="0"/>
        <v>145.9608520126742</v>
      </c>
      <c r="C8" s="175">
        <f t="shared" si="0"/>
        <v>151.72993089994</v>
      </c>
      <c r="D8" s="242"/>
      <c r="E8" s="15"/>
      <c r="F8" s="20"/>
      <c r="G8" s="15"/>
      <c r="H8" s="20"/>
    </row>
    <row r="9" spans="1:8">
      <c r="A9" s="173" t="s">
        <v>233</v>
      </c>
      <c r="B9" s="197">
        <f t="shared" si="0"/>
        <v>17.599717633849998</v>
      </c>
      <c r="C9" s="197">
        <f t="shared" si="0"/>
        <v>18.942985724459998</v>
      </c>
      <c r="D9" s="242"/>
      <c r="E9" s="15"/>
      <c r="F9" s="20"/>
      <c r="G9" s="15"/>
      <c r="H9" s="20"/>
    </row>
    <row r="10" spans="1:8">
      <c r="A10" s="173" t="s">
        <v>291</v>
      </c>
      <c r="B10" s="197">
        <f t="shared" si="0"/>
        <v>131.92116533961001</v>
      </c>
      <c r="C10" s="197">
        <f t="shared" si="0"/>
        <v>136.08695148406002</v>
      </c>
      <c r="D10" s="242"/>
      <c r="E10" s="15"/>
      <c r="F10" s="20"/>
      <c r="G10" s="15"/>
      <c r="H10" s="20"/>
    </row>
    <row r="11" spans="1:8">
      <c r="A11" s="173" t="s">
        <v>262</v>
      </c>
      <c r="B11" s="197">
        <f>B21</f>
        <v>31.376500637018864</v>
      </c>
      <c r="C11" s="197">
        <f>C21</f>
        <v>31.549376825728132</v>
      </c>
      <c r="D11" s="242"/>
      <c r="E11" s="15"/>
      <c r="F11" s="20"/>
      <c r="G11" s="15"/>
      <c r="H11" s="20"/>
    </row>
    <row r="12" spans="1:8">
      <c r="A12" s="203"/>
      <c r="B12" s="203"/>
      <c r="C12" s="203"/>
      <c r="D12" s="240"/>
      <c r="E12" s="15"/>
      <c r="F12" s="20"/>
      <c r="G12" s="15"/>
      <c r="H12" s="20"/>
    </row>
    <row r="13" spans="1:8">
      <c r="A13" s="176" t="s">
        <v>17</v>
      </c>
      <c r="B13" s="177">
        <f>'Weekly Valuation'!E27/1000000000</f>
        <v>219.90676230828188</v>
      </c>
      <c r="C13" s="199">
        <f>'Weekly Valuation'!O27/1000000000</f>
        <v>233.6249986943202</v>
      </c>
      <c r="D13" s="240"/>
      <c r="E13" s="15"/>
      <c r="F13" s="20"/>
      <c r="G13" s="15"/>
      <c r="H13" s="20"/>
    </row>
    <row r="14" spans="1:8">
      <c r="A14" s="178" t="s">
        <v>53</v>
      </c>
      <c r="B14" s="177">
        <f>'Weekly Valuation'!E77/1000000000</f>
        <v>6078.8707366338913</v>
      </c>
      <c r="C14" s="200">
        <f>'Weekly Valuation'!O77/1000000000</f>
        <v>6164.1797264145689</v>
      </c>
      <c r="D14" s="240"/>
      <c r="E14" s="15"/>
      <c r="F14" s="20"/>
      <c r="G14" s="15"/>
      <c r="H14" s="20"/>
    </row>
    <row r="15" spans="1:8">
      <c r="A15" s="178" t="s">
        <v>289</v>
      </c>
      <c r="B15" s="177">
        <f>'Weekly Valuation'!E118/1000000000</f>
        <v>224.77820568713</v>
      </c>
      <c r="C15" s="199">
        <f>'Weekly Valuation'!O118/1000000000</f>
        <v>235.47056679778436</v>
      </c>
      <c r="D15" s="240"/>
      <c r="E15" s="15"/>
      <c r="F15" s="20"/>
      <c r="G15" s="15"/>
      <c r="H15" s="20"/>
    </row>
    <row r="16" spans="1:8">
      <c r="A16" s="178" t="s">
        <v>164</v>
      </c>
      <c r="B16" s="177">
        <f>'Weekly Valuation'!E162/1000000000</f>
        <v>1809.4977592891062</v>
      </c>
      <c r="C16" s="200">
        <f>'Weekly Valuation'!O162/1000000000</f>
        <v>1842.5583735116059</v>
      </c>
      <c r="D16" s="240"/>
      <c r="E16" s="15"/>
      <c r="F16" s="20"/>
      <c r="G16" s="15"/>
      <c r="H16" s="20"/>
    </row>
    <row r="17" spans="1:8">
      <c r="A17" s="178" t="s">
        <v>290</v>
      </c>
      <c r="B17" s="177">
        <f>'Weekly Valuation'!E171/1000000000</f>
        <v>510.57482304936997</v>
      </c>
      <c r="C17" s="199">
        <f>'Weekly Valuation'!O171/1000000000</f>
        <v>510.39938509847246</v>
      </c>
      <c r="D17" s="240"/>
      <c r="E17" s="15"/>
      <c r="F17" s="20"/>
      <c r="G17" s="15"/>
      <c r="H17" s="20"/>
    </row>
    <row r="18" spans="1:8">
      <c r="A18" s="178" t="s">
        <v>203</v>
      </c>
      <c r="B18" s="177">
        <f>'Weekly Valuation'!E204/1000000000</f>
        <v>145.9608520126742</v>
      </c>
      <c r="C18" s="179">
        <f>'Weekly Valuation'!O204/1000000000</f>
        <v>151.72993089994</v>
      </c>
      <c r="D18" s="240"/>
      <c r="E18" s="15"/>
      <c r="F18" s="20"/>
      <c r="G18" s="15"/>
      <c r="H18" s="20"/>
    </row>
    <row r="19" spans="1:8">
      <c r="A19" s="178" t="s">
        <v>233</v>
      </c>
      <c r="B19" s="177">
        <f>'Weekly Valuation'!E210/1000000000</f>
        <v>17.599717633849998</v>
      </c>
      <c r="C19" s="199">
        <f>'Weekly Valuation'!O210/1000000000</f>
        <v>18.942985724459998</v>
      </c>
      <c r="D19" s="240"/>
      <c r="E19" s="15"/>
      <c r="F19" s="20"/>
      <c r="G19" s="15"/>
      <c r="H19" s="20"/>
    </row>
    <row r="20" spans="1:8">
      <c r="A20" s="178" t="s">
        <v>291</v>
      </c>
      <c r="B20" s="177">
        <f>'Weekly Valuation'!E238/1000000000</f>
        <v>131.92116533961001</v>
      </c>
      <c r="C20" s="199">
        <f>'Weekly Valuation'!O238/1000000000</f>
        <v>136.08695148406002</v>
      </c>
      <c r="D20" s="240"/>
      <c r="E20" s="15"/>
      <c r="F20" s="20"/>
      <c r="G20" s="15"/>
      <c r="H20" s="20"/>
    </row>
    <row r="21" spans="1:8">
      <c r="A21" s="178" t="s">
        <v>262</v>
      </c>
      <c r="B21" s="177">
        <f>'Weekly Valuation'!E248/1000000000</f>
        <v>31.376500637018864</v>
      </c>
      <c r="C21" s="199">
        <f>'Weekly Valuation'!O248/1000000000</f>
        <v>31.549376825728132</v>
      </c>
      <c r="D21" s="203"/>
      <c r="E21" s="15"/>
      <c r="F21" s="20"/>
      <c r="G21" s="15"/>
      <c r="H21" s="20"/>
    </row>
    <row r="22" spans="1:8">
      <c r="A22" s="204"/>
      <c r="B22" s="203"/>
      <c r="C22" s="194"/>
      <c r="D22" s="203"/>
      <c r="E22" s="15"/>
      <c r="F22" s="20"/>
      <c r="G22" s="15"/>
      <c r="H22" s="20"/>
    </row>
    <row r="23" spans="1:8">
      <c r="A23" s="195"/>
      <c r="B23" s="194"/>
      <c r="C23" s="172"/>
      <c r="E23" s="15"/>
      <c r="F23" s="20"/>
      <c r="G23" s="15"/>
      <c r="H23" s="20"/>
    </row>
    <row r="24" spans="1:8">
      <c r="A24" s="195"/>
      <c r="B24" s="194"/>
      <c r="C24" s="194"/>
      <c r="E24" s="15"/>
      <c r="F24" s="20"/>
      <c r="G24" s="15"/>
      <c r="H24" s="20"/>
    </row>
    <row r="25" spans="1:8">
      <c r="A25" s="195"/>
      <c r="B25" s="194"/>
      <c r="C25" s="194"/>
      <c r="E25" s="15"/>
      <c r="F25" s="20"/>
      <c r="G25" s="15"/>
      <c r="H25" s="20"/>
    </row>
    <row r="26" spans="1:8">
      <c r="A26" s="195"/>
      <c r="B26" s="194"/>
      <c r="C26" s="194"/>
      <c r="F26" s="20"/>
      <c r="G26" s="20"/>
      <c r="H26" s="20"/>
    </row>
    <row r="27" spans="1:8">
      <c r="A27" s="46"/>
      <c r="B27" s="171"/>
      <c r="C27" s="171"/>
      <c r="F27" s="20"/>
      <c r="G27" s="20"/>
      <c r="H27" s="20"/>
    </row>
    <row r="28" spans="1:8">
      <c r="A28" s="15"/>
      <c r="B28" s="15"/>
      <c r="C28" s="15"/>
      <c r="F28" s="20"/>
      <c r="G28" s="20"/>
      <c r="H28" s="20"/>
    </row>
    <row r="29" spans="1:8">
      <c r="A29" s="15"/>
      <c r="B29" s="15"/>
      <c r="C29" s="15"/>
      <c r="F29" s="20"/>
      <c r="G29" s="20"/>
      <c r="H29" s="20"/>
    </row>
    <row r="30" spans="1:8">
      <c r="A30" s="15"/>
      <c r="B30" s="15"/>
      <c r="C30" s="15"/>
      <c r="F30" s="180"/>
    </row>
    <row r="31" spans="1:8">
      <c r="A31" s="15"/>
      <c r="B31" s="15"/>
      <c r="C31" s="15"/>
      <c r="F31" s="180"/>
    </row>
    <row r="32" spans="1:8">
      <c r="A32" s="15"/>
      <c r="B32" s="15"/>
      <c r="C32" s="15"/>
      <c r="F32" s="180"/>
    </row>
    <row r="33" spans="1:6">
      <c r="A33" s="15"/>
      <c r="B33" s="15"/>
      <c r="C33" s="15"/>
      <c r="F33" s="180"/>
    </row>
    <row r="34" spans="1:6">
      <c r="F34" s="180"/>
    </row>
    <row r="35" spans="1:6">
      <c r="F35" s="180"/>
    </row>
    <row r="36" spans="1:6">
      <c r="F36" s="180"/>
    </row>
    <row r="37" spans="1:6">
      <c r="F37" s="180"/>
    </row>
    <row r="38" spans="1:6">
      <c r="F38" s="180"/>
    </row>
    <row r="39" spans="1:6">
      <c r="F39" s="180"/>
    </row>
    <row r="40" spans="1:6">
      <c r="F40" s="180"/>
    </row>
    <row r="41" spans="1:6">
      <c r="F41" s="180"/>
    </row>
    <row r="42" spans="1:6">
      <c r="F42" s="180"/>
    </row>
    <row r="43" spans="1:6">
      <c r="F43" s="180"/>
    </row>
    <row r="44" spans="1:6">
      <c r="F44" s="180"/>
    </row>
  </sheetData>
  <sheetProtection algorithmName="SHA-512" hashValue="wPROXoO0/g160IqNUehqwRzXA4Vat1ln5SCTq83Q7u1knSOlKcakt1YFg5lalQtA+5XfixCY2QmS9idYOuZbgw==" saltValue="QnDX/ku/c7FgAbYf4eA77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I12" sqref="I12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201" t="s">
        <v>288</v>
      </c>
      <c r="B1" s="202">
        <v>46213</v>
      </c>
      <c r="C1" s="203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204" t="s">
        <v>233</v>
      </c>
      <c r="B2" s="194">
        <f>'Weekly Valuation'!O210</f>
        <v>18942985724.459999</v>
      </c>
      <c r="C2" s="203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204" t="s">
        <v>262</v>
      </c>
      <c r="B3" s="194">
        <f>'Weekly Valuation'!O248</f>
        <v>31549376825.72813</v>
      </c>
      <c r="C3" s="203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204" t="s">
        <v>291</v>
      </c>
      <c r="B4" s="194">
        <f>'Weekly Valuation'!O238</f>
        <v>136086951484.06001</v>
      </c>
      <c r="C4" s="203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204" t="s">
        <v>203</v>
      </c>
      <c r="B5" s="172">
        <f>'Weekly Valuation'!O204</f>
        <v>151729930899.94</v>
      </c>
      <c r="C5" s="203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204" t="s">
        <v>17</v>
      </c>
      <c r="B6" s="194">
        <f>'Weekly Valuation'!O27</f>
        <v>233624998694.32019</v>
      </c>
      <c r="C6" s="203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204" t="s">
        <v>289</v>
      </c>
      <c r="B7" s="194">
        <f>'Weekly Valuation'!O118</f>
        <v>235470566797.78436</v>
      </c>
      <c r="C7" s="203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204" t="s">
        <v>290</v>
      </c>
      <c r="B8" s="194">
        <f>'Weekly Valuation'!O171</f>
        <v>510399385098.47247</v>
      </c>
      <c r="C8" s="203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204" t="s">
        <v>164</v>
      </c>
      <c r="B9" s="205">
        <f>'Weekly Valuation'!O162</f>
        <v>1842558373511.606</v>
      </c>
      <c r="C9" s="203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204" t="s">
        <v>53</v>
      </c>
      <c r="B10" s="205">
        <f>'Weekly Valuation'!O77</f>
        <v>6164179726414.5693</v>
      </c>
      <c r="C10" s="203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240"/>
      <c r="B11" s="240"/>
      <c r="C11" s="20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237"/>
      <c r="B12" s="241"/>
      <c r="C12" s="203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237"/>
      <c r="B13" s="240"/>
      <c r="C13" s="203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71"/>
      <c r="B14" s="171"/>
      <c r="C14" s="203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171"/>
      <c r="B15" s="171"/>
      <c r="C15" s="20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46"/>
      <c r="B16" s="238"/>
      <c r="C16" s="20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71"/>
      <c r="B17" s="171"/>
      <c r="C17" s="20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71"/>
      <c r="B18" s="171"/>
      <c r="C18" s="20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239"/>
      <c r="B19" s="171"/>
      <c r="C19" s="20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239"/>
      <c r="B20" s="239"/>
      <c r="C20" s="20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239"/>
      <c r="B21" s="239"/>
      <c r="C21" s="20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46"/>
      <c r="B22" s="239"/>
      <c r="C22" s="20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239"/>
      <c r="C23" s="20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20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20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20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20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20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20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20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20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34"/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1"/>
    </row>
    <row r="34" spans="1:17" ht="15" customHeight="1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1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mJ3Lkccf9iwfmH/iCEVx/7ocqXgGGv7ECjadPKDTSJbAi6o9uWmZY+F+WiuS/gwwXndJbcargAMib1F3ENzGgQ==" saltValue="JgPG99QX1d2DQxWH3VgHmw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F8" sqref="F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45"/>
    </row>
    <row r="2" spans="1:15">
      <c r="A2" s="190" t="s">
        <v>292</v>
      </c>
      <c r="B2" s="191">
        <v>46164</v>
      </c>
      <c r="C2" s="191">
        <v>46171</v>
      </c>
      <c r="D2" s="191">
        <v>46178</v>
      </c>
      <c r="E2" s="191">
        <v>46184</v>
      </c>
      <c r="F2" s="191">
        <v>46192</v>
      </c>
      <c r="G2" s="191">
        <v>46199</v>
      </c>
      <c r="H2" s="191">
        <v>46206</v>
      </c>
      <c r="I2" s="191">
        <v>46213</v>
      </c>
      <c r="J2" s="20"/>
      <c r="K2" s="15"/>
      <c r="L2" s="15"/>
      <c r="M2" s="15"/>
      <c r="N2" s="15"/>
      <c r="O2" s="45"/>
    </row>
    <row r="3" spans="1:15">
      <c r="A3" s="190" t="s">
        <v>293</v>
      </c>
      <c r="B3" s="181">
        <f t="shared" ref="B3:I3" si="0">B4</f>
        <v>8965.7623097914948</v>
      </c>
      <c r="C3" s="181">
        <f t="shared" si="0"/>
        <v>9018.1202536705168</v>
      </c>
      <c r="D3" s="181">
        <f t="shared" si="0"/>
        <v>9065.8177533026028</v>
      </c>
      <c r="E3" s="181">
        <f t="shared" si="0"/>
        <v>9101.534190127175</v>
      </c>
      <c r="F3" s="181">
        <f t="shared" si="0"/>
        <v>9081.5117592714614</v>
      </c>
      <c r="G3" s="181">
        <f t="shared" si="0"/>
        <v>9114.5072349997172</v>
      </c>
      <c r="H3" s="181">
        <f t="shared" si="0"/>
        <v>9170.4865225909325</v>
      </c>
      <c r="I3" s="181">
        <f t="shared" si="0"/>
        <v>9324.5329945502799</v>
      </c>
      <c r="J3" s="20"/>
      <c r="K3" s="15"/>
      <c r="L3" s="15"/>
      <c r="M3" s="15"/>
      <c r="N3" s="15"/>
      <c r="O3" s="45"/>
    </row>
    <row r="4" spans="1:15">
      <c r="A4" s="20"/>
      <c r="B4" s="192">
        <f>'NAV Trend'!C11/1000000000</f>
        <v>8965.7623097914948</v>
      </c>
      <c r="C4" s="192">
        <f>'NAV Trend'!D11/1000000000</f>
        <v>9018.1202536705168</v>
      </c>
      <c r="D4" s="192">
        <f>'NAV Trend'!E11/1000000000</f>
        <v>9065.8177533026028</v>
      </c>
      <c r="E4" s="192">
        <f>'NAV Trend'!F11/1000000000</f>
        <v>9101.534190127175</v>
      </c>
      <c r="F4" s="192">
        <f>'NAV Trend'!G11/1000000000</f>
        <v>9081.5117592714614</v>
      </c>
      <c r="G4" s="192">
        <f>'NAV Trend'!H11/1000000000</f>
        <v>9114.5072349997172</v>
      </c>
      <c r="H4" s="193">
        <f>'NAV Trend'!I11/1000000000</f>
        <v>9170.4865225909325</v>
      </c>
      <c r="I4" s="193">
        <f>'NAV Trend'!J11/1000000000</f>
        <v>9324.5329945502799</v>
      </c>
      <c r="J4" s="20"/>
      <c r="K4" s="15"/>
      <c r="L4" s="15"/>
      <c r="M4" s="15"/>
      <c r="N4" s="15"/>
      <c r="O4" s="45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45"/>
    </row>
    <row r="6" spans="1: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45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45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45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45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5"/>
      <c r="O10" s="45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5"/>
      <c r="O11" s="45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5"/>
      <c r="O12" s="45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45"/>
      <c r="O13" s="45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5"/>
      <c r="O14" s="45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5"/>
      <c r="O15" s="45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45"/>
      <c r="N16" s="45"/>
      <c r="O16" s="45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45"/>
      <c r="N17" s="45"/>
      <c r="O17" s="45"/>
    </row>
    <row r="18" spans="1:15"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</row>
  </sheetData>
  <sheetProtection algorithmName="SHA-512" hashValue="DLC1uTlhw2nTipXGXHM5PXD24kcVFG34GtY3sQvCj3DYRcwnl6LVNp+LY1qpNdI2V68ezwj9XIJt4VQHhG6oTQ==" saltValue="wZLGz7IgkITJS9N/QR+hM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F8" sqref="F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15"/>
      <c r="K1" s="15"/>
      <c r="L1" s="20"/>
      <c r="M1" s="15"/>
      <c r="N1" s="15"/>
      <c r="O1" s="20"/>
      <c r="P1" s="43"/>
    </row>
    <row r="2" spans="1:16">
      <c r="A2" s="190" t="s">
        <v>292</v>
      </c>
      <c r="B2" s="191">
        <v>46164</v>
      </c>
      <c r="C2" s="191">
        <v>46171</v>
      </c>
      <c r="D2" s="191">
        <v>46178</v>
      </c>
      <c r="E2" s="191">
        <v>46184</v>
      </c>
      <c r="F2" s="191">
        <v>46192</v>
      </c>
      <c r="G2" s="191">
        <v>46199</v>
      </c>
      <c r="H2" s="191">
        <v>46206</v>
      </c>
      <c r="I2" s="191">
        <v>46213</v>
      </c>
      <c r="J2" s="15"/>
      <c r="K2" s="15"/>
      <c r="L2" s="20"/>
      <c r="M2" s="15"/>
      <c r="N2" s="15"/>
      <c r="O2" s="20"/>
      <c r="P2" s="43"/>
    </row>
    <row r="3" spans="1:16">
      <c r="A3" s="190" t="s">
        <v>294</v>
      </c>
      <c r="B3" s="181">
        <f t="shared" ref="B3:I3" si="0">B4</f>
        <v>31.648596766119997</v>
      </c>
      <c r="C3" s="181">
        <f t="shared" si="0"/>
        <v>31.957060014499998</v>
      </c>
      <c r="D3" s="181">
        <f t="shared" si="0"/>
        <v>31.023458333940003</v>
      </c>
      <c r="E3" s="181">
        <f t="shared" si="0"/>
        <v>31.276624002919995</v>
      </c>
      <c r="F3" s="181">
        <f t="shared" si="0"/>
        <v>30.175205285199997</v>
      </c>
      <c r="G3" s="181">
        <f t="shared" si="0"/>
        <v>29.959038932529999</v>
      </c>
      <c r="H3" s="181">
        <f t="shared" si="0"/>
        <v>29.355227401120001</v>
      </c>
      <c r="I3" s="181">
        <f t="shared" si="0"/>
        <v>31.056126253639995</v>
      </c>
      <c r="J3" s="15"/>
      <c r="K3" s="15"/>
      <c r="L3" s="20"/>
      <c r="M3" s="15"/>
      <c r="N3" s="15"/>
      <c r="O3" s="20"/>
      <c r="P3" s="43"/>
    </row>
    <row r="4" spans="1:16">
      <c r="A4" s="20"/>
      <c r="B4" s="192">
        <f>'NAV Trend'!C17/1000000000</f>
        <v>31.648596766119997</v>
      </c>
      <c r="C4" s="192">
        <f>'NAV Trend'!D17/1000000000</f>
        <v>31.957060014499998</v>
      </c>
      <c r="D4" s="192">
        <f>'NAV Trend'!E17/1000000000</f>
        <v>31.023458333940003</v>
      </c>
      <c r="E4" s="192">
        <f>'NAV Trend'!F17/1000000000</f>
        <v>31.276624002919995</v>
      </c>
      <c r="F4" s="192">
        <f>'NAV Trend'!G17/1000000000</f>
        <v>30.175205285199997</v>
      </c>
      <c r="G4" s="192">
        <f>'NAV Trend'!H17/1000000000</f>
        <v>29.959038932529999</v>
      </c>
      <c r="H4" s="192">
        <f>'NAV Trend'!I17/1000000000</f>
        <v>29.355227401120001</v>
      </c>
      <c r="I4" s="193">
        <f>'NAV Trend'!J17/1000000000</f>
        <v>31.056126253639995</v>
      </c>
      <c r="J4" s="15"/>
      <c r="K4" s="15"/>
      <c r="L4" s="20"/>
      <c r="M4" s="15"/>
      <c r="N4" s="15"/>
      <c r="O4" s="20"/>
      <c r="P4" s="43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15"/>
      <c r="K5" s="15"/>
      <c r="L5" s="20"/>
      <c r="M5" s="15"/>
      <c r="N5" s="15"/>
      <c r="O5" s="20"/>
      <c r="P5" s="43"/>
    </row>
    <row r="6" spans="1:16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20"/>
      <c r="M6" s="15"/>
      <c r="N6" s="15"/>
      <c r="O6" s="20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20"/>
      <c r="M7" s="15"/>
      <c r="N7" s="15"/>
      <c r="O7" s="20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20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42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42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42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42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2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2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42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2"/>
    </row>
    <row r="18" spans="1:1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1:1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</sheetData>
  <sheetProtection algorithmName="SHA-512" hashValue="xjh4WP3Lg1R6gdPvBiGygFvoWHskvPX+Rv8ZO9fXTB6Mvx+B749Dgzx9IZbgk9T1y4VYE/flJW6eUD8W0KfwQQ==" saltValue="ZjbAxlWhPCAEm39+dO3FU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288</v>
      </c>
      <c r="B1" s="2">
        <v>46157</v>
      </c>
      <c r="C1" s="2">
        <v>46164</v>
      </c>
      <c r="D1" s="2">
        <v>46171</v>
      </c>
      <c r="E1" s="2">
        <v>46178</v>
      </c>
      <c r="F1" s="2">
        <v>46184</v>
      </c>
      <c r="G1" s="2">
        <v>46192</v>
      </c>
      <c r="H1" s="2">
        <v>46199</v>
      </c>
      <c r="I1" s="2">
        <v>46206</v>
      </c>
      <c r="J1" s="2">
        <v>46213</v>
      </c>
    </row>
    <row r="2" spans="1:11">
      <c r="A2" s="3" t="s">
        <v>17</v>
      </c>
      <c r="B2" s="4">
        <v>261274211009.01639</v>
      </c>
      <c r="C2" s="4">
        <v>264351575123.16064</v>
      </c>
      <c r="D2" s="4">
        <v>266819826208.66391</v>
      </c>
      <c r="E2" s="4">
        <v>261164527998.5798</v>
      </c>
      <c r="F2" s="4">
        <v>256764978197.62451</v>
      </c>
      <c r="G2" s="4">
        <v>242186700352.6647</v>
      </c>
      <c r="H2" s="4">
        <v>234859889140.22873</v>
      </c>
      <c r="I2" s="4">
        <v>219906762308.28189</v>
      </c>
      <c r="J2" s="4">
        <v>233624998694.32019</v>
      </c>
    </row>
    <row r="3" spans="1:11">
      <c r="A3" s="3" t="s">
        <v>53</v>
      </c>
      <c r="B3" s="4">
        <v>5750770301084.7988</v>
      </c>
      <c r="C3" s="4">
        <v>5784270199757.0078</v>
      </c>
      <c r="D3" s="4">
        <v>5839627786905.6484</v>
      </c>
      <c r="E3" s="4">
        <v>5902329950916.0596</v>
      </c>
      <c r="F3" s="4">
        <v>5945195246120.4697</v>
      </c>
      <c r="G3" s="4">
        <v>5946340110063.4297</v>
      </c>
      <c r="H3" s="4">
        <v>5971554584271.5498</v>
      </c>
      <c r="I3" s="4">
        <v>6078870736633.8916</v>
      </c>
      <c r="J3" s="4">
        <v>6164179726414.5693</v>
      </c>
    </row>
    <row r="4" spans="1:11">
      <c r="A4" s="3" t="s">
        <v>289</v>
      </c>
      <c r="B4" s="5">
        <v>233963293234.06</v>
      </c>
      <c r="C4" s="5">
        <v>233712243996.24088</v>
      </c>
      <c r="D4" s="5">
        <v>234954745853.45001</v>
      </c>
      <c r="E4" s="5">
        <v>236159500980.94</v>
      </c>
      <c r="F4" s="5">
        <v>236916586622.81195</v>
      </c>
      <c r="G4" s="5">
        <v>237211374820.86002</v>
      </c>
      <c r="H4" s="5">
        <v>236966322006.69998</v>
      </c>
      <c r="I4" s="5">
        <v>224778205687.13</v>
      </c>
      <c r="J4" s="5">
        <v>235470566797.78436</v>
      </c>
    </row>
    <row r="5" spans="1:11">
      <c r="A5" s="3" t="s">
        <v>164</v>
      </c>
      <c r="B5" s="4">
        <v>1834914569508.6284</v>
      </c>
      <c r="C5" s="4">
        <v>1850349851807.7859</v>
      </c>
      <c r="D5" s="4">
        <v>1839533501218.4192</v>
      </c>
      <c r="E5" s="4">
        <v>1829416071688.4446</v>
      </c>
      <c r="F5" s="4">
        <v>1830631570207.8184</v>
      </c>
      <c r="G5" s="4">
        <v>1831543622192.5051</v>
      </c>
      <c r="H5" s="4">
        <v>1853028825644.45</v>
      </c>
      <c r="I5" s="4">
        <v>1809497759289.1062</v>
      </c>
      <c r="J5" s="4">
        <v>1842558373511.606</v>
      </c>
    </row>
    <row r="6" spans="1:11">
      <c r="A6" s="3" t="s">
        <v>290</v>
      </c>
      <c r="B6" s="5">
        <v>507839066699.88861</v>
      </c>
      <c r="C6" s="5">
        <v>508288025309.51001</v>
      </c>
      <c r="D6" s="5">
        <v>508142816542.39001</v>
      </c>
      <c r="E6" s="5">
        <v>509449760962.75995</v>
      </c>
      <c r="F6" s="5">
        <v>509810118982.62</v>
      </c>
      <c r="G6" s="5">
        <v>509105404218.04999</v>
      </c>
      <c r="H6" s="5">
        <v>509492410633.63</v>
      </c>
      <c r="I6" s="5">
        <v>510574823049.37</v>
      </c>
      <c r="J6" s="5">
        <v>510399385098.47247</v>
      </c>
    </row>
    <row r="7" spans="1:11">
      <c r="A7" s="3" t="s">
        <v>203</v>
      </c>
      <c r="B7" s="7">
        <v>153248181990.54001</v>
      </c>
      <c r="C7" s="7">
        <v>157193396976.43375</v>
      </c>
      <c r="D7" s="7">
        <v>158918035170.78</v>
      </c>
      <c r="E7" s="7">
        <v>157794604666.74005</v>
      </c>
      <c r="F7" s="7">
        <v>157283348047.30002</v>
      </c>
      <c r="G7" s="7">
        <v>153787085927.89999</v>
      </c>
      <c r="H7" s="7">
        <v>151120367802.87</v>
      </c>
      <c r="I7" s="7">
        <v>145960852012.67419</v>
      </c>
      <c r="J7" s="7">
        <v>151729930899.94</v>
      </c>
    </row>
    <row r="8" spans="1:11">
      <c r="A8" s="3" t="s">
        <v>233</v>
      </c>
      <c r="B8" s="6">
        <v>21319511673.420002</v>
      </c>
      <c r="C8" s="6">
        <v>21546894877.009998</v>
      </c>
      <c r="D8" s="6">
        <v>21792643850.099998</v>
      </c>
      <c r="E8" s="6">
        <v>21280346410.980003</v>
      </c>
      <c r="F8" s="6">
        <v>21268685643.470001</v>
      </c>
      <c r="G8" s="6">
        <v>19841788312.09</v>
      </c>
      <c r="H8" s="6">
        <v>19223983706.759998</v>
      </c>
      <c r="I8" s="6">
        <v>17599717633.849998</v>
      </c>
      <c r="J8" s="6">
        <v>18942985724.459999</v>
      </c>
    </row>
    <row r="9" spans="1:11">
      <c r="A9" s="3" t="s">
        <v>291</v>
      </c>
      <c r="B9" s="6">
        <v>143984190936.53003</v>
      </c>
      <c r="C9" s="6">
        <v>146050121944.34546</v>
      </c>
      <c r="D9" s="6">
        <v>148330897921.06546</v>
      </c>
      <c r="E9" s="6">
        <v>148222989678.10001</v>
      </c>
      <c r="F9" s="6">
        <v>143663656305.06003</v>
      </c>
      <c r="G9" s="6">
        <v>141495673383.96002</v>
      </c>
      <c r="H9" s="6">
        <v>138260851793.53003</v>
      </c>
      <c r="I9" s="6">
        <v>131921165339.61</v>
      </c>
      <c r="J9" s="6">
        <v>136086951484.06001</v>
      </c>
    </row>
    <row r="10" spans="1:11">
      <c r="A10" s="3" t="s">
        <v>262</v>
      </c>
      <c r="B10" s="6">
        <v>31347647935.149067</v>
      </c>
      <c r="C10" s="6">
        <v>31785576256.807602</v>
      </c>
      <c r="D10" s="6">
        <v>31841806178.550476</v>
      </c>
      <c r="E10" s="6">
        <v>31850952331.097569</v>
      </c>
      <c r="F10" s="6">
        <v>30947010318.115276</v>
      </c>
      <c r="G10" s="6">
        <v>31106262396.983276</v>
      </c>
      <c r="H10" s="6">
        <v>31303744541.555901</v>
      </c>
      <c r="I10" s="6">
        <v>31376500637.018864</v>
      </c>
      <c r="J10" s="6">
        <v>31540075925.065651</v>
      </c>
    </row>
    <row r="11" spans="1:11" ht="15.6">
      <c r="A11" s="8" t="s">
        <v>295</v>
      </c>
      <c r="B11" s="9">
        <f t="shared" ref="B11:H11" si="0">SUM(B2:B9)</f>
        <v>8907313326136.8828</v>
      </c>
      <c r="C11" s="9">
        <f t="shared" si="0"/>
        <v>8965762309791.4941</v>
      </c>
      <c r="D11" s="9">
        <f t="shared" si="0"/>
        <v>9018120253670.5176</v>
      </c>
      <c r="E11" s="9">
        <f t="shared" si="0"/>
        <v>9065817753302.6035</v>
      </c>
      <c r="F11" s="9">
        <f t="shared" si="0"/>
        <v>9101534190127.1758</v>
      </c>
      <c r="G11" s="9">
        <f t="shared" si="0"/>
        <v>9081511759271.4609</v>
      </c>
      <c r="H11" s="9">
        <f t="shared" si="0"/>
        <v>9114507234999.7168</v>
      </c>
      <c r="I11" s="9">
        <f>SUM(I2:I10)</f>
        <v>9170486522590.9316</v>
      </c>
      <c r="J11" s="9">
        <f>SUM(J2:J10)</f>
        <v>9324532994550.2793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296</v>
      </c>
      <c r="B13" s="41" t="s">
        <v>297</v>
      </c>
      <c r="C13" s="13">
        <f>(B11+C11)/2</f>
        <v>8936537817964.1875</v>
      </c>
      <c r="D13" s="14">
        <f t="shared" ref="D13:J13" si="1">(C11+D11)/2</f>
        <v>8991941281731.0059</v>
      </c>
      <c r="E13" s="14">
        <f t="shared" si="1"/>
        <v>9041969003486.5605</v>
      </c>
      <c r="F13" s="14">
        <f t="shared" si="1"/>
        <v>9083675971714.8906</v>
      </c>
      <c r="G13" s="14">
        <f t="shared" si="1"/>
        <v>9091522974699.3184</v>
      </c>
      <c r="H13" s="14">
        <f t="shared" si="1"/>
        <v>9098009497135.5898</v>
      </c>
      <c r="I13" s="14">
        <f t="shared" si="1"/>
        <v>9142496878795.3242</v>
      </c>
      <c r="J13" s="14">
        <f t="shared" si="1"/>
        <v>9247509758570.6055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46157</v>
      </c>
      <c r="C16" s="2">
        <v>46164</v>
      </c>
      <c r="D16" s="2">
        <v>46171</v>
      </c>
      <c r="E16" s="2">
        <v>46178</v>
      </c>
      <c r="F16" s="2">
        <v>46184</v>
      </c>
      <c r="G16" s="2">
        <v>46192</v>
      </c>
      <c r="H16" s="2">
        <v>46199</v>
      </c>
      <c r="I16" s="2">
        <v>46206</v>
      </c>
      <c r="J16" s="2">
        <v>46213</v>
      </c>
      <c r="K16" s="15"/>
    </row>
    <row r="17" spans="1:11">
      <c r="A17" s="16" t="s">
        <v>298</v>
      </c>
      <c r="B17" s="17">
        <v>31798755539.75</v>
      </c>
      <c r="C17" s="17">
        <v>31648596766.119999</v>
      </c>
      <c r="D17" s="17">
        <v>31957060014.499996</v>
      </c>
      <c r="E17" s="17">
        <v>31023458333.940002</v>
      </c>
      <c r="F17" s="17">
        <v>31276624002.919994</v>
      </c>
      <c r="G17" s="17">
        <v>30175205285.199997</v>
      </c>
      <c r="H17" s="17">
        <v>29959038932.529999</v>
      </c>
      <c r="I17" s="17">
        <v>29355227401.119999</v>
      </c>
      <c r="J17" s="17">
        <v>31056126253.639996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eNqnDb9MCJSFMh3QfN3QTw/Z25h9NQfXtAKFconM8MdSU/kJpUPFH/ss0wI0SqXWgA3zw5YXh8bpZN7WqQHVkg==" saltValue="ebuO8hjWeTzuHb0+p/QG6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2026-07-21T11:35:49Z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