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Valuation'!$W$138</definedName>
    <definedName name="NFEM_RATE" localSheetId="0">'Weekly Valuation'!$W$138</definedName>
  </definedNames>
  <calcPr calcId="162913"/>
</workbook>
</file>

<file path=xl/calcChain.xml><?xml version="1.0" encoding="utf-8"?>
<calcChain xmlns="http://schemas.openxmlformats.org/spreadsheetml/2006/main">
  <c r="L63" i="1" l="1"/>
  <c r="L64" i="1"/>
  <c r="N152" i="1" l="1"/>
  <c r="M152" i="1"/>
  <c r="K152" i="1"/>
  <c r="N125" i="1"/>
  <c r="M125" i="1"/>
  <c r="K125" i="1"/>
  <c r="M124" i="1"/>
  <c r="K124" i="1"/>
  <c r="N150" i="1"/>
  <c r="M150" i="1"/>
  <c r="K150" i="1"/>
  <c r="N126" i="1"/>
  <c r="M126" i="1"/>
  <c r="K126" i="1"/>
  <c r="N138" i="1"/>
  <c r="M138" i="1"/>
  <c r="K138" i="1"/>
  <c r="K156" i="1"/>
  <c r="N123" i="1"/>
  <c r="M123" i="1"/>
  <c r="K123" i="1"/>
  <c r="K140" i="1"/>
  <c r="N139" i="1"/>
  <c r="M139" i="1"/>
  <c r="K139" i="1"/>
  <c r="N134" i="1"/>
  <c r="M134" i="1"/>
  <c r="K134" i="1"/>
  <c r="K146" i="1"/>
  <c r="M147" i="1"/>
  <c r="N147" i="1"/>
  <c r="K147" i="1"/>
  <c r="N133" i="1" l="1"/>
  <c r="M133" i="1"/>
  <c r="K133" i="1"/>
  <c r="N120" i="1"/>
  <c r="M120" i="1"/>
  <c r="K120" i="1"/>
  <c r="K144" i="1"/>
  <c r="N142" i="1"/>
  <c r="M142" i="1"/>
  <c r="K142" i="1"/>
  <c r="K155" i="1"/>
  <c r="K131" i="1" l="1"/>
  <c r="N236" i="1"/>
  <c r="M236" i="1"/>
  <c r="K236" i="1"/>
  <c r="N122" i="1"/>
  <c r="M122" i="1"/>
  <c r="K122" i="1"/>
  <c r="N121" i="1"/>
  <c r="M121" i="1"/>
  <c r="K121" i="1"/>
  <c r="M149" i="1"/>
  <c r="K149" i="1"/>
  <c r="V64" i="1"/>
  <c r="U64" i="1"/>
  <c r="T64" i="1"/>
  <c r="S64" i="1"/>
  <c r="R64" i="1"/>
  <c r="K132" i="1"/>
  <c r="N129" i="1"/>
  <c r="M129" i="1"/>
  <c r="K129" i="1"/>
  <c r="K128" i="1"/>
  <c r="N128" i="1"/>
  <c r="M128" i="1"/>
  <c r="N238" i="1"/>
  <c r="M238" i="1"/>
  <c r="K238" i="1"/>
  <c r="N154" i="1"/>
  <c r="M154" i="1"/>
  <c r="K154" i="1"/>
  <c r="N153" i="1"/>
  <c r="M153" i="1"/>
  <c r="K153" i="1"/>
  <c r="N135" i="1"/>
  <c r="M135" i="1"/>
  <c r="K135" i="1"/>
  <c r="K130" i="1"/>
  <c r="H204" i="1" l="1"/>
  <c r="O204" i="1"/>
  <c r="K204" i="1"/>
  <c r="D204" i="1"/>
  <c r="V201" i="1" l="1"/>
  <c r="U201" i="1"/>
  <c r="T201" i="1"/>
  <c r="S201" i="1"/>
  <c r="R201" i="1"/>
  <c r="L201" i="1"/>
  <c r="N146" i="1" l="1"/>
  <c r="M146" i="1"/>
  <c r="N124" i="1" l="1"/>
  <c r="N149" i="1" l="1"/>
  <c r="N148" i="1" l="1"/>
  <c r="M148" i="1"/>
  <c r="N156" i="1" l="1"/>
  <c r="M156" i="1"/>
  <c r="S193" i="1" l="1"/>
  <c r="N155" i="1" l="1"/>
  <c r="M155" i="1"/>
  <c r="N132" i="1" l="1"/>
  <c r="M132" i="1"/>
  <c r="S82" i="1" l="1"/>
  <c r="I11" i="4" l="1"/>
  <c r="L228" i="1" l="1"/>
  <c r="R228" i="1"/>
  <c r="R255" i="1" l="1"/>
  <c r="R153" i="1"/>
  <c r="J11" i="4" l="1"/>
  <c r="K198" i="1"/>
  <c r="L187" i="1" s="1"/>
  <c r="N144" i="1" l="1"/>
  <c r="S215" i="1"/>
  <c r="S164" i="1"/>
  <c r="M144" i="1" l="1"/>
  <c r="R35" i="1" l="1"/>
  <c r="V24" i="1"/>
  <c r="U24" i="1"/>
  <c r="T24" i="1"/>
  <c r="S24" i="1"/>
  <c r="R24" i="1"/>
  <c r="L202" i="1" l="1"/>
  <c r="L229" i="1" l="1"/>
  <c r="N130" i="1"/>
  <c r="V191" i="1" l="1"/>
  <c r="U191" i="1"/>
  <c r="T191" i="1"/>
  <c r="S191" i="1"/>
  <c r="R191" i="1"/>
  <c r="R144" i="1" l="1"/>
  <c r="S133" i="1"/>
  <c r="S129" i="1"/>
  <c r="S128" i="1"/>
  <c r="S238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1" i="1"/>
  <c r="U261" i="1"/>
  <c r="S261" i="1"/>
  <c r="O261" i="1"/>
  <c r="K261" i="1"/>
  <c r="L260" i="1" s="1"/>
  <c r="H261" i="1"/>
  <c r="D261" i="1"/>
  <c r="E259" i="1" s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O246" i="1"/>
  <c r="K246" i="1"/>
  <c r="L245" i="1" s="1"/>
  <c r="H246" i="1"/>
  <c r="D246" i="1"/>
  <c r="E245" i="1" s="1"/>
  <c r="V245" i="1"/>
  <c r="U245" i="1"/>
  <c r="T245" i="1"/>
  <c r="S245" i="1"/>
  <c r="R245" i="1"/>
  <c r="V244" i="1"/>
  <c r="U244" i="1"/>
  <c r="T244" i="1"/>
  <c r="S244" i="1"/>
  <c r="R244" i="1"/>
  <c r="O241" i="1"/>
  <c r="H241" i="1"/>
  <c r="D241" i="1"/>
  <c r="B21" i="2" s="1"/>
  <c r="B11" i="2" s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R238" i="1"/>
  <c r="V237" i="1"/>
  <c r="U237" i="1"/>
  <c r="T237" i="1"/>
  <c r="S237" i="1"/>
  <c r="R237" i="1"/>
  <c r="V236" i="1"/>
  <c r="U236" i="1"/>
  <c r="T236" i="1"/>
  <c r="S236" i="1"/>
  <c r="K241" i="1"/>
  <c r="V232" i="1"/>
  <c r="U232" i="1"/>
  <c r="S232" i="1"/>
  <c r="O232" i="1"/>
  <c r="K232" i="1"/>
  <c r="H232" i="1"/>
  <c r="D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09" i="1"/>
  <c r="U209" i="1"/>
  <c r="T209" i="1"/>
  <c r="S209" i="1"/>
  <c r="R209" i="1"/>
  <c r="V208" i="1"/>
  <c r="U208" i="1"/>
  <c r="T208" i="1"/>
  <c r="S208" i="1"/>
  <c r="R208" i="1"/>
  <c r="V204" i="1"/>
  <c r="U204" i="1"/>
  <c r="S204" i="1"/>
  <c r="B2" i="3"/>
  <c r="B19" i="2"/>
  <c r="B9" i="2" s="1"/>
  <c r="V203" i="1"/>
  <c r="U203" i="1"/>
  <c r="T203" i="1"/>
  <c r="S203" i="1"/>
  <c r="R203" i="1"/>
  <c r="V202" i="1"/>
  <c r="U202" i="1"/>
  <c r="T202" i="1"/>
  <c r="S202" i="1"/>
  <c r="R202" i="1"/>
  <c r="V198" i="1"/>
  <c r="U198" i="1"/>
  <c r="S198" i="1"/>
  <c r="O198" i="1"/>
  <c r="H198" i="1"/>
  <c r="D198" i="1"/>
  <c r="E169" i="1" s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R193" i="1"/>
  <c r="V192" i="1"/>
  <c r="U192" i="1"/>
  <c r="T192" i="1"/>
  <c r="S192" i="1"/>
  <c r="R192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6" i="1"/>
  <c r="U166" i="1"/>
  <c r="S166" i="1"/>
  <c r="O166" i="1"/>
  <c r="K166" i="1"/>
  <c r="L162" i="1" s="1"/>
  <c r="H166" i="1"/>
  <c r="D166" i="1"/>
  <c r="B17" i="2" s="1"/>
  <c r="B7" i="2" s="1"/>
  <c r="V165" i="1"/>
  <c r="U165" i="1"/>
  <c r="T165" i="1"/>
  <c r="S165" i="1"/>
  <c r="R165" i="1"/>
  <c r="V164" i="1"/>
  <c r="U164" i="1"/>
  <c r="T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7" i="1"/>
  <c r="U157" i="1"/>
  <c r="S157" i="1"/>
  <c r="O157" i="1"/>
  <c r="H157" i="1"/>
  <c r="D157" i="1"/>
  <c r="B16" i="2" s="1"/>
  <c r="B6" i="2" s="1"/>
  <c r="V156" i="1"/>
  <c r="U156" i="1"/>
  <c r="T156" i="1"/>
  <c r="R156" i="1"/>
  <c r="S156" i="1"/>
  <c r="V155" i="1"/>
  <c r="U155" i="1"/>
  <c r="T155" i="1"/>
  <c r="R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R145" i="1"/>
  <c r="S145" i="1"/>
  <c r="V144" i="1"/>
  <c r="U144" i="1"/>
  <c r="T144" i="1"/>
  <c r="S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N140" i="1"/>
  <c r="S140" i="1" s="1"/>
  <c r="M140" i="1"/>
  <c r="V139" i="1"/>
  <c r="U139" i="1"/>
  <c r="T139" i="1"/>
  <c r="S139" i="1"/>
  <c r="R139" i="1"/>
  <c r="V138" i="1"/>
  <c r="U138" i="1"/>
  <c r="T138" i="1"/>
  <c r="S138" i="1"/>
  <c r="R138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1" i="1"/>
  <c r="U131" i="1"/>
  <c r="T131" i="1"/>
  <c r="S131" i="1"/>
  <c r="R131" i="1"/>
  <c r="V130" i="1"/>
  <c r="U130" i="1"/>
  <c r="T130" i="1"/>
  <c r="S130" i="1"/>
  <c r="M130" i="1"/>
  <c r="V129" i="1"/>
  <c r="U129" i="1"/>
  <c r="T129" i="1"/>
  <c r="V128" i="1"/>
  <c r="U128" i="1"/>
  <c r="T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5" i="1"/>
  <c r="U115" i="1"/>
  <c r="S115" i="1"/>
  <c r="O115" i="1"/>
  <c r="K115" i="1"/>
  <c r="L95" i="1" s="1"/>
  <c r="H115" i="1"/>
  <c r="D115" i="1"/>
  <c r="B15" i="2" s="1"/>
  <c r="B5" i="2" s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3" i="1"/>
  <c r="U73" i="1"/>
  <c r="S73" i="1"/>
  <c r="O73" i="1"/>
  <c r="K73" i="1"/>
  <c r="L37" i="1" s="1"/>
  <c r="H73" i="1"/>
  <c r="D73" i="1"/>
  <c r="B14" i="2" s="1"/>
  <c r="B4" i="2" s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22" i="1" l="1"/>
  <c r="L33" i="1"/>
  <c r="E64" i="1"/>
  <c r="L46" i="1"/>
  <c r="L72" i="1"/>
  <c r="L100" i="1"/>
  <c r="L114" i="1"/>
  <c r="L223" i="1"/>
  <c r="L230" i="1"/>
  <c r="B3" i="3"/>
  <c r="C21" i="2"/>
  <c r="C11" i="2" s="1"/>
  <c r="L69" i="1"/>
  <c r="L57" i="1"/>
  <c r="L65" i="1"/>
  <c r="F13" i="4"/>
  <c r="L71" i="1"/>
  <c r="L39" i="1"/>
  <c r="E35" i="1"/>
  <c r="E24" i="1"/>
  <c r="E9" i="1"/>
  <c r="L79" i="1"/>
  <c r="L12" i="1"/>
  <c r="L24" i="1"/>
  <c r="E7" i="1"/>
  <c r="E11" i="1"/>
  <c r="E15" i="1"/>
  <c r="L30" i="1"/>
  <c r="E100" i="1"/>
  <c r="L215" i="1"/>
  <c r="E113" i="1"/>
  <c r="E21" i="1"/>
  <c r="E19" i="1"/>
  <c r="T198" i="1"/>
  <c r="E17" i="1"/>
  <c r="E99" i="1"/>
  <c r="E177" i="1"/>
  <c r="E175" i="1"/>
  <c r="E173" i="1"/>
  <c r="E171" i="1"/>
  <c r="L164" i="1"/>
  <c r="L191" i="1"/>
  <c r="L181" i="1"/>
  <c r="L45" i="1"/>
  <c r="E244" i="1"/>
  <c r="E95" i="1"/>
  <c r="E97" i="1"/>
  <c r="E93" i="1"/>
  <c r="E77" i="1"/>
  <c r="E91" i="1"/>
  <c r="E89" i="1"/>
  <c r="E101" i="1"/>
  <c r="B18" i="2"/>
  <c r="B8" i="2" s="1"/>
  <c r="E191" i="1"/>
  <c r="E162" i="1"/>
  <c r="E160" i="1"/>
  <c r="E58" i="1"/>
  <c r="E60" i="1"/>
  <c r="E67" i="1"/>
  <c r="E163" i="1"/>
  <c r="E165" i="1"/>
  <c r="E87" i="1"/>
  <c r="E111" i="1"/>
  <c r="E85" i="1"/>
  <c r="E109" i="1"/>
  <c r="E65" i="1"/>
  <c r="E83" i="1"/>
  <c r="E107" i="1"/>
  <c r="L59" i="1"/>
  <c r="L61" i="1"/>
  <c r="L66" i="1"/>
  <c r="L68" i="1"/>
  <c r="E81" i="1"/>
  <c r="E105" i="1"/>
  <c r="E62" i="1"/>
  <c r="E79" i="1"/>
  <c r="E103" i="1"/>
  <c r="E69" i="1"/>
  <c r="L70" i="1"/>
  <c r="E71" i="1"/>
  <c r="B5" i="3"/>
  <c r="L78" i="1"/>
  <c r="L32" i="1"/>
  <c r="B20" i="2"/>
  <c r="B10" i="2" s="1"/>
  <c r="E238" i="1"/>
  <c r="T204" i="1"/>
  <c r="E228" i="1"/>
  <c r="E203" i="1"/>
  <c r="E179" i="1"/>
  <c r="E164" i="1"/>
  <c r="E23" i="1"/>
  <c r="D13" i="4"/>
  <c r="T232" i="1"/>
  <c r="L86" i="1"/>
  <c r="E52" i="1"/>
  <c r="L53" i="1"/>
  <c r="E54" i="1"/>
  <c r="L55" i="1"/>
  <c r="E56" i="1"/>
  <c r="L35" i="1"/>
  <c r="B6" i="3"/>
  <c r="L179" i="1"/>
  <c r="E155" i="1"/>
  <c r="K157" i="1"/>
  <c r="L126" i="1" s="1"/>
  <c r="T261" i="1"/>
  <c r="R261" i="1"/>
  <c r="E250" i="1"/>
  <c r="E252" i="1"/>
  <c r="E254" i="1"/>
  <c r="E256" i="1"/>
  <c r="E260" i="1"/>
  <c r="E258" i="1"/>
  <c r="E249" i="1"/>
  <c r="E251" i="1"/>
  <c r="E253" i="1"/>
  <c r="E255" i="1"/>
  <c r="E257" i="1"/>
  <c r="R246" i="1"/>
  <c r="E214" i="1"/>
  <c r="E212" i="1"/>
  <c r="E208" i="1"/>
  <c r="E230" i="1"/>
  <c r="E224" i="1"/>
  <c r="E222" i="1"/>
  <c r="E220" i="1"/>
  <c r="E218" i="1"/>
  <c r="E202" i="1"/>
  <c r="E196" i="1"/>
  <c r="E194" i="1"/>
  <c r="E192" i="1"/>
  <c r="E189" i="1"/>
  <c r="E187" i="1"/>
  <c r="E170" i="1"/>
  <c r="E172" i="1"/>
  <c r="E185" i="1"/>
  <c r="E183" i="1"/>
  <c r="E181" i="1"/>
  <c r="T166" i="1"/>
  <c r="T157" i="1"/>
  <c r="E131" i="1"/>
  <c r="E146" i="1"/>
  <c r="E148" i="1"/>
  <c r="E119" i="1"/>
  <c r="E121" i="1"/>
  <c r="E129" i="1"/>
  <c r="E127" i="1"/>
  <c r="E135" i="1"/>
  <c r="E152" i="1"/>
  <c r="E123" i="1"/>
  <c r="E139" i="1"/>
  <c r="E141" i="1"/>
  <c r="E143" i="1"/>
  <c r="E154" i="1"/>
  <c r="E145" i="1"/>
  <c r="E130" i="1"/>
  <c r="E147" i="1"/>
  <c r="E156" i="1"/>
  <c r="E120" i="1"/>
  <c r="E132" i="1"/>
  <c r="E149" i="1"/>
  <c r="E122" i="1"/>
  <c r="E126" i="1"/>
  <c r="E128" i="1"/>
  <c r="E134" i="1"/>
  <c r="E151" i="1"/>
  <c r="E153" i="1"/>
  <c r="E133" i="1"/>
  <c r="E150" i="1"/>
  <c r="E124" i="1"/>
  <c r="E138" i="1"/>
  <c r="E140" i="1"/>
  <c r="E144" i="1"/>
  <c r="H233" i="1"/>
  <c r="H262" i="1" s="1"/>
  <c r="T115" i="1"/>
  <c r="R115" i="1"/>
  <c r="E82" i="1"/>
  <c r="E84" i="1"/>
  <c r="E86" i="1"/>
  <c r="E102" i="1"/>
  <c r="E104" i="1"/>
  <c r="E106" i="1"/>
  <c r="E108" i="1"/>
  <c r="E110" i="1"/>
  <c r="E112" i="1"/>
  <c r="E114" i="1"/>
  <c r="E76" i="1"/>
  <c r="E78" i="1"/>
  <c r="E88" i="1"/>
  <c r="E90" i="1"/>
  <c r="E92" i="1"/>
  <c r="E94" i="1"/>
  <c r="E96" i="1"/>
  <c r="E98" i="1"/>
  <c r="T73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8" i="1"/>
  <c r="L209" i="1"/>
  <c r="L214" i="1"/>
  <c r="L216" i="1"/>
  <c r="L217" i="1"/>
  <c r="L220" i="1"/>
  <c r="L221" i="1"/>
  <c r="L224" i="1"/>
  <c r="L225" i="1"/>
  <c r="L231" i="1"/>
  <c r="L94" i="1"/>
  <c r="L106" i="1"/>
  <c r="L76" i="1"/>
  <c r="L82" i="1"/>
  <c r="L90" i="1"/>
  <c r="L98" i="1"/>
  <c r="L102" i="1"/>
  <c r="L110" i="1"/>
  <c r="L80" i="1"/>
  <c r="L84" i="1"/>
  <c r="L88" i="1"/>
  <c r="L92" i="1"/>
  <c r="L96" i="1"/>
  <c r="L104" i="1"/>
  <c r="L108" i="1"/>
  <c r="L112" i="1"/>
  <c r="L172" i="1"/>
  <c r="L175" i="1"/>
  <c r="L176" i="1"/>
  <c r="L180" i="1"/>
  <c r="L183" i="1"/>
  <c r="L184" i="1"/>
  <c r="L188" i="1"/>
  <c r="L192" i="1"/>
  <c r="L193" i="1"/>
  <c r="L196" i="1"/>
  <c r="L197" i="1"/>
  <c r="L170" i="1"/>
  <c r="L252" i="1"/>
  <c r="L256" i="1"/>
  <c r="L250" i="1"/>
  <c r="L254" i="1"/>
  <c r="L258" i="1"/>
  <c r="L249" i="1"/>
  <c r="L251" i="1"/>
  <c r="L253" i="1"/>
  <c r="L255" i="1"/>
  <c r="L257" i="1"/>
  <c r="L259" i="1"/>
  <c r="L51" i="1"/>
  <c r="L169" i="1"/>
  <c r="L171" i="1"/>
  <c r="L173" i="1"/>
  <c r="L174" i="1"/>
  <c r="L177" i="1"/>
  <c r="L178" i="1"/>
  <c r="L182" i="1"/>
  <c r="L185" i="1"/>
  <c r="L186" i="1"/>
  <c r="L189" i="1"/>
  <c r="L190" i="1"/>
  <c r="L194" i="1"/>
  <c r="L195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7" i="1"/>
  <c r="E80" i="1"/>
  <c r="L81" i="1"/>
  <c r="L83" i="1"/>
  <c r="L85" i="1"/>
  <c r="L87" i="1"/>
  <c r="L89" i="1"/>
  <c r="L91" i="1"/>
  <c r="L93" i="1"/>
  <c r="L97" i="1"/>
  <c r="L99" i="1"/>
  <c r="L101" i="1"/>
  <c r="L103" i="1"/>
  <c r="L105" i="1"/>
  <c r="L107" i="1"/>
  <c r="L109" i="1"/>
  <c r="L111" i="1"/>
  <c r="L113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3" i="1"/>
  <c r="O262" i="1" s="1"/>
  <c r="L212" i="1"/>
  <c r="L213" i="1"/>
  <c r="L218" i="1"/>
  <c r="L219" i="1"/>
  <c r="L222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6" i="1"/>
  <c r="L67" i="1"/>
  <c r="E68" i="1"/>
  <c r="E70" i="1"/>
  <c r="E72" i="1"/>
  <c r="B4" i="3"/>
  <c r="C13" i="2"/>
  <c r="C3" i="2" s="1"/>
  <c r="R73" i="1"/>
  <c r="R119" i="1"/>
  <c r="R120" i="1"/>
  <c r="R121" i="1"/>
  <c r="R128" i="1"/>
  <c r="R129" i="1"/>
  <c r="R130" i="1"/>
  <c r="R154" i="1"/>
  <c r="B7" i="3"/>
  <c r="C17" i="2"/>
  <c r="C7" i="2" s="1"/>
  <c r="R166" i="1"/>
  <c r="L165" i="1"/>
  <c r="L163" i="1"/>
  <c r="L161" i="1"/>
  <c r="L160" i="1"/>
  <c r="L239" i="1"/>
  <c r="L236" i="1"/>
  <c r="R241" i="1"/>
  <c r="L240" i="1"/>
  <c r="L237" i="1"/>
  <c r="L25" i="1"/>
  <c r="B13" i="2"/>
  <c r="B3" i="2" s="1"/>
  <c r="D233" i="1"/>
  <c r="E232" i="1" s="1"/>
  <c r="R26" i="1"/>
  <c r="T26" i="1"/>
  <c r="B10" i="3"/>
  <c r="C14" i="2"/>
  <c r="C4" i="2" s="1"/>
  <c r="B8" i="3"/>
  <c r="C15" i="2"/>
  <c r="C5" i="2" s="1"/>
  <c r="L141" i="1"/>
  <c r="E142" i="1"/>
  <c r="L142" i="1"/>
  <c r="E174" i="1"/>
  <c r="E176" i="1"/>
  <c r="E178" i="1"/>
  <c r="E180" i="1"/>
  <c r="E182" i="1"/>
  <c r="E184" i="1"/>
  <c r="E186" i="1"/>
  <c r="E188" i="1"/>
  <c r="E190" i="1"/>
  <c r="E193" i="1"/>
  <c r="E195" i="1"/>
  <c r="E197" i="1"/>
  <c r="L203" i="1"/>
  <c r="R204" i="1"/>
  <c r="E209" i="1"/>
  <c r="E213" i="1"/>
  <c r="E216" i="1"/>
  <c r="E219" i="1"/>
  <c r="E221" i="1"/>
  <c r="E223" i="1"/>
  <c r="E225" i="1"/>
  <c r="E229" i="1"/>
  <c r="E231" i="1"/>
  <c r="R236" i="1"/>
  <c r="L238" i="1"/>
  <c r="E239" i="1"/>
  <c r="L244" i="1"/>
  <c r="C18" i="2"/>
  <c r="C8" i="2" s="1"/>
  <c r="C19" i="2"/>
  <c r="C9" i="2" s="1"/>
  <c r="C20" i="2"/>
  <c r="C10" i="2" s="1"/>
  <c r="C13" i="4"/>
  <c r="E13" i="4"/>
  <c r="G13" i="4"/>
  <c r="I13" i="4"/>
  <c r="R198" i="1"/>
  <c r="R232" i="1"/>
  <c r="E236" i="1"/>
  <c r="E237" i="1"/>
  <c r="E240" i="1"/>
  <c r="B9" i="3" l="1"/>
  <c r="L156" i="1"/>
  <c r="L144" i="1"/>
  <c r="L132" i="1"/>
  <c r="L121" i="1"/>
  <c r="L146" i="1"/>
  <c r="L130" i="1"/>
  <c r="L123" i="1"/>
  <c r="L138" i="1"/>
  <c r="L153" i="1"/>
  <c r="L150" i="1"/>
  <c r="K233" i="1"/>
  <c r="L157" i="1" s="1"/>
  <c r="L120" i="1"/>
  <c r="L148" i="1"/>
  <c r="L127" i="1"/>
  <c r="L134" i="1"/>
  <c r="L140" i="1"/>
  <c r="L151" i="1"/>
  <c r="C16" i="2"/>
  <c r="C6" i="2" s="1"/>
  <c r="L155" i="1"/>
  <c r="L119" i="1"/>
  <c r="L149" i="1"/>
  <c r="L125" i="1"/>
  <c r="L154" i="1"/>
  <c r="L128" i="1"/>
  <c r="L129" i="1"/>
  <c r="L143" i="1"/>
  <c r="L122" i="1"/>
  <c r="L124" i="1"/>
  <c r="L131" i="1"/>
  <c r="L133" i="1"/>
  <c r="L135" i="1"/>
  <c r="L139" i="1"/>
  <c r="L145" i="1"/>
  <c r="L147" i="1"/>
  <c r="L152" i="1"/>
  <c r="R157" i="1"/>
  <c r="E198" i="1"/>
  <c r="E115" i="1"/>
  <c r="D262" i="1"/>
  <c r="E204" i="1"/>
  <c r="E157" i="1"/>
  <c r="E166" i="1"/>
  <c r="E26" i="1"/>
  <c r="E73" i="1"/>
  <c r="L204" i="1" l="1"/>
  <c r="R233" i="1"/>
  <c r="L73" i="1"/>
  <c r="L232" i="1"/>
  <c r="L166" i="1"/>
  <c r="L198" i="1"/>
  <c r="K262" i="1"/>
  <c r="L115" i="1"/>
  <c r="L26" i="1"/>
</calcChain>
</file>

<file path=xl/sharedStrings.xml><?xml version="1.0" encoding="utf-8"?>
<sst xmlns="http://schemas.openxmlformats.org/spreadsheetml/2006/main" count="543" uniqueCount="339">
  <si>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</si>
  <si>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</si>
  <si>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</si>
  <si>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</si>
  <si>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</si>
  <si>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</si>
  <si>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</si>
  <si>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</si>
  <si>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</si>
  <si>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</si>
  <si>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</si>
  <si>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</si>
  <si>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</si>
  <si>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</si>
  <si>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</si>
  <si>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</si>
  <si>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</si>
  <si>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</si>
  <si>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</si>
  <si>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</si>
  <si>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</si>
  <si>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</si>
  <si>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</si>
  <si>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</si>
  <si>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</si>
  <si>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</si>
  <si>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</si>
  <si>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</si>
  <si>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</si>
  <si>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</si>
  <si>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</si>
  <si>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</si>
  <si>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</si>
  <si>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</si>
  <si>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</si>
  <si>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</si>
  <si>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</si>
  <si>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</si>
  <si>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</si>
  <si>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</si>
  <si>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</si>
  <si>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</si>
  <si>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</si>
  <si>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</si>
  <si>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</si>
  <si>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</si>
  <si>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</si>
  <si>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</si>
  <si>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</si>
  <si>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</si>
  <si>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</si>
  <si>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</si>
  <si>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</si>
  <si>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</si>
  <si>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</si>
  <si>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</si>
  <si>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</si>
  <si>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</si>
  <si>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</si>
  <si>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</si>
  <si>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</si>
  <si>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</si>
  <si>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</si>
  <si>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</si>
  <si>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</si>
  <si>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</si>
  <si>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</si>
  <si>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</si>
  <si>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</si>
  <si>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</si>
  <si>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</si>
  <si>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</si>
  <si>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</si>
  <si>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</si>
  <si>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</si>
  <si>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</si>
  <si>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</si>
  <si>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</si>
  <si>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</si>
  <si>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</si>
  <si>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</si>
  <si>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</si>
  <si>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</si>
  <si>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</si>
  <si>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</si>
  <si>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</si>
  <si>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</si>
  <si>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</si>
  <si>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</si>
  <si>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</si>
  <si>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</si>
  <si>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</si>
  <si>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</si>
  <si>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</si>
  <si>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</si>
  <si>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</si>
  <si>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</si>
  <si>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</si>
  <si>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</si>
  <si>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</si>
  <si>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</si>
  <si>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</si>
  <si>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</si>
  <si>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</si>
  <si>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</si>
  <si>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</si>
  <si>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</si>
  <si>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</si>
  <si>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</si>
  <si>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</si>
  <si>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</si>
  <si>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</si>
  <si>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</si>
  <si>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</si>
  <si>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</si>
  <si>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</si>
  <si>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</si>
  <si>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</si>
  <si>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</si>
  <si>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</si>
  <si>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</si>
  <si>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</si>
  <si>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</si>
  <si>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</si>
  <si>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</si>
  <si>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</si>
  <si>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</si>
  <si>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</si>
  <si>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</si>
  <si>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</si>
  <si>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</si>
  <si>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</si>
  <si>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</si>
  <si>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</si>
  <si>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</si>
  <si>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</si>
  <si>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</si>
  <si>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</si>
  <si>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</si>
  <si>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</si>
  <si>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</si>
  <si>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</si>
  <si>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</si>
  <si>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</si>
  <si>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</si>
  <si>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</si>
  <si>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</si>
  <si>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</si>
  <si>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</si>
  <si>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</si>
  <si>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</si>
  <si>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</si>
  <si>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</si>
  <si>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</si>
  <si>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</si>
  <si>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</si>
  <si>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</si>
  <si>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</si>
  <si>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</si>
  <si>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</si>
  <si>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</si>
  <si>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</si>
  <si>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</si>
  <si>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</si>
  <si>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</si>
  <si>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</si>
  <si>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</si>
  <si>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</si>
  <si>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</si>
  <si>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</si>
  <si>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</si>
  <si>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</si>
  <si>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</si>
  <si>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</si>
  <si>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</si>
  <si>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</si>
  <si>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</si>
  <si>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</si>
  <si>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</si>
  <si>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</si>
  <si>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</si>
  <si>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</si>
  <si>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</si>
  <si>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</si>
  <si>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</si>
  <si>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</si>
  <si>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</si>
  <si>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</si>
  <si>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</si>
  <si>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</si>
  <si>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</si>
  <si>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</si>
  <si>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</si>
  <si>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</si>
  <si>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</si>
  <si>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</si>
  <si>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</si>
  <si>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</si>
  <si>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</si>
  <si>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</si>
  <si>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</si>
  <si>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</si>
  <si>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</si>
  <si>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</si>
  <si>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</si>
  <si>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</si>
  <si>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</si>
  <si>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</si>
  <si>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</si>
  <si>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</si>
  <si>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</si>
  <si>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</si>
  <si>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</si>
  <si>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</si>
  <si>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</si>
  <si>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</si>
  <si>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</si>
  <si>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</si>
  <si>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</si>
  <si>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</si>
  <si>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</si>
  <si>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</si>
  <si>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</si>
  <si>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</si>
  <si>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</si>
  <si>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</si>
  <si>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</si>
  <si>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</si>
  <si>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</si>
  <si>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</si>
  <si>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</si>
  <si>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</si>
  <si>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</si>
  <si>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</si>
  <si>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</si>
  <si>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</si>
  <si>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</si>
  <si>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</si>
  <si>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</si>
  <si>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</si>
  <si>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</si>
  <si>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</si>
  <si>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</si>
  <si>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</si>
  <si>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</si>
  <si>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</si>
  <si>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</si>
  <si>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</si>
  <si>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</si>
  <si>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</si>
  <si>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</si>
  <si>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</si>
  <si>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</si>
  <si>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</si>
  <si>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</si>
  <si>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</si>
  <si>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</si>
  <si>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</si>
  <si>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</si>
  <si>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</si>
  <si>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</si>
  <si>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</si>
  <si>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</si>
  <si>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</si>
  <si>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</si>
  <si>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</si>
  <si>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</si>
  <si>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</si>
  <si>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</si>
  <si>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</si>
  <si>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</si>
  <si>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</si>
  <si>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</si>
  <si>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</si>
  <si>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</si>
  <si>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</si>
  <si>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</si>
  <si>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</si>
  <si>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</si>
  <si>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</si>
  <si>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</si>
  <si>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</si>
  <si>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</si>
  <si>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</si>
  <si>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</si>
  <si>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</si>
  <si>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</si>
  <si>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</si>
  <si>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</si>
  <si>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</si>
  <si>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</si>
  <si>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</si>
  <si>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</si>
  <si>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</si>
  <si>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</si>
  <si>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</si>
  <si>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</si>
  <si>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</si>
  <si>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</si>
  <si>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</si>
  <si>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</si>
  <si>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</si>
  <si>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</si>
  <si>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</si>
  <si>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</si>
  <si>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</si>
  <si>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</si>
  <si>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</si>
  <si>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</si>
  <si>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</si>
  <si>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</si>
  <si>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</si>
  <si>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</si>
  <si>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</si>
  <si>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</si>
  <si>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</si>
  <si>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</si>
  <si>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</si>
  <si>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</si>
  <si>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</si>
  <si>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</si>
  <si>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</si>
  <si>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</si>
  <si>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</si>
  <si>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</si>
  <si>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</si>
  <si>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</si>
  <si>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</si>
  <si>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</si>
  <si>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</si>
  <si>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</si>
  <si>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NAV, Unit Price and Yield as at Week Ended February 6, 2026</t>
  </si>
  <si>
    <t>CFG Ethical Fund</t>
  </si>
  <si>
    <t>Week Ended February 6, 2026</t>
  </si>
  <si>
    <t>WEEKLY VALUATION REPORT OF COLLECTIVE INVESTMENT SCHEMES AS AT WEEK ENDED FRIDAY, FEBRUARY 13, 2026</t>
  </si>
  <si>
    <t>NAV, Unit Price and Yield as at Week Ended February 13, 2026</t>
  </si>
  <si>
    <t>NFEM RATE NG₦/US$ as at 13th February, 2026 = N1355.4181</t>
  </si>
  <si>
    <t>SCM Capital Money Market Fund</t>
  </si>
  <si>
    <t>Week Ended 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</si>
</sst>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2" borderId="1" xfId="44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106.63592937109199</c:v>
                </c:pt>
                <c:pt idx="1">
                  <c:v>5200.7457520310072</c:v>
                </c:pt>
                <c:pt idx="2">
                  <c:v>242.09764288662512</c:v>
                </c:pt>
                <c:pt idx="3">
                  <c:v>1855.8526874333227</c:v>
                </c:pt>
                <c:pt idx="4">
                  <c:v>504.33941231729659</c:v>
                </c:pt>
                <c:pt idx="5" formatCode="_-* #,##0.00_-;\-* #,##0.00_-;_-* &quot;-&quot;??_-;_-@_-">
                  <c:v>97.403173769586118</c:v>
                </c:pt>
                <c:pt idx="6">
                  <c:v>10.809295044160161</c:v>
                </c:pt>
                <c:pt idx="7">
                  <c:v>89.713440000541624</c:v>
                </c:pt>
                <c:pt idx="8">
                  <c:v>19.490186623385224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13,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119.8491439427295</c:v>
                </c:pt>
                <c:pt idx="1">
                  <c:v>5255.3168160080068</c:v>
                </c:pt>
                <c:pt idx="2">
                  <c:v>244.64717030383531</c:v>
                </c:pt>
                <c:pt idx="3">
                  <c:v>1840.4725900320491</c:v>
                </c:pt>
                <c:pt idx="4">
                  <c:v>505.37055932113532</c:v>
                </c:pt>
                <c:pt idx="5" formatCode="_-* #,##0.00_-;\-* #,##0.00_-;_-* &quot;-&quot;??_-;_-@_-">
                  <c:v>104.17887105563953</c:v>
                </c:pt>
                <c:pt idx="6">
                  <c:v>12.237483860206492</c:v>
                </c:pt>
                <c:pt idx="7">
                  <c:v>94.436344010965371</c:v>
                </c:pt>
                <c:pt idx="8">
                  <c:v>20.735268519028136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12237483860.206491</c:v>
                </c:pt>
                <c:pt idx="1">
                  <c:v>20735268519.028137</c:v>
                </c:pt>
                <c:pt idx="2">
                  <c:v>119849143942.72949</c:v>
                </c:pt>
                <c:pt idx="3" formatCode="_-* #,##0.00_-;\-* #,##0.00_-;_-* &quot;-&quot;??_-;_-@_-">
                  <c:v>94436344010.965378</c:v>
                </c:pt>
                <c:pt idx="4">
                  <c:v>104178871055.63953</c:v>
                </c:pt>
                <c:pt idx="5">
                  <c:v>505370559321.13531</c:v>
                </c:pt>
                <c:pt idx="6">
                  <c:v>244647170303.8353</c:v>
                </c:pt>
                <c:pt idx="7">
                  <c:v>1840472590032.0491</c:v>
                </c:pt>
                <c:pt idx="8">
                  <c:v>5255316816008.0068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46015</c:v>
                </c:pt>
                <c:pt idx="1">
                  <c:v>46024</c:v>
                </c:pt>
                <c:pt idx="2">
                  <c:v>46031</c:v>
                </c:pt>
                <c:pt idx="3">
                  <c:v>46038</c:v>
                </c:pt>
                <c:pt idx="4">
                  <c:v>46045</c:v>
                </c:pt>
                <c:pt idx="5">
                  <c:v>46052</c:v>
                </c:pt>
                <c:pt idx="6">
                  <c:v>46059</c:v>
                </c:pt>
                <c:pt idx="7">
                  <c:v>46066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7672.435028174913</c:v>
                </c:pt>
                <c:pt idx="1">
                  <c:v>7797.3820775891299</c:v>
                </c:pt>
                <c:pt idx="2">
                  <c:v>7922.6135885840922</c:v>
                </c:pt>
                <c:pt idx="3">
                  <c:v>8029.3427073122812</c:v>
                </c:pt>
                <c:pt idx="4">
                  <c:v>8056.134516783889</c:v>
                </c:pt>
                <c:pt idx="5">
                  <c:v>8081.3813988736874</c:v>
                </c:pt>
                <c:pt idx="6">
                  <c:v>8127.0875194770169</c:v>
                </c:pt>
                <c:pt idx="7">
                  <c:v>8197.2442470535952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46015</c:v>
                </c:pt>
                <c:pt idx="1">
                  <c:v>46024</c:v>
                </c:pt>
                <c:pt idx="2">
                  <c:v>46031</c:v>
                </c:pt>
                <c:pt idx="3">
                  <c:v>46038</c:v>
                </c:pt>
                <c:pt idx="4">
                  <c:v>46045</c:v>
                </c:pt>
                <c:pt idx="5">
                  <c:v>46052</c:v>
                </c:pt>
                <c:pt idx="6">
                  <c:v>46059</c:v>
                </c:pt>
                <c:pt idx="7">
                  <c:v>46066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18.082167415780003</c:v>
                </c:pt>
                <c:pt idx="1">
                  <c:v>18.294657025999999</c:v>
                </c:pt>
                <c:pt idx="2">
                  <c:v>18.629129376529999</c:v>
                </c:pt>
                <c:pt idx="3">
                  <c:v>19.377061801090001</c:v>
                </c:pt>
                <c:pt idx="4">
                  <c:v>19.447744548879999</c:v>
                </c:pt>
                <c:pt idx="5">
                  <c:v>19.641137987049994</c:v>
                </c:pt>
                <c:pt idx="6">
                  <c:v>20.41173907228</c:v>
                </c:pt>
                <c:pt idx="7">
                  <c:v>21.462872515840001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0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5" t="s">
        <v>334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5" ht="14.4" customHeight="1">
      <c r="A2" s="25"/>
      <c r="B2" s="26"/>
      <c r="C2" s="27"/>
      <c r="D2" s="196" t="s">
        <v>331</v>
      </c>
      <c r="E2" s="196"/>
      <c r="F2" s="196"/>
      <c r="G2" s="196"/>
      <c r="H2" s="196"/>
      <c r="I2" s="196"/>
      <c r="J2" s="196"/>
      <c r="K2" s="196" t="s">
        <v>335</v>
      </c>
      <c r="L2" s="196"/>
      <c r="M2" s="196"/>
      <c r="N2" s="196"/>
      <c r="O2" s="196"/>
      <c r="P2" s="196"/>
      <c r="Q2" s="196"/>
      <c r="R2" s="196" t="s">
        <v>0</v>
      </c>
      <c r="S2" s="196"/>
      <c r="T2" s="196"/>
      <c r="U2" s="196" t="s">
        <v>1</v>
      </c>
      <c r="V2" s="196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5" ht="15" customHeight="1">
      <c r="A5" s="193" t="s">
        <v>18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</row>
    <row r="6" spans="1:25">
      <c r="A6" s="182">
        <v>1</v>
      </c>
      <c r="B6" s="150" t="s">
        <v>19</v>
      </c>
      <c r="C6" s="149" t="s">
        <v>20</v>
      </c>
      <c r="D6" s="146">
        <v>6332599357.3599997</v>
      </c>
      <c r="E6" s="144">
        <f t="shared" ref="E6:E24" si="0">(D6/$D$26)</f>
        <v>5.9385231551015188E-2</v>
      </c>
      <c r="F6" s="146">
        <v>683.88559999999995</v>
      </c>
      <c r="G6" s="146">
        <v>689.92250000000001</v>
      </c>
      <c r="H6" s="38">
        <v>1695</v>
      </c>
      <c r="I6" s="59">
        <v>3.49E-2</v>
      </c>
      <c r="J6" s="59">
        <v>0.10489999999999999</v>
      </c>
      <c r="K6" s="146">
        <v>7121910818.6400003</v>
      </c>
      <c r="L6" s="144">
        <f t="shared" ref="L6:L25" si="1">(K6/$K$26)</f>
        <v>5.9423960692145124E-2</v>
      </c>
      <c r="M6" s="146">
        <v>726.96320000000003</v>
      </c>
      <c r="N6" s="146">
        <v>732.44960000000003</v>
      </c>
      <c r="O6" s="38">
        <v>1695</v>
      </c>
      <c r="P6" s="59">
        <v>6.3E-2</v>
      </c>
      <c r="Q6" s="59">
        <v>0.17449999999999999</v>
      </c>
      <c r="R6" s="64">
        <f>((K6-D6)/D6)</f>
        <v>0.12464257041030574</v>
      </c>
      <c r="S6" s="64">
        <f>((N6-G6)/G6)</f>
        <v>6.1640401639314585E-2</v>
      </c>
      <c r="T6" s="64">
        <f>((O6-H6)/H6)</f>
        <v>0</v>
      </c>
      <c r="U6" s="64">
        <f>P6-I6</f>
        <v>2.81E-2</v>
      </c>
      <c r="V6" s="65">
        <f>Q6-J6</f>
        <v>6.9599999999999995E-2</v>
      </c>
      <c r="W6" s="147"/>
    </row>
    <row r="7" spans="1:25">
      <c r="A7" s="182">
        <v>2</v>
      </c>
      <c r="B7" s="150" t="s">
        <v>21</v>
      </c>
      <c r="C7" s="149" t="s">
        <v>22</v>
      </c>
      <c r="D7" s="34">
        <v>1484377576.27</v>
      </c>
      <c r="E7" s="35">
        <f t="shared" si="0"/>
        <v>1.3920051009302695E-2</v>
      </c>
      <c r="F7" s="34">
        <v>463.25459999999998</v>
      </c>
      <c r="G7" s="34">
        <v>468.83629999999999</v>
      </c>
      <c r="H7" s="36">
        <v>662</v>
      </c>
      <c r="I7" s="58">
        <v>1.1017000000000001E-2</v>
      </c>
      <c r="J7" s="58">
        <v>0.1308</v>
      </c>
      <c r="K7" s="34">
        <v>1569932256.79</v>
      </c>
      <c r="L7" s="35">
        <f t="shared" si="1"/>
        <v>1.309923629942822E-2</v>
      </c>
      <c r="M7" s="34">
        <v>494.97410000000002</v>
      </c>
      <c r="N7" s="34">
        <v>501.30259999999998</v>
      </c>
      <c r="O7" s="36">
        <v>670</v>
      </c>
      <c r="P7" s="58">
        <v>2.8211E-2</v>
      </c>
      <c r="Q7" s="58">
        <v>0.20830000000000001</v>
      </c>
      <c r="R7" s="63">
        <f t="shared" ref="R7:R26" si="2">((K7-D7)/D7)</f>
        <v>5.7636737369062802E-2</v>
      </c>
      <c r="S7" s="63">
        <f t="shared" ref="S7:S26" si="3">((N7-G7)/G7)</f>
        <v>6.9248690854355754E-2</v>
      </c>
      <c r="T7" s="63">
        <f t="shared" ref="T7:T26" si="4">((O7-H7)/H7)</f>
        <v>1.2084592145015106E-2</v>
      </c>
      <c r="U7" s="64">
        <f t="shared" ref="U7:U26" si="5">P7-I7</f>
        <v>1.7194000000000001E-2</v>
      </c>
      <c r="V7" s="65">
        <f t="shared" ref="V7:V26" si="6">Q7-J7</f>
        <v>7.7500000000000013E-2</v>
      </c>
    </row>
    <row r="8" spans="1:25">
      <c r="A8" s="182">
        <v>3</v>
      </c>
      <c r="B8" s="150" t="s">
        <v>23</v>
      </c>
      <c r="C8" s="149" t="s">
        <v>24</v>
      </c>
      <c r="D8" s="34">
        <v>9243353191.0900002</v>
      </c>
      <c r="E8" s="35">
        <f t="shared" si="0"/>
        <v>8.6681414468881501E-2</v>
      </c>
      <c r="F8" s="34">
        <v>57.756100000000004</v>
      </c>
      <c r="G8" s="37">
        <v>59.497500000000002</v>
      </c>
      <c r="H8" s="38">
        <v>8877</v>
      </c>
      <c r="I8" s="59">
        <v>1.6262000000000001</v>
      </c>
      <c r="J8" s="59">
        <v>0.89259999999999995</v>
      </c>
      <c r="K8" s="34">
        <v>10005023707.540001</v>
      </c>
      <c r="L8" s="35">
        <f t="shared" si="1"/>
        <v>8.3480143273455099E-2</v>
      </c>
      <c r="M8" s="34">
        <v>60.968000000000004</v>
      </c>
      <c r="N8" s="37">
        <v>62.8063</v>
      </c>
      <c r="O8" s="38">
        <v>8947</v>
      </c>
      <c r="P8" s="59">
        <v>2.8997999999999999</v>
      </c>
      <c r="Q8" s="59">
        <v>1.2537</v>
      </c>
      <c r="R8" s="63">
        <f t="shared" si="2"/>
        <v>8.2401970443388692E-2</v>
      </c>
      <c r="S8" s="63">
        <f t="shared" si="3"/>
        <v>5.5612420689944916E-2</v>
      </c>
      <c r="T8" s="63">
        <f t="shared" si="4"/>
        <v>7.8855469190041681E-3</v>
      </c>
      <c r="U8" s="64">
        <f t="shared" si="5"/>
        <v>1.2735999999999998</v>
      </c>
      <c r="V8" s="65">
        <f t="shared" si="6"/>
        <v>0.36110000000000009</v>
      </c>
      <c r="X8" s="66"/>
      <c r="Y8" s="66"/>
    </row>
    <row r="9" spans="1:25">
      <c r="A9" s="182">
        <v>4</v>
      </c>
      <c r="B9" s="150" t="s">
        <v>25</v>
      </c>
      <c r="C9" s="149" t="s">
        <v>26</v>
      </c>
      <c r="D9" s="34">
        <v>1310940978.8800001</v>
      </c>
      <c r="E9" s="35">
        <f t="shared" si="0"/>
        <v>1.2293614231259131E-2</v>
      </c>
      <c r="F9" s="34">
        <v>276.25630000000001</v>
      </c>
      <c r="G9" s="34">
        <v>276.25630000000001</v>
      </c>
      <c r="H9" s="36">
        <v>2340</v>
      </c>
      <c r="I9" s="58">
        <v>3.3700000000000001E-2</v>
      </c>
      <c r="J9" s="58">
        <v>0.10390000000000001</v>
      </c>
      <c r="K9" s="34">
        <v>1449986823.23</v>
      </c>
      <c r="L9" s="35">
        <f t="shared" si="1"/>
        <v>1.2098432875940136E-2</v>
      </c>
      <c r="M9" s="34">
        <v>293.35680000000002</v>
      </c>
      <c r="N9" s="34">
        <v>293.35680000000002</v>
      </c>
      <c r="O9" s="36">
        <v>2357</v>
      </c>
      <c r="P9" s="58">
        <v>6.1899999999999997E-2</v>
      </c>
      <c r="Q9" s="58">
        <v>0.17219999999999999</v>
      </c>
      <c r="R9" s="63">
        <f t="shared" si="2"/>
        <v>0.10606567846310934</v>
      </c>
      <c r="S9" s="63">
        <f t="shared" si="3"/>
        <v>6.1900850767928228E-2</v>
      </c>
      <c r="T9" s="63">
        <f t="shared" si="4"/>
        <v>7.2649572649572652E-3</v>
      </c>
      <c r="U9" s="64">
        <f t="shared" si="5"/>
        <v>2.8199999999999996E-2</v>
      </c>
      <c r="V9" s="65">
        <f t="shared" si="6"/>
        <v>6.8299999999999986E-2</v>
      </c>
    </row>
    <row r="10" spans="1:25">
      <c r="A10" s="182">
        <v>5</v>
      </c>
      <c r="B10" s="150" t="s">
        <v>27</v>
      </c>
      <c r="C10" s="149" t="s">
        <v>28</v>
      </c>
      <c r="D10" s="34">
        <v>3834381583.9200001</v>
      </c>
      <c r="E10" s="35">
        <f t="shared" si="0"/>
        <v>3.5957688994076184E-2</v>
      </c>
      <c r="F10" s="34">
        <v>2.0606</v>
      </c>
      <c r="G10" s="34">
        <v>2.0872000000000002</v>
      </c>
      <c r="H10" s="36">
        <v>1305</v>
      </c>
      <c r="I10" s="58">
        <v>4.1500000000000002E-2</v>
      </c>
      <c r="J10" s="58">
        <v>0.1142</v>
      </c>
      <c r="K10" s="34">
        <v>4215926117.4099998</v>
      </c>
      <c r="L10" s="35">
        <f t="shared" si="1"/>
        <v>3.5176939765415437E-2</v>
      </c>
      <c r="M10" s="34">
        <v>2.1848999999999998</v>
      </c>
      <c r="N10" s="34">
        <v>2.2126000000000001</v>
      </c>
      <c r="O10" s="36">
        <v>1361</v>
      </c>
      <c r="P10" s="58">
        <v>6.0199999999999997E-2</v>
      </c>
      <c r="Q10" s="58">
        <v>0.1812</v>
      </c>
      <c r="R10" s="63">
        <f t="shared" si="2"/>
        <v>9.9506145942818675E-2</v>
      </c>
      <c r="S10" s="63">
        <f t="shared" si="3"/>
        <v>6.0080490609428876E-2</v>
      </c>
      <c r="T10" s="63">
        <f t="shared" si="4"/>
        <v>4.2911877394636012E-2</v>
      </c>
      <c r="U10" s="64">
        <f t="shared" si="5"/>
        <v>1.8699999999999994E-2</v>
      </c>
      <c r="V10" s="65">
        <f t="shared" si="6"/>
        <v>6.7000000000000004E-2</v>
      </c>
    </row>
    <row r="11" spans="1:25">
      <c r="A11" s="182">
        <v>6</v>
      </c>
      <c r="B11" s="150" t="s">
        <v>29</v>
      </c>
      <c r="C11" s="149" t="s">
        <v>30</v>
      </c>
      <c r="D11" s="39">
        <v>343879937.38999999</v>
      </c>
      <c r="E11" s="35">
        <f t="shared" si="0"/>
        <v>3.224803679379969E-3</v>
      </c>
      <c r="F11" s="34">
        <v>233.65809999999999</v>
      </c>
      <c r="G11" s="34">
        <v>235.04499999999999</v>
      </c>
      <c r="H11" s="38">
        <v>123</v>
      </c>
      <c r="I11" s="59">
        <v>1.6799999999999999E-2</v>
      </c>
      <c r="J11" s="59">
        <v>9.1300000000000006E-2</v>
      </c>
      <c r="K11" s="39">
        <v>492986840.48000002</v>
      </c>
      <c r="L11" s="35">
        <f t="shared" si="1"/>
        <v>4.1133947582936113E-3</v>
      </c>
      <c r="M11" s="34">
        <v>245.45230000000001</v>
      </c>
      <c r="N11" s="34">
        <v>246.87260000000001</v>
      </c>
      <c r="O11" s="38">
        <v>140</v>
      </c>
      <c r="P11" s="59">
        <v>2.1080000000000002E-2</v>
      </c>
      <c r="Q11" s="59">
        <v>0.1464</v>
      </c>
      <c r="R11" s="63">
        <f t="shared" si="2"/>
        <v>0.43360163498254739</v>
      </c>
      <c r="S11" s="63">
        <f t="shared" si="3"/>
        <v>5.0320576910804396E-2</v>
      </c>
      <c r="T11" s="63">
        <f t="shared" si="4"/>
        <v>0.13821138211382114</v>
      </c>
      <c r="U11" s="64">
        <f t="shared" si="5"/>
        <v>4.2800000000000026E-3</v>
      </c>
      <c r="V11" s="65">
        <f t="shared" si="6"/>
        <v>5.5099999999999996E-2</v>
      </c>
    </row>
    <row r="12" spans="1:25">
      <c r="A12" s="182">
        <v>7</v>
      </c>
      <c r="B12" s="150" t="s">
        <v>31</v>
      </c>
      <c r="C12" s="149" t="s">
        <v>32</v>
      </c>
      <c r="D12" s="34">
        <v>3976064826.6999998</v>
      </c>
      <c r="E12" s="35">
        <f t="shared" si="0"/>
        <v>3.728635226559833E-2</v>
      </c>
      <c r="F12" s="34">
        <v>499.87</v>
      </c>
      <c r="G12" s="34">
        <v>506.16</v>
      </c>
      <c r="H12" s="38">
        <v>1928</v>
      </c>
      <c r="I12" s="59">
        <v>4.0599999999999997E-2</v>
      </c>
      <c r="J12" s="59">
        <v>0.1027</v>
      </c>
      <c r="K12" s="34">
        <v>4193219536.8800001</v>
      </c>
      <c r="L12" s="35">
        <f t="shared" si="1"/>
        <v>3.4987480084828562E-2</v>
      </c>
      <c r="M12" s="34">
        <v>516.51</v>
      </c>
      <c r="N12" s="34">
        <v>523.69000000000005</v>
      </c>
      <c r="O12" s="38">
        <v>1935</v>
      </c>
      <c r="P12" s="59">
        <v>-3.2800000000000003E-2</v>
      </c>
      <c r="Q12" s="59">
        <v>0.1394</v>
      </c>
      <c r="R12" s="63">
        <f t="shared" si="2"/>
        <v>5.4615485321508554E-2</v>
      </c>
      <c r="S12" s="63">
        <f t="shared" si="3"/>
        <v>3.463331752805443E-2</v>
      </c>
      <c r="T12" s="63">
        <f t="shared" si="4"/>
        <v>3.6307053941908715E-3</v>
      </c>
      <c r="U12" s="64">
        <f t="shared" si="5"/>
        <v>-7.3399999999999993E-2</v>
      </c>
      <c r="V12" s="65">
        <f t="shared" si="6"/>
        <v>3.6699999999999997E-2</v>
      </c>
    </row>
    <row r="13" spans="1:25">
      <c r="A13" s="182">
        <v>8</v>
      </c>
      <c r="B13" s="150" t="s">
        <v>33</v>
      </c>
      <c r="C13" s="149" t="s">
        <v>34</v>
      </c>
      <c r="D13" s="40">
        <v>548023333.38</v>
      </c>
      <c r="E13" s="35">
        <f t="shared" si="0"/>
        <v>5.1391996732441285E-3</v>
      </c>
      <c r="F13" s="34">
        <v>273.73</v>
      </c>
      <c r="G13" s="34">
        <v>286.08</v>
      </c>
      <c r="H13" s="36">
        <v>2469</v>
      </c>
      <c r="I13" s="58">
        <v>3.7499999999999999E-2</v>
      </c>
      <c r="J13" s="58">
        <v>0.29249999999999998</v>
      </c>
      <c r="K13" s="40">
        <v>577716454.03999996</v>
      </c>
      <c r="L13" s="35">
        <f t="shared" si="1"/>
        <v>4.8203636257599354E-3</v>
      </c>
      <c r="M13" s="34">
        <v>288.56</v>
      </c>
      <c r="N13" s="34">
        <v>301.91000000000003</v>
      </c>
      <c r="O13" s="36">
        <v>2469</v>
      </c>
      <c r="P13" s="58">
        <v>5.4199999999999998E-2</v>
      </c>
      <c r="Q13" s="58">
        <v>0.36249999999999999</v>
      </c>
      <c r="R13" s="63">
        <f t="shared" si="2"/>
        <v>5.4182219718390573E-2</v>
      </c>
      <c r="S13" s="63">
        <f t="shared" si="3"/>
        <v>5.5334172259507979E-2</v>
      </c>
      <c r="T13" s="63">
        <f t="shared" si="4"/>
        <v>0</v>
      </c>
      <c r="U13" s="64">
        <f t="shared" si="5"/>
        <v>1.67E-2</v>
      </c>
      <c r="V13" s="65">
        <f t="shared" si="6"/>
        <v>7.0000000000000007E-2</v>
      </c>
    </row>
    <row r="14" spans="1:25">
      <c r="A14" s="182">
        <v>9</v>
      </c>
      <c r="B14" s="150" t="s">
        <v>35</v>
      </c>
      <c r="C14" s="149" t="s">
        <v>36</v>
      </c>
      <c r="D14" s="39">
        <v>103983092.852</v>
      </c>
      <c r="E14" s="35">
        <f t="shared" si="0"/>
        <v>9.751224888765197E-4</v>
      </c>
      <c r="F14" s="34">
        <v>372.16500000000002</v>
      </c>
      <c r="G14" s="34">
        <v>382.71260000000001</v>
      </c>
      <c r="H14" s="36">
        <v>31</v>
      </c>
      <c r="I14" s="58">
        <v>4.2299999999999997E-2</v>
      </c>
      <c r="J14" s="58">
        <v>0.68149999999999999</v>
      </c>
      <c r="K14" s="39">
        <v>107788626.6495</v>
      </c>
      <c r="L14" s="35">
        <f t="shared" si="1"/>
        <v>8.9936918282042407E-4</v>
      </c>
      <c r="M14" s="34">
        <v>385.52199999999999</v>
      </c>
      <c r="N14" s="34">
        <v>396.60950000000003</v>
      </c>
      <c r="O14" s="36">
        <v>31</v>
      </c>
      <c r="P14" s="58">
        <v>3.61E-2</v>
      </c>
      <c r="Q14" s="58">
        <v>0.74229999999999996</v>
      </c>
      <c r="R14" s="63">
        <f t="shared" si="2"/>
        <v>3.6597620758563577E-2</v>
      </c>
      <c r="S14" s="63">
        <f t="shared" si="3"/>
        <v>3.6311582111485267E-2</v>
      </c>
      <c r="T14" s="63">
        <f t="shared" si="4"/>
        <v>0</v>
      </c>
      <c r="U14" s="64">
        <f t="shared" si="5"/>
        <v>-6.1999999999999972E-3</v>
      </c>
      <c r="V14" s="65">
        <f t="shared" si="6"/>
        <v>6.0799999999999965E-2</v>
      </c>
    </row>
    <row r="15" spans="1:25" ht="14.25" customHeight="1">
      <c r="A15" s="182">
        <v>10</v>
      </c>
      <c r="B15" s="150" t="s">
        <v>37</v>
      </c>
      <c r="C15" s="149" t="s">
        <v>38</v>
      </c>
      <c r="D15" s="40">
        <v>5925442509</v>
      </c>
      <c r="E15" s="35">
        <f t="shared" si="0"/>
        <v>5.556703583816968E-2</v>
      </c>
      <c r="F15" s="34">
        <v>4.4309599999999998</v>
      </c>
      <c r="G15" s="34">
        <v>4.4574740000000004</v>
      </c>
      <c r="H15" s="36">
        <v>4932</v>
      </c>
      <c r="I15" s="58">
        <v>3.1399999999999997E-2</v>
      </c>
      <c r="J15" s="58">
        <v>0.1138</v>
      </c>
      <c r="K15" s="40">
        <v>6125414562.04</v>
      </c>
      <c r="L15" s="35">
        <f t="shared" si="1"/>
        <v>5.1109372670755659E-2</v>
      </c>
      <c r="M15" s="34">
        <v>4.5909750000000003</v>
      </c>
      <c r="N15" s="34">
        <v>4.6171189999999998</v>
      </c>
      <c r="O15" s="36">
        <v>5199</v>
      </c>
      <c r="P15" s="58">
        <v>3.61E-2</v>
      </c>
      <c r="Q15" s="58">
        <v>4.2500000000000003E-2</v>
      </c>
      <c r="R15" s="63">
        <f t="shared" si="2"/>
        <v>3.3748037000826119E-2</v>
      </c>
      <c r="S15" s="63">
        <f t="shared" si="3"/>
        <v>3.5815127581226354E-2</v>
      </c>
      <c r="T15" s="63">
        <f t="shared" si="4"/>
        <v>5.4136253041362534E-2</v>
      </c>
      <c r="U15" s="64">
        <f t="shared" si="5"/>
        <v>4.7000000000000028E-3</v>
      </c>
      <c r="V15" s="65">
        <f t="shared" si="6"/>
        <v>-7.1300000000000002E-2</v>
      </c>
    </row>
    <row r="16" spans="1:25" ht="14.25" customHeight="1">
      <c r="A16" s="184">
        <v>11</v>
      </c>
      <c r="B16" s="150" t="s">
        <v>39</v>
      </c>
      <c r="C16" s="149" t="s">
        <v>40</v>
      </c>
      <c r="D16" s="40">
        <v>303213788.57999998</v>
      </c>
      <c r="E16" s="35">
        <f t="shared" si="0"/>
        <v>2.8434486422003126E-3</v>
      </c>
      <c r="F16" s="34">
        <v>30.43</v>
      </c>
      <c r="G16" s="34">
        <v>30.74</v>
      </c>
      <c r="H16" s="36">
        <v>113</v>
      </c>
      <c r="I16" s="58">
        <v>0.03</v>
      </c>
      <c r="J16" s="58">
        <v>0.15</v>
      </c>
      <c r="K16" s="40">
        <v>334624256.06</v>
      </c>
      <c r="L16" s="35">
        <f t="shared" si="1"/>
        <v>2.7920454418923664E-3</v>
      </c>
      <c r="M16" s="34">
        <v>33.51</v>
      </c>
      <c r="N16" s="34">
        <v>33.78</v>
      </c>
      <c r="O16" s="36">
        <v>113</v>
      </c>
      <c r="P16" s="58">
        <v>0.1</v>
      </c>
      <c r="Q16" s="58">
        <v>0.27</v>
      </c>
      <c r="R16" s="63">
        <f t="shared" ref="R16" si="7">((K16-D16)/D16)</f>
        <v>0.10359181759873257</v>
      </c>
      <c r="S16" s="63">
        <f t="shared" ref="S16" si="8">((N16-G16)/G16)</f>
        <v>9.8893949251789293E-2</v>
      </c>
      <c r="T16" s="63">
        <f t="shared" ref="T16" si="9">((O16-H16)/H16)</f>
        <v>0</v>
      </c>
      <c r="U16" s="64">
        <f t="shared" ref="U16" si="10">P16-I16</f>
        <v>7.0000000000000007E-2</v>
      </c>
      <c r="V16" s="65">
        <f t="shared" ref="V16" si="11">Q16-J16</f>
        <v>0.12000000000000002</v>
      </c>
    </row>
    <row r="17" spans="1:22">
      <c r="A17" s="182">
        <v>12</v>
      </c>
      <c r="B17" s="150" t="s">
        <v>41</v>
      </c>
      <c r="C17" s="149" t="s">
        <v>42</v>
      </c>
      <c r="D17" s="41">
        <v>3020911692.54</v>
      </c>
      <c r="E17" s="35">
        <f t="shared" si="0"/>
        <v>2.832921052366184E-2</v>
      </c>
      <c r="F17" s="34">
        <v>6.1</v>
      </c>
      <c r="G17" s="34">
        <v>6.23</v>
      </c>
      <c r="H17" s="36">
        <v>3731</v>
      </c>
      <c r="I17" s="58">
        <v>1.6199999999999999E-2</v>
      </c>
      <c r="J17" s="58">
        <v>0.1023</v>
      </c>
      <c r="K17" s="41">
        <v>3341394759.0500002</v>
      </c>
      <c r="L17" s="35">
        <f t="shared" si="1"/>
        <v>2.7880005222621383E-2</v>
      </c>
      <c r="M17" s="34">
        <v>6.58</v>
      </c>
      <c r="N17" s="34">
        <v>6.72</v>
      </c>
      <c r="O17" s="36">
        <v>3737</v>
      </c>
      <c r="P17" s="58">
        <v>9.6100000000000005E-2</v>
      </c>
      <c r="Q17" s="58">
        <v>0.18890000000000001</v>
      </c>
      <c r="R17" s="63">
        <f t="shared" si="2"/>
        <v>0.10608819426976901</v>
      </c>
      <c r="S17" s="63">
        <f t="shared" si="3"/>
        <v>7.8651685393258314E-2</v>
      </c>
      <c r="T17" s="63">
        <f t="shared" si="4"/>
        <v>1.6081479496113642E-3</v>
      </c>
      <c r="U17" s="64">
        <f t="shared" si="5"/>
        <v>7.9899999999999999E-2</v>
      </c>
      <c r="V17" s="65">
        <f t="shared" si="6"/>
        <v>8.660000000000001E-2</v>
      </c>
    </row>
    <row r="18" spans="1:22">
      <c r="A18" s="182">
        <v>13</v>
      </c>
      <c r="B18" s="150" t="s">
        <v>43</v>
      </c>
      <c r="C18" s="149" t="s">
        <v>44</v>
      </c>
      <c r="D18" s="34">
        <v>4720989614.6499996</v>
      </c>
      <c r="E18" s="35">
        <f t="shared" si="0"/>
        <v>4.427203516200437E-2</v>
      </c>
      <c r="F18" s="34">
        <v>34.540543</v>
      </c>
      <c r="G18" s="34">
        <v>34.677433000000001</v>
      </c>
      <c r="H18" s="36">
        <v>1413</v>
      </c>
      <c r="I18" s="58">
        <v>5.4999999999999997E-3</v>
      </c>
      <c r="J18" s="58">
        <v>6.1800000000000001E-2</v>
      </c>
      <c r="K18" s="34">
        <v>5522559768.0100002</v>
      </c>
      <c r="L18" s="35">
        <f t="shared" si="1"/>
        <v>4.6079259194783929E-2</v>
      </c>
      <c r="M18" s="34">
        <v>39.82</v>
      </c>
      <c r="N18" s="34">
        <v>39.67</v>
      </c>
      <c r="O18" s="36">
        <v>1448</v>
      </c>
      <c r="P18" s="58">
        <v>0.1527</v>
      </c>
      <c r="Q18" s="58">
        <v>0.21940000000000001</v>
      </c>
      <c r="R18" s="63">
        <f t="shared" si="2"/>
        <v>0.16978858645920294</v>
      </c>
      <c r="S18" s="63">
        <f t="shared" si="3"/>
        <v>0.14397164288371636</v>
      </c>
      <c r="T18" s="63">
        <f t="shared" si="4"/>
        <v>2.4769992922859165E-2</v>
      </c>
      <c r="U18" s="64">
        <f t="shared" si="5"/>
        <v>0.1472</v>
      </c>
      <c r="V18" s="65">
        <f t="shared" si="6"/>
        <v>0.15760000000000002</v>
      </c>
    </row>
    <row r="19" spans="1:22">
      <c r="A19" s="182">
        <v>14</v>
      </c>
      <c r="B19" s="150" t="s">
        <v>45</v>
      </c>
      <c r="C19" s="149" t="s">
        <v>46</v>
      </c>
      <c r="D19" s="34">
        <v>201332803.84</v>
      </c>
      <c r="E19" s="35">
        <f t="shared" si="0"/>
        <v>1.8880390973980618E-3</v>
      </c>
      <c r="F19" s="34">
        <v>2.17</v>
      </c>
      <c r="G19" s="34">
        <v>2.25</v>
      </c>
      <c r="H19" s="36">
        <v>26</v>
      </c>
      <c r="I19" s="58">
        <v>4.3099999999999999E-2</v>
      </c>
      <c r="J19" s="58">
        <v>4.9799999999999997E-2</v>
      </c>
      <c r="K19" s="34">
        <v>216543802.47999999</v>
      </c>
      <c r="L19" s="35">
        <f t="shared" si="1"/>
        <v>1.8068030805749979E-3</v>
      </c>
      <c r="M19" s="34">
        <v>2.3284859999999998</v>
      </c>
      <c r="N19" s="34">
        <v>2.4040360000000001</v>
      </c>
      <c r="O19" s="36">
        <v>26</v>
      </c>
      <c r="P19" s="58">
        <v>3.8899999999999997E-2</v>
      </c>
      <c r="Q19" s="58">
        <v>0.189</v>
      </c>
      <c r="R19" s="63">
        <f t="shared" si="2"/>
        <v>7.5551516443829139E-2</v>
      </c>
      <c r="S19" s="63">
        <f t="shared" si="3"/>
        <v>6.8460444444444477E-2</v>
      </c>
      <c r="T19" s="63">
        <f t="shared" si="4"/>
        <v>0</v>
      </c>
      <c r="U19" s="64">
        <f t="shared" si="5"/>
        <v>-4.2000000000000023E-3</v>
      </c>
      <c r="V19" s="65">
        <f t="shared" si="6"/>
        <v>0.13919999999999999</v>
      </c>
    </row>
    <row r="20" spans="1:22">
      <c r="A20" s="182">
        <v>15</v>
      </c>
      <c r="B20" s="150" t="s">
        <v>47</v>
      </c>
      <c r="C20" s="149" t="s">
        <v>48</v>
      </c>
      <c r="D20" s="142">
        <v>10492410356.950001</v>
      </c>
      <c r="E20" s="35">
        <f t="shared" si="0"/>
        <v>9.8394700724523304E-2</v>
      </c>
      <c r="F20" s="34">
        <v>52.29</v>
      </c>
      <c r="G20" s="34">
        <v>52.4</v>
      </c>
      <c r="H20" s="36">
        <v>15105</v>
      </c>
      <c r="I20" s="58">
        <v>4.4600000000000001E-2</v>
      </c>
      <c r="J20" s="58">
        <v>0.1439</v>
      </c>
      <c r="K20" s="142">
        <v>12131644984.690001</v>
      </c>
      <c r="L20" s="35">
        <f t="shared" si="1"/>
        <v>0.10122429402155068</v>
      </c>
      <c r="M20" s="34">
        <v>59.06</v>
      </c>
      <c r="N20" s="34">
        <v>59.18</v>
      </c>
      <c r="O20" s="36">
        <v>15268</v>
      </c>
      <c r="P20" s="58">
        <v>0.10050000000000001</v>
      </c>
      <c r="Q20" s="58">
        <v>0.24440000000000001</v>
      </c>
      <c r="R20" s="63">
        <f t="shared" si="2"/>
        <v>0.15623051062372886</v>
      </c>
      <c r="S20" s="63">
        <f t="shared" si="3"/>
        <v>0.12938931297709927</v>
      </c>
      <c r="T20" s="63">
        <f t="shared" si="4"/>
        <v>1.07911287653095E-2</v>
      </c>
      <c r="U20" s="64">
        <f t="shared" si="5"/>
        <v>5.5900000000000005E-2</v>
      </c>
      <c r="V20" s="65">
        <f t="shared" si="6"/>
        <v>0.10050000000000001</v>
      </c>
    </row>
    <row r="21" spans="1:22" ht="12.75" customHeight="1">
      <c r="A21" s="182">
        <v>16</v>
      </c>
      <c r="B21" s="150" t="s">
        <v>49</v>
      </c>
      <c r="C21" s="149" t="s">
        <v>50</v>
      </c>
      <c r="D21" s="34">
        <v>2092275012.3199999</v>
      </c>
      <c r="E21" s="35">
        <f t="shared" si="0"/>
        <v>1.9620732192795011E-2</v>
      </c>
      <c r="F21" s="34">
        <v>13936.29</v>
      </c>
      <c r="G21" s="34">
        <v>14116.59</v>
      </c>
      <c r="H21" s="36">
        <v>46</v>
      </c>
      <c r="I21" s="58">
        <v>4.1000000000000002E-2</v>
      </c>
      <c r="J21" s="58">
        <v>9.7600000000000006E-2</v>
      </c>
      <c r="K21" s="34">
        <v>2772417166.1599998</v>
      </c>
      <c r="L21" s="35">
        <f t="shared" si="1"/>
        <v>2.3132557104327864E-2</v>
      </c>
      <c r="M21" s="34">
        <v>14709.33</v>
      </c>
      <c r="N21" s="34">
        <v>14868.44</v>
      </c>
      <c r="O21" s="36">
        <v>49</v>
      </c>
      <c r="P21" s="58">
        <v>5.33E-2</v>
      </c>
      <c r="Q21" s="58">
        <v>0.15609999999999999</v>
      </c>
      <c r="R21" s="63">
        <f t="shared" si="2"/>
        <v>0.32507301852533743</v>
      </c>
      <c r="S21" s="63">
        <f t="shared" si="3"/>
        <v>5.3260029511376358E-2</v>
      </c>
      <c r="T21" s="63">
        <f t="shared" si="4"/>
        <v>6.5217391304347824E-2</v>
      </c>
      <c r="U21" s="64">
        <f t="shared" si="5"/>
        <v>1.2299999999999998E-2</v>
      </c>
      <c r="V21" s="65">
        <f t="shared" si="6"/>
        <v>5.8499999999999983E-2</v>
      </c>
    </row>
    <row r="22" spans="1:22">
      <c r="A22" s="182">
        <v>17</v>
      </c>
      <c r="B22" s="150" t="s">
        <v>51</v>
      </c>
      <c r="C22" s="149" t="s">
        <v>50</v>
      </c>
      <c r="D22" s="34">
        <v>32614603935.200001</v>
      </c>
      <c r="E22" s="35">
        <f t="shared" si="0"/>
        <v>0.30585004629819934</v>
      </c>
      <c r="F22" s="34">
        <v>47121.83</v>
      </c>
      <c r="G22" s="34">
        <v>47737.27</v>
      </c>
      <c r="H22" s="36">
        <v>22185</v>
      </c>
      <c r="I22" s="58">
        <v>3.8199999999999998E-2</v>
      </c>
      <c r="J22" s="58">
        <v>0.10299999999999999</v>
      </c>
      <c r="K22" s="34">
        <v>36523897040.989998</v>
      </c>
      <c r="L22" s="35">
        <f t="shared" si="1"/>
        <v>0.30474891884453614</v>
      </c>
      <c r="M22" s="34">
        <v>49762.38</v>
      </c>
      <c r="N22" s="34">
        <v>50418.5</v>
      </c>
      <c r="O22" s="36">
        <v>22802</v>
      </c>
      <c r="P22" s="58">
        <v>5.62E-2</v>
      </c>
      <c r="Q22" s="58">
        <v>0.16500000000000001</v>
      </c>
      <c r="R22" s="63">
        <f t="shared" si="2"/>
        <v>0.11986327086961218</v>
      </c>
      <c r="S22" s="63">
        <f t="shared" si="3"/>
        <v>5.6166387395006109E-2</v>
      </c>
      <c r="T22" s="63">
        <f t="shared" si="4"/>
        <v>2.7811584403876492E-2</v>
      </c>
      <c r="U22" s="64">
        <f t="shared" si="5"/>
        <v>1.8000000000000002E-2</v>
      </c>
      <c r="V22" s="65">
        <f t="shared" si="6"/>
        <v>6.2000000000000013E-2</v>
      </c>
    </row>
    <row r="23" spans="1:22">
      <c r="A23" s="184">
        <v>18</v>
      </c>
      <c r="B23" s="149" t="s">
        <v>52</v>
      </c>
      <c r="C23" s="149" t="s">
        <v>53</v>
      </c>
      <c r="D23" s="34">
        <v>8245913860.4200001</v>
      </c>
      <c r="E23" s="35">
        <f t="shared" si="0"/>
        <v>7.7327725364724875E-2</v>
      </c>
      <c r="F23" s="34">
        <v>2.1105</v>
      </c>
      <c r="G23" s="42">
        <v>2.1312000000000002</v>
      </c>
      <c r="H23" s="36">
        <v>7042</v>
      </c>
      <c r="I23" s="58">
        <v>3.1800000000000002E-2</v>
      </c>
      <c r="J23" s="58">
        <v>9.7900000000000001E-2</v>
      </c>
      <c r="K23" s="34">
        <v>8894081855.6900005</v>
      </c>
      <c r="L23" s="35">
        <f t="shared" si="1"/>
        <v>7.421064150395669E-2</v>
      </c>
      <c r="M23" s="34">
        <v>2.2469999999999999</v>
      </c>
      <c r="N23" s="42">
        <v>2.2694000000000001</v>
      </c>
      <c r="O23" s="36">
        <v>7095</v>
      </c>
      <c r="P23" s="58">
        <v>6.4699999999999994E-2</v>
      </c>
      <c r="Q23" s="58">
        <v>0.16889999999999999</v>
      </c>
      <c r="R23" s="63">
        <f t="shared" ref="R23:R24" si="12">((K23-D23)/D23)</f>
        <v>7.8604749727155948E-2</v>
      </c>
      <c r="S23" s="63">
        <f t="shared" ref="S23:S24" si="13">((N23-G23)/G23)</f>
        <v>6.484609609609604E-2</v>
      </c>
      <c r="T23" s="63">
        <f t="shared" ref="T23:T24" si="14">((O23-H23)/H23)</f>
        <v>7.526270945754047E-3</v>
      </c>
      <c r="U23" s="64">
        <f t="shared" ref="U23:U24" si="15">P23-I23</f>
        <v>3.2899999999999992E-2</v>
      </c>
      <c r="V23" s="65">
        <f t="shared" ref="V23:V24" si="16">Q23-J23</f>
        <v>7.0999999999999994E-2</v>
      </c>
    </row>
    <row r="24" spans="1:22">
      <c r="A24" s="184">
        <v>19</v>
      </c>
      <c r="B24" s="150" t="s">
        <v>328</v>
      </c>
      <c r="C24" s="149" t="s">
        <v>125</v>
      </c>
      <c r="D24" s="34">
        <v>522552677.02999997</v>
      </c>
      <c r="E24" s="35">
        <f t="shared" si="0"/>
        <v>4.9003434406383025E-3</v>
      </c>
      <c r="F24" s="34">
        <v>1.22</v>
      </c>
      <c r="G24" s="42">
        <v>1.23</v>
      </c>
      <c r="H24" s="36">
        <v>276</v>
      </c>
      <c r="I24" s="58">
        <v>7.7799999999999994E-2</v>
      </c>
      <c r="J24" s="58">
        <v>0.19589999999999999</v>
      </c>
      <c r="K24" s="34">
        <v>755588786.69000006</v>
      </c>
      <c r="L24" s="35">
        <f t="shared" si="1"/>
        <v>6.3044988210434099E-3</v>
      </c>
      <c r="M24" s="34">
        <v>1.33</v>
      </c>
      <c r="N24" s="42">
        <v>1.35</v>
      </c>
      <c r="O24" s="36">
        <v>362</v>
      </c>
      <c r="P24" s="58">
        <v>9.7699999999999995E-2</v>
      </c>
      <c r="Q24" s="58">
        <v>0.3125</v>
      </c>
      <c r="R24" s="63">
        <f t="shared" si="12"/>
        <v>0.44595716356194531</v>
      </c>
      <c r="S24" s="63">
        <f t="shared" si="13"/>
        <v>9.7560975609756184E-2</v>
      </c>
      <c r="T24" s="63">
        <f t="shared" si="14"/>
        <v>0.31159420289855072</v>
      </c>
      <c r="U24" s="64">
        <f t="shared" si="15"/>
        <v>1.9900000000000001E-2</v>
      </c>
      <c r="V24" s="65">
        <f t="shared" si="16"/>
        <v>0.11660000000000001</v>
      </c>
    </row>
    <row r="25" spans="1:22">
      <c r="A25" s="182">
        <v>20</v>
      </c>
      <c r="B25" s="149" t="s">
        <v>54</v>
      </c>
      <c r="C25" s="149" t="s">
        <v>55</v>
      </c>
      <c r="D25" s="34">
        <v>11318679242.719999</v>
      </c>
      <c r="E25" s="35">
        <f>(D25/$D$26)</f>
        <v>0.10614320435405131</v>
      </c>
      <c r="F25" s="34">
        <v>243.73</v>
      </c>
      <c r="G25" s="42">
        <v>247.93</v>
      </c>
      <c r="H25" s="36">
        <v>90</v>
      </c>
      <c r="I25" s="58">
        <v>4.4299999999999999E-2</v>
      </c>
      <c r="J25" s="58">
        <v>0.15409999999999999</v>
      </c>
      <c r="K25" s="34">
        <v>13496485779.209999</v>
      </c>
      <c r="L25" s="35">
        <f t="shared" si="1"/>
        <v>0.11261228353587041</v>
      </c>
      <c r="M25" s="34">
        <v>270.17</v>
      </c>
      <c r="N25" s="42">
        <v>274.58</v>
      </c>
      <c r="O25" s="36">
        <v>92</v>
      </c>
      <c r="P25" s="58">
        <v>0.1079</v>
      </c>
      <c r="Q25" s="58">
        <v>0.2787</v>
      </c>
      <c r="R25" s="63">
        <f t="shared" si="2"/>
        <v>0.19240818560087136</v>
      </c>
      <c r="S25" s="63">
        <f t="shared" si="3"/>
        <v>0.10749001734360496</v>
      </c>
      <c r="T25" s="63">
        <f t="shared" si="4"/>
        <v>2.2222222222222223E-2</v>
      </c>
      <c r="U25" s="64">
        <f t="shared" si="5"/>
        <v>6.359999999999999E-2</v>
      </c>
      <c r="V25" s="65">
        <f t="shared" si="6"/>
        <v>0.12460000000000002</v>
      </c>
    </row>
    <row r="26" spans="1:22">
      <c r="A26" s="43"/>
      <c r="B26" s="44"/>
      <c r="C26" s="45" t="s">
        <v>56</v>
      </c>
      <c r="D26" s="46">
        <f>SUM(D6:D25)</f>
        <v>106635929371.092</v>
      </c>
      <c r="E26" s="47">
        <f>(D26/$D$233)</f>
        <v>1.3152593178127081E-2</v>
      </c>
      <c r="F26" s="48"/>
      <c r="G26" s="49"/>
      <c r="H26" s="50">
        <f>SUM(H6:H25)</f>
        <v>74389</v>
      </c>
      <c r="I26" s="60"/>
      <c r="J26" s="36">
        <v>0</v>
      </c>
      <c r="K26" s="46">
        <f>SUM(K6:K25)</f>
        <v>119849143942.72949</v>
      </c>
      <c r="L26" s="47">
        <f>(K26/$K$233)</f>
        <v>1.4657740150150171E-2</v>
      </c>
      <c r="M26" s="48"/>
      <c r="N26" s="49"/>
      <c r="O26" s="50">
        <f>SUM(O6:O25)</f>
        <v>75796</v>
      </c>
      <c r="P26" s="60"/>
      <c r="Q26" s="50"/>
      <c r="R26" s="63">
        <f t="shared" si="2"/>
        <v>0.12390959266323491</v>
      </c>
      <c r="S26" s="63" t="e">
        <f t="shared" si="3"/>
        <v>#DIV/0!</v>
      </c>
      <c r="T26" s="63">
        <f t="shared" si="4"/>
        <v>1.8914086760139268E-2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ht="15" customHeight="1">
      <c r="A28" s="193" t="s">
        <v>57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>
      <c r="A29" s="181">
        <v>21</v>
      </c>
      <c r="B29" s="150" t="s">
        <v>58</v>
      </c>
      <c r="C29" s="149" t="s">
        <v>20</v>
      </c>
      <c r="D29" s="52">
        <v>6332599357.3599997</v>
      </c>
      <c r="E29" s="35">
        <f t="shared" ref="E29:E34" si="17">(D29/$K$73)</f>
        <v>1.2049890765996308E-3</v>
      </c>
      <c r="F29" s="42">
        <v>100</v>
      </c>
      <c r="G29" s="42">
        <v>100</v>
      </c>
      <c r="H29" s="36">
        <v>893</v>
      </c>
      <c r="I29" s="58">
        <v>0.15079999999999999</v>
      </c>
      <c r="J29" s="58">
        <v>0.15079999999999999</v>
      </c>
      <c r="K29" s="52">
        <v>6257454379.1499996</v>
      </c>
      <c r="L29" s="35">
        <f t="shared" ref="L29:L34" si="18">(K29/$K$73)</f>
        <v>1.1906902282445508E-3</v>
      </c>
      <c r="M29" s="42">
        <v>100</v>
      </c>
      <c r="N29" s="42">
        <v>100</v>
      </c>
      <c r="O29" s="36">
        <v>908</v>
      </c>
      <c r="P29" s="58">
        <v>0.15049999999999999</v>
      </c>
      <c r="Q29" s="58">
        <v>0.15049999999999999</v>
      </c>
      <c r="R29" s="63">
        <f>((K29-D29)/D29)</f>
        <v>-1.186637176448934E-2</v>
      </c>
      <c r="S29" s="63">
        <f>((N29-G29)/G29)</f>
        <v>0</v>
      </c>
      <c r="T29" s="63">
        <f>((O29-H29)/H29)</f>
        <v>1.6797312430011199E-2</v>
      </c>
      <c r="U29" s="63">
        <f>P29-I29</f>
        <v>-2.9999999999999472E-4</v>
      </c>
      <c r="V29" s="110">
        <f>Q29-J29</f>
        <v>-2.9999999999999472E-4</v>
      </c>
    </row>
    <row r="30" spans="1:22">
      <c r="A30" s="181">
        <v>22</v>
      </c>
      <c r="B30" s="150" t="s">
        <v>59</v>
      </c>
      <c r="C30" s="149" t="s">
        <v>60</v>
      </c>
      <c r="D30" s="52">
        <v>36123601726.220001</v>
      </c>
      <c r="E30" s="35">
        <f t="shared" si="17"/>
        <v>6.8737248373276693E-3</v>
      </c>
      <c r="F30" s="42">
        <v>100</v>
      </c>
      <c r="G30" s="42">
        <v>100</v>
      </c>
      <c r="H30" s="36">
        <v>4206</v>
      </c>
      <c r="I30" s="58">
        <v>0.17482400000000001</v>
      </c>
      <c r="J30" s="58">
        <v>0.17482400000000001</v>
      </c>
      <c r="K30" s="52">
        <v>37141823175.309998</v>
      </c>
      <c r="L30" s="35">
        <f t="shared" si="18"/>
        <v>7.0674755634472499E-3</v>
      </c>
      <c r="M30" s="42">
        <v>100</v>
      </c>
      <c r="N30" s="42">
        <v>100</v>
      </c>
      <c r="O30" s="36">
        <v>4268</v>
      </c>
      <c r="P30" s="58">
        <v>0.17003699999999999</v>
      </c>
      <c r="Q30" s="58">
        <v>0.17003699999999999</v>
      </c>
      <c r="R30" s="63">
        <f t="shared" ref="R30:R73" si="19">((K30-D30)/D30)</f>
        <v>2.8187151901603688E-2</v>
      </c>
      <c r="S30" s="63">
        <f t="shared" ref="S30:S73" si="20">((N30-G30)/G30)</f>
        <v>0</v>
      </c>
      <c r="T30" s="63">
        <f t="shared" ref="T30:T73" si="21">((O30-H30)/H30)</f>
        <v>1.4740846409890632E-2</v>
      </c>
      <c r="U30" s="64">
        <f t="shared" ref="U30:U73" si="22">P30-I30</f>
        <v>-4.7870000000000135E-3</v>
      </c>
      <c r="V30" s="65">
        <f t="shared" ref="V30:V73" si="23">Q30-J30</f>
        <v>-4.7870000000000135E-3</v>
      </c>
    </row>
    <row r="31" spans="1:22">
      <c r="A31" s="181">
        <v>23</v>
      </c>
      <c r="B31" s="150" t="s">
        <v>61</v>
      </c>
      <c r="C31" s="149" t="s">
        <v>22</v>
      </c>
      <c r="D31" s="52">
        <v>3462732481.0300002</v>
      </c>
      <c r="E31" s="35">
        <f t="shared" si="17"/>
        <v>6.5890080508225718E-4</v>
      </c>
      <c r="F31" s="42">
        <v>100</v>
      </c>
      <c r="G31" s="42">
        <v>100</v>
      </c>
      <c r="H31" s="36">
        <v>2404</v>
      </c>
      <c r="I31" s="58">
        <v>0.17710000000000001</v>
      </c>
      <c r="J31" s="58">
        <v>0.17710000000000001</v>
      </c>
      <c r="K31" s="52">
        <v>3541999595.3800001</v>
      </c>
      <c r="L31" s="35">
        <f t="shared" si="18"/>
        <v>6.7398402786885444E-4</v>
      </c>
      <c r="M31" s="42">
        <v>100</v>
      </c>
      <c r="N31" s="42">
        <v>100</v>
      </c>
      <c r="O31" s="36">
        <v>2417</v>
      </c>
      <c r="P31" s="58">
        <v>0.17319999999999999</v>
      </c>
      <c r="Q31" s="58">
        <v>0.17319999999999999</v>
      </c>
      <c r="R31" s="63">
        <f t="shared" si="19"/>
        <v>2.2891492422314318E-2</v>
      </c>
      <c r="S31" s="63">
        <f t="shared" si="20"/>
        <v>0</v>
      </c>
      <c r="T31" s="63">
        <f t="shared" si="21"/>
        <v>5.4076539101497508E-3</v>
      </c>
      <c r="U31" s="64">
        <f t="shared" si="22"/>
        <v>-3.9000000000000146E-3</v>
      </c>
      <c r="V31" s="65">
        <f t="shared" si="23"/>
        <v>-3.9000000000000146E-3</v>
      </c>
    </row>
    <row r="32" spans="1:22">
      <c r="A32" s="181">
        <v>24</v>
      </c>
      <c r="B32" s="150" t="s">
        <v>62</v>
      </c>
      <c r="C32" s="149" t="s">
        <v>24</v>
      </c>
      <c r="D32" s="52">
        <v>361803941833.90002</v>
      </c>
      <c r="E32" s="35">
        <f t="shared" si="17"/>
        <v>6.8845315040155855E-2</v>
      </c>
      <c r="F32" s="42">
        <v>1</v>
      </c>
      <c r="G32" s="42">
        <v>1</v>
      </c>
      <c r="H32" s="36">
        <v>80072</v>
      </c>
      <c r="I32" s="58">
        <v>0.1787</v>
      </c>
      <c r="J32" s="58">
        <v>0.1787</v>
      </c>
      <c r="K32" s="52">
        <v>367953050815.85999</v>
      </c>
      <c r="L32" s="35">
        <f t="shared" si="18"/>
        <v>7.0015388928609049E-2</v>
      </c>
      <c r="M32" s="42">
        <v>1</v>
      </c>
      <c r="N32" s="42">
        <v>1</v>
      </c>
      <c r="O32" s="36">
        <v>80448</v>
      </c>
      <c r="P32" s="58">
        <v>0.17760000000000001</v>
      </c>
      <c r="Q32" s="58">
        <v>0.17760000000000001</v>
      </c>
      <c r="R32" s="63">
        <f t="shared" si="19"/>
        <v>1.6995693719619408E-2</v>
      </c>
      <c r="S32" s="63">
        <f t="shared" si="20"/>
        <v>0</v>
      </c>
      <c r="T32" s="63">
        <f t="shared" si="21"/>
        <v>4.6957738035767809E-3</v>
      </c>
      <c r="U32" s="64">
        <f t="shared" si="22"/>
        <v>-1.0999999999999899E-3</v>
      </c>
      <c r="V32" s="65">
        <f t="shared" si="23"/>
        <v>-1.0999999999999899E-3</v>
      </c>
    </row>
    <row r="33" spans="1:22">
      <c r="A33" s="181">
        <v>25</v>
      </c>
      <c r="B33" s="150" t="s">
        <v>63</v>
      </c>
      <c r="C33" s="149" t="s">
        <v>64</v>
      </c>
      <c r="D33" s="52">
        <v>2137623773.04</v>
      </c>
      <c r="E33" s="35">
        <f t="shared" si="17"/>
        <v>4.0675450175119246E-4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2341125694.1300001</v>
      </c>
      <c r="L33" s="35">
        <f t="shared" si="18"/>
        <v>4.4547755655735012E-4</v>
      </c>
      <c r="M33" s="42">
        <v>1</v>
      </c>
      <c r="N33" s="42">
        <v>1</v>
      </c>
      <c r="O33" s="36">
        <v>300</v>
      </c>
      <c r="P33" s="58">
        <v>0.16200000000000001</v>
      </c>
      <c r="Q33" s="58">
        <v>0.16200000000000001</v>
      </c>
      <c r="R33" s="63">
        <f t="shared" si="19"/>
        <v>9.5200064509290125E-2</v>
      </c>
      <c r="S33" s="63">
        <f t="shared" si="20"/>
        <v>0</v>
      </c>
      <c r="T33" s="63">
        <f t="shared" si="21"/>
        <v>0</v>
      </c>
      <c r="U33" s="64">
        <f t="shared" si="22"/>
        <v>0</v>
      </c>
      <c r="V33" s="65">
        <f t="shared" si="23"/>
        <v>0</v>
      </c>
    </row>
    <row r="34" spans="1:22">
      <c r="A34" s="181">
        <v>26</v>
      </c>
      <c r="B34" s="150" t="s">
        <v>65</v>
      </c>
      <c r="C34" s="149" t="s">
        <v>26</v>
      </c>
      <c r="D34" s="52">
        <v>167458901797.67001</v>
      </c>
      <c r="E34" s="35">
        <f t="shared" si="17"/>
        <v>3.1864663475202913E-2</v>
      </c>
      <c r="F34" s="42">
        <v>1</v>
      </c>
      <c r="G34" s="42">
        <v>1</v>
      </c>
      <c r="H34" s="36">
        <v>38622</v>
      </c>
      <c r="I34" s="58">
        <v>0.1608</v>
      </c>
      <c r="J34" s="58">
        <v>0.1608</v>
      </c>
      <c r="K34" s="52">
        <v>168630312633.89001</v>
      </c>
      <c r="L34" s="35">
        <f t="shared" si="18"/>
        <v>3.2087563611813481E-2</v>
      </c>
      <c r="M34" s="42">
        <v>1</v>
      </c>
      <c r="N34" s="42">
        <v>1</v>
      </c>
      <c r="O34" s="36">
        <v>38717</v>
      </c>
      <c r="P34" s="58">
        <v>0.16300000000000001</v>
      </c>
      <c r="Q34" s="58">
        <v>0.16300000000000001</v>
      </c>
      <c r="R34" s="63">
        <f t="shared" si="19"/>
        <v>6.9952138921545223E-3</v>
      </c>
      <c r="S34" s="63">
        <f t="shared" si="20"/>
        <v>0</v>
      </c>
      <c r="T34" s="63">
        <f t="shared" si="21"/>
        <v>2.4597379731759101E-3</v>
      </c>
      <c r="U34" s="64">
        <f t="shared" si="22"/>
        <v>2.2000000000000075E-3</v>
      </c>
      <c r="V34" s="65">
        <f t="shared" si="23"/>
        <v>2.2000000000000075E-3</v>
      </c>
    </row>
    <row r="35" spans="1:22">
      <c r="A35" s="181">
        <v>27</v>
      </c>
      <c r="B35" s="150" t="s">
        <v>66</v>
      </c>
      <c r="C35" s="149" t="s">
        <v>28</v>
      </c>
      <c r="D35" s="34">
        <v>18713180777.360001</v>
      </c>
      <c r="E35" s="35">
        <f t="shared" ref="E35" si="24">(D35/$D$26)</f>
        <v>0.17548663839406617</v>
      </c>
      <c r="F35" s="34">
        <v>1</v>
      </c>
      <c r="G35" s="34">
        <v>1</v>
      </c>
      <c r="H35" s="36">
        <v>1618</v>
      </c>
      <c r="I35" s="58">
        <v>0.18990000000000001</v>
      </c>
      <c r="J35" s="58">
        <v>0.18990000000000001</v>
      </c>
      <c r="K35" s="34">
        <v>19584075426.360001</v>
      </c>
      <c r="L35" s="35">
        <f t="shared" ref="L35" si="25">(K35/$K$26)</f>
        <v>0.16340605182560461</v>
      </c>
      <c r="M35" s="34">
        <v>1</v>
      </c>
      <c r="N35" s="34">
        <v>1</v>
      </c>
      <c r="O35" s="36">
        <v>1652</v>
      </c>
      <c r="P35" s="58">
        <v>0.1744</v>
      </c>
      <c r="Q35" s="58">
        <v>0.1744</v>
      </c>
      <c r="R35" s="63">
        <f t="shared" si="19"/>
        <v>4.6539103071865005E-2</v>
      </c>
      <c r="S35" s="63">
        <f t="shared" si="20"/>
        <v>0</v>
      </c>
      <c r="T35" s="63">
        <f t="shared" si="21"/>
        <v>2.1013597033374538E-2</v>
      </c>
      <c r="U35" s="64">
        <f t="shared" si="22"/>
        <v>-1.5500000000000014E-2</v>
      </c>
      <c r="V35" s="65">
        <f t="shared" si="23"/>
        <v>-1.5500000000000014E-2</v>
      </c>
    </row>
    <row r="36" spans="1:22" ht="15" customHeight="1">
      <c r="A36" s="181">
        <v>28</v>
      </c>
      <c r="B36" s="150" t="s">
        <v>67</v>
      </c>
      <c r="C36" s="149" t="s">
        <v>48</v>
      </c>
      <c r="D36" s="52">
        <v>37412985442.57</v>
      </c>
      <c r="E36" s="35">
        <f>(D36/$K$73)</f>
        <v>7.1190732647378793E-3</v>
      </c>
      <c r="F36" s="42">
        <v>100</v>
      </c>
      <c r="G36" s="42">
        <v>100</v>
      </c>
      <c r="H36" s="36">
        <v>12187</v>
      </c>
      <c r="I36" s="58">
        <v>0.1764</v>
      </c>
      <c r="J36" s="58">
        <v>0.1764</v>
      </c>
      <c r="K36" s="52">
        <v>38053367709.900002</v>
      </c>
      <c r="L36" s="35">
        <f t="shared" ref="L36:L50" si="26">(K36/$K$73)</f>
        <v>7.240927434476868E-3</v>
      </c>
      <c r="M36" s="42">
        <v>100</v>
      </c>
      <c r="N36" s="42">
        <v>100</v>
      </c>
      <c r="O36" s="36">
        <v>12552</v>
      </c>
      <c r="P36" s="58">
        <v>0.17699999999999999</v>
      </c>
      <c r="Q36" s="58">
        <v>0.17699999999999999</v>
      </c>
      <c r="R36" s="63">
        <f t="shared" si="19"/>
        <v>1.7116577566711613E-2</v>
      </c>
      <c r="S36" s="63">
        <f t="shared" si="20"/>
        <v>0</v>
      </c>
      <c r="T36" s="63">
        <f t="shared" si="21"/>
        <v>2.9949946664478543E-2</v>
      </c>
      <c r="U36" s="64">
        <f t="shared" si="22"/>
        <v>5.9999999999998943E-4</v>
      </c>
      <c r="V36" s="65">
        <f t="shared" si="23"/>
        <v>5.9999999999998943E-4</v>
      </c>
    </row>
    <row r="37" spans="1:22" ht="15" customHeight="1">
      <c r="A37" s="181">
        <v>29</v>
      </c>
      <c r="B37" s="150" t="s">
        <v>68</v>
      </c>
      <c r="C37" s="149" t="s">
        <v>69</v>
      </c>
      <c r="D37" s="52">
        <v>2665563808.8800001</v>
      </c>
      <c r="E37" s="35">
        <f>(D37/$K$73)</f>
        <v>5.0721277178961588E-4</v>
      </c>
      <c r="F37" s="42">
        <v>1</v>
      </c>
      <c r="G37" s="42">
        <v>1</v>
      </c>
      <c r="H37" s="36">
        <v>642</v>
      </c>
      <c r="I37" s="58">
        <v>0.15820000000000001</v>
      </c>
      <c r="J37" s="58">
        <v>0.15820000000000001</v>
      </c>
      <c r="K37" s="52">
        <v>2774042986.3000002</v>
      </c>
      <c r="L37" s="35">
        <f t="shared" si="26"/>
        <v>5.2785456774938875E-4</v>
      </c>
      <c r="M37" s="42">
        <v>1</v>
      </c>
      <c r="N37" s="42">
        <v>1</v>
      </c>
      <c r="O37" s="36">
        <v>654</v>
      </c>
      <c r="P37" s="58">
        <v>0.15540000000000001</v>
      </c>
      <c r="Q37" s="58">
        <v>0.15540000000000001</v>
      </c>
      <c r="R37" s="63">
        <f t="shared" si="19"/>
        <v>4.0696522461257524E-2</v>
      </c>
      <c r="S37" s="63">
        <f t="shared" si="20"/>
        <v>0</v>
      </c>
      <c r="T37" s="63">
        <f t="shared" si="21"/>
        <v>1.8691588785046728E-2</v>
      </c>
      <c r="U37" s="64">
        <f t="shared" si="22"/>
        <v>-2.7999999999999969E-3</v>
      </c>
      <c r="V37" s="65">
        <f t="shared" si="23"/>
        <v>-2.7999999999999969E-3</v>
      </c>
    </row>
    <row r="38" spans="1:22">
      <c r="A38" s="181">
        <v>30</v>
      </c>
      <c r="B38" s="150" t="s">
        <v>70</v>
      </c>
      <c r="C38" s="149" t="s">
        <v>71</v>
      </c>
      <c r="D38" s="52">
        <v>89085143716.929993</v>
      </c>
      <c r="E38" s="35">
        <f>(D38/$K$73)</f>
        <v>1.695143163311703E-2</v>
      </c>
      <c r="F38" s="42">
        <v>100</v>
      </c>
      <c r="G38" s="42">
        <v>100</v>
      </c>
      <c r="H38" s="36">
        <v>5751</v>
      </c>
      <c r="I38" s="58">
        <v>0.1605</v>
      </c>
      <c r="J38" s="58">
        <v>0.1605</v>
      </c>
      <c r="K38" s="52">
        <v>89470829239.830002</v>
      </c>
      <c r="L38" s="35">
        <f t="shared" si="26"/>
        <v>1.7024821218636438E-2</v>
      </c>
      <c r="M38" s="42">
        <v>100</v>
      </c>
      <c r="N38" s="42">
        <v>100</v>
      </c>
      <c r="O38" s="36">
        <v>5782</v>
      </c>
      <c r="P38" s="58">
        <v>0.16320000000000001</v>
      </c>
      <c r="Q38" s="58">
        <v>0.16320000000000001</v>
      </c>
      <c r="R38" s="63">
        <f t="shared" si="19"/>
        <v>4.3294033865571725E-3</v>
      </c>
      <c r="S38" s="63">
        <f t="shared" si="20"/>
        <v>0</v>
      </c>
      <c r="T38" s="63">
        <f t="shared" si="21"/>
        <v>5.3903668927143102E-3</v>
      </c>
      <c r="U38" s="64">
        <f t="shared" si="22"/>
        <v>2.7000000000000079E-3</v>
      </c>
      <c r="V38" s="65">
        <f t="shared" si="23"/>
        <v>2.7000000000000079E-3</v>
      </c>
    </row>
    <row r="39" spans="1:22">
      <c r="A39" s="181">
        <v>31</v>
      </c>
      <c r="B39" s="150" t="s">
        <v>72</v>
      </c>
      <c r="C39" s="149" t="s">
        <v>73</v>
      </c>
      <c r="D39" s="52">
        <v>40095497284.690002</v>
      </c>
      <c r="E39" s="35">
        <f>(D39/$K$73)</f>
        <v>7.6295109673610428E-3</v>
      </c>
      <c r="F39" s="42">
        <v>100</v>
      </c>
      <c r="G39" s="42">
        <v>100</v>
      </c>
      <c r="H39" s="36">
        <v>5681</v>
      </c>
      <c r="I39" s="58">
        <v>0.1613</v>
      </c>
      <c r="J39" s="58">
        <v>0.1613</v>
      </c>
      <c r="K39" s="52">
        <v>40471286117.32</v>
      </c>
      <c r="L39" s="35">
        <f t="shared" si="26"/>
        <v>7.7010173761631381E-3</v>
      </c>
      <c r="M39" s="42">
        <v>100</v>
      </c>
      <c r="N39" s="42">
        <v>100</v>
      </c>
      <c r="O39" s="36">
        <v>5718</v>
      </c>
      <c r="P39" s="58">
        <v>0.1613</v>
      </c>
      <c r="Q39" s="58">
        <v>0.1613</v>
      </c>
      <c r="R39" s="63">
        <f t="shared" si="19"/>
        <v>9.3723449783347079E-3</v>
      </c>
      <c r="S39" s="63">
        <f t="shared" si="20"/>
        <v>0</v>
      </c>
      <c r="T39" s="63">
        <f t="shared" si="21"/>
        <v>6.5129378630522797E-3</v>
      </c>
      <c r="U39" s="64">
        <f t="shared" si="22"/>
        <v>0</v>
      </c>
      <c r="V39" s="65">
        <f t="shared" si="23"/>
        <v>0</v>
      </c>
    </row>
    <row r="40" spans="1:22">
      <c r="A40" s="181">
        <v>32</v>
      </c>
      <c r="B40" s="150" t="s">
        <v>74</v>
      </c>
      <c r="C40" s="149" t="s">
        <v>75</v>
      </c>
      <c r="D40" s="52">
        <v>78262781877.279999</v>
      </c>
      <c r="E40" s="35">
        <f>(D40/$K$73)</f>
        <v>1.4892114903308383E-2</v>
      </c>
      <c r="F40" s="42">
        <v>1</v>
      </c>
      <c r="G40" s="42">
        <v>1</v>
      </c>
      <c r="H40" s="36">
        <v>14692</v>
      </c>
      <c r="I40" s="58">
        <v>0.1623</v>
      </c>
      <c r="J40" s="58">
        <v>0.1623</v>
      </c>
      <c r="K40" s="52">
        <v>79167058151.960007</v>
      </c>
      <c r="L40" s="35">
        <f t="shared" si="26"/>
        <v>1.5064183744510407E-2</v>
      </c>
      <c r="M40" s="42">
        <v>1</v>
      </c>
      <c r="N40" s="42">
        <v>1</v>
      </c>
      <c r="O40" s="36">
        <v>14860</v>
      </c>
      <c r="P40" s="58">
        <v>0.16200000000000001</v>
      </c>
      <c r="Q40" s="58">
        <v>0.16200000000000001</v>
      </c>
      <c r="R40" s="63">
        <f t="shared" si="19"/>
        <v>1.1554358955677795E-2</v>
      </c>
      <c r="S40" s="63">
        <f t="shared" si="20"/>
        <v>0</v>
      </c>
      <c r="T40" s="63">
        <f t="shared" si="21"/>
        <v>1.1434794445956983E-2</v>
      </c>
      <c r="U40" s="64">
        <f t="shared" si="22"/>
        <v>-2.9999999999999472E-4</v>
      </c>
      <c r="V40" s="65">
        <f t="shared" si="23"/>
        <v>-2.9999999999999472E-4</v>
      </c>
    </row>
    <row r="41" spans="1:22">
      <c r="A41" s="181">
        <v>33</v>
      </c>
      <c r="B41" s="150" t="s">
        <v>76</v>
      </c>
      <c r="C41" s="149" t="s">
        <v>77</v>
      </c>
      <c r="D41" s="52">
        <v>826174251.26999998</v>
      </c>
      <c r="E41" s="35">
        <v>0</v>
      </c>
      <c r="F41" s="42">
        <v>1000</v>
      </c>
      <c r="G41" s="42">
        <v>1000</v>
      </c>
      <c r="H41" s="36">
        <v>65</v>
      </c>
      <c r="I41" s="58">
        <v>1.6199999999999999E-2</v>
      </c>
      <c r="J41" s="58">
        <v>0.1991</v>
      </c>
      <c r="K41" s="52">
        <v>834310294.62</v>
      </c>
      <c r="L41" s="35">
        <f t="shared" si="26"/>
        <v>1.5875547066518262E-4</v>
      </c>
      <c r="M41" s="42">
        <v>1000</v>
      </c>
      <c r="N41" s="42">
        <v>1000</v>
      </c>
      <c r="O41" s="36">
        <v>68</v>
      </c>
      <c r="P41" s="58">
        <v>0.18709999999999999</v>
      </c>
      <c r="Q41" s="58">
        <v>0.18709999999999999</v>
      </c>
      <c r="R41" s="63">
        <f t="shared" si="19"/>
        <v>9.8478539333478974E-3</v>
      </c>
      <c r="S41" s="63">
        <f t="shared" si="20"/>
        <v>0</v>
      </c>
      <c r="T41" s="63">
        <f t="shared" si="21"/>
        <v>4.6153846153846156E-2</v>
      </c>
      <c r="U41" s="64">
        <f t="shared" si="22"/>
        <v>0.1709</v>
      </c>
      <c r="V41" s="65">
        <f t="shared" si="23"/>
        <v>-1.2000000000000011E-2</v>
      </c>
    </row>
    <row r="42" spans="1:22">
      <c r="A42" s="181">
        <v>34</v>
      </c>
      <c r="B42" s="150" t="s">
        <v>78</v>
      </c>
      <c r="C42" s="149" t="s">
        <v>79</v>
      </c>
      <c r="D42" s="52">
        <v>87949454029.190002</v>
      </c>
      <c r="E42" s="35">
        <f t="shared" ref="E42:E50" si="27">(D42/$K$73)</f>
        <v>1.6735328641137439E-2</v>
      </c>
      <c r="F42" s="53">
        <v>100</v>
      </c>
      <c r="G42" s="53">
        <v>100</v>
      </c>
      <c r="H42" s="36">
        <v>4546</v>
      </c>
      <c r="I42" s="58">
        <v>0.15759999999999999</v>
      </c>
      <c r="J42" s="58">
        <v>0.15759999999999999</v>
      </c>
      <c r="K42" s="52">
        <v>88290601542.389999</v>
      </c>
      <c r="L42" s="35">
        <f t="shared" si="26"/>
        <v>1.6800243378943699E-2</v>
      </c>
      <c r="M42" s="53">
        <v>100</v>
      </c>
      <c r="N42" s="53">
        <v>100</v>
      </c>
      <c r="O42" s="36">
        <v>4546</v>
      </c>
      <c r="P42" s="58">
        <v>0.1575</v>
      </c>
      <c r="Q42" s="58">
        <v>0.1575</v>
      </c>
      <c r="R42" s="63">
        <f t="shared" si="19"/>
        <v>3.8789042747982465E-3</v>
      </c>
      <c r="S42" s="63">
        <f t="shared" si="20"/>
        <v>0</v>
      </c>
      <c r="T42" s="63">
        <f t="shared" si="21"/>
        <v>0</v>
      </c>
      <c r="U42" s="64">
        <f t="shared" si="22"/>
        <v>-9.9999999999988987E-5</v>
      </c>
      <c r="V42" s="65">
        <f t="shared" si="23"/>
        <v>-9.9999999999988987E-5</v>
      </c>
    </row>
    <row r="43" spans="1:22">
      <c r="A43" s="181">
        <v>35</v>
      </c>
      <c r="B43" s="150" t="s">
        <v>80</v>
      </c>
      <c r="C43" s="149" t="s">
        <v>79</v>
      </c>
      <c r="D43" s="52">
        <v>9055879141.8700008</v>
      </c>
      <c r="E43" s="35">
        <f t="shared" si="27"/>
        <v>1.7231842453884522E-3</v>
      </c>
      <c r="F43" s="53">
        <v>1000000</v>
      </c>
      <c r="G43" s="53">
        <v>1000000</v>
      </c>
      <c r="H43" s="36">
        <v>45</v>
      </c>
      <c r="I43" s="58">
        <v>0.13500000000000001</v>
      </c>
      <c r="J43" s="58">
        <v>0.13500000000000001</v>
      </c>
      <c r="K43" s="52">
        <v>9368400961.7000008</v>
      </c>
      <c r="L43" s="35">
        <f t="shared" si="26"/>
        <v>1.7826519864917174E-3</v>
      </c>
      <c r="M43" s="53">
        <v>1000000</v>
      </c>
      <c r="N43" s="53">
        <v>1000000</v>
      </c>
      <c r="O43" s="36">
        <v>45</v>
      </c>
      <c r="P43" s="58">
        <v>0.1583</v>
      </c>
      <c r="Q43" s="58">
        <v>0.1583</v>
      </c>
      <c r="R43" s="63">
        <f t="shared" si="19"/>
        <v>3.4510378830593082E-2</v>
      </c>
      <c r="S43" s="63">
        <f t="shared" si="20"/>
        <v>0</v>
      </c>
      <c r="T43" s="63">
        <f t="shared" si="21"/>
        <v>0</v>
      </c>
      <c r="U43" s="64">
        <f t="shared" si="22"/>
        <v>2.3299999999999987E-2</v>
      </c>
      <c r="V43" s="65">
        <f t="shared" si="23"/>
        <v>2.3299999999999987E-2</v>
      </c>
    </row>
    <row r="44" spans="1:22">
      <c r="A44" s="181">
        <v>36</v>
      </c>
      <c r="B44" s="150" t="s">
        <v>81</v>
      </c>
      <c r="C44" s="149" t="s">
        <v>82</v>
      </c>
      <c r="D44" s="52">
        <v>7143559220.3500004</v>
      </c>
      <c r="E44" s="35">
        <f t="shared" si="27"/>
        <v>1.3593013457514674E-3</v>
      </c>
      <c r="F44" s="42">
        <v>1</v>
      </c>
      <c r="G44" s="42">
        <v>1</v>
      </c>
      <c r="H44" s="36">
        <v>1099</v>
      </c>
      <c r="I44" s="58">
        <v>0.18609999999999999</v>
      </c>
      <c r="J44" s="58">
        <v>0.18609999999999999</v>
      </c>
      <c r="K44" s="52">
        <v>7505139203.71</v>
      </c>
      <c r="L44" s="35">
        <f t="shared" si="26"/>
        <v>1.4281040451926514E-3</v>
      </c>
      <c r="M44" s="42">
        <v>1</v>
      </c>
      <c r="N44" s="42">
        <v>1</v>
      </c>
      <c r="O44" s="36">
        <v>1147</v>
      </c>
      <c r="P44" s="58">
        <v>0.18010000000000001</v>
      </c>
      <c r="Q44" s="58">
        <v>0.18010000000000001</v>
      </c>
      <c r="R44" s="63">
        <f t="shared" si="19"/>
        <v>5.0616222558911461E-2</v>
      </c>
      <c r="S44" s="63">
        <f t="shared" si="20"/>
        <v>0</v>
      </c>
      <c r="T44" s="63">
        <f t="shared" si="21"/>
        <v>4.3676069153776163E-2</v>
      </c>
      <c r="U44" s="64">
        <f t="shared" si="22"/>
        <v>-5.9999999999999776E-3</v>
      </c>
      <c r="V44" s="65">
        <f t="shared" si="23"/>
        <v>-5.9999999999999776E-3</v>
      </c>
    </row>
    <row r="45" spans="1:22">
      <c r="A45" s="181">
        <v>37</v>
      </c>
      <c r="B45" s="150" t="s">
        <v>83</v>
      </c>
      <c r="C45" s="149" t="s">
        <v>84</v>
      </c>
      <c r="D45" s="52">
        <v>734153202296.68994</v>
      </c>
      <c r="E45" s="35">
        <f t="shared" si="27"/>
        <v>0.13969723006240381</v>
      </c>
      <c r="F45" s="42">
        <v>100</v>
      </c>
      <c r="G45" s="42">
        <v>100</v>
      </c>
      <c r="H45" s="36">
        <v>33119</v>
      </c>
      <c r="I45" s="58">
        <v>0.16320000000000001</v>
      </c>
      <c r="J45" s="58">
        <v>0.16320000000000001</v>
      </c>
      <c r="K45" s="52">
        <v>740261173268.95996</v>
      </c>
      <c r="L45" s="35">
        <f t="shared" si="26"/>
        <v>0.14085947606699573</v>
      </c>
      <c r="M45" s="42">
        <v>100</v>
      </c>
      <c r="N45" s="42">
        <v>100</v>
      </c>
      <c r="O45" s="36">
        <v>33118</v>
      </c>
      <c r="P45" s="58">
        <v>0.16389999999999999</v>
      </c>
      <c r="Q45" s="58">
        <v>0.16389999999999999</v>
      </c>
      <c r="R45" s="63">
        <f t="shared" si="19"/>
        <v>8.3197498194683799E-3</v>
      </c>
      <c r="S45" s="63">
        <f t="shared" si="20"/>
        <v>0</v>
      </c>
      <c r="T45" s="63">
        <f t="shared" si="21"/>
        <v>-3.0194148374045109E-5</v>
      </c>
      <c r="U45" s="64">
        <f t="shared" si="22"/>
        <v>6.9999999999997842E-4</v>
      </c>
      <c r="V45" s="65">
        <f t="shared" si="23"/>
        <v>6.9999999999997842E-4</v>
      </c>
    </row>
    <row r="46" spans="1:22">
      <c r="A46" s="181">
        <v>38</v>
      </c>
      <c r="B46" s="150" t="s">
        <v>85</v>
      </c>
      <c r="C46" s="149" t="s">
        <v>86</v>
      </c>
      <c r="D46" s="52">
        <v>5477775021.9300003</v>
      </c>
      <c r="E46" s="35">
        <f t="shared" si="27"/>
        <v>1.0423301227519477E-3</v>
      </c>
      <c r="F46" s="42">
        <v>1</v>
      </c>
      <c r="G46" s="42">
        <v>1</v>
      </c>
      <c r="H46" s="54">
        <v>1975</v>
      </c>
      <c r="I46" s="61">
        <v>0.1721</v>
      </c>
      <c r="J46" s="61">
        <v>0.1721</v>
      </c>
      <c r="K46" s="52">
        <v>4917823345.0900002</v>
      </c>
      <c r="L46" s="35">
        <f t="shared" si="26"/>
        <v>9.3578056609451565E-4</v>
      </c>
      <c r="M46" s="42">
        <v>1</v>
      </c>
      <c r="N46" s="42">
        <v>1</v>
      </c>
      <c r="O46" s="54">
        <v>1991</v>
      </c>
      <c r="P46" s="61">
        <v>0.1757</v>
      </c>
      <c r="Q46" s="61">
        <v>0.1757</v>
      </c>
      <c r="R46" s="63">
        <f t="shared" si="19"/>
        <v>-0.10222246707801277</v>
      </c>
      <c r="S46" s="63">
        <f t="shared" si="20"/>
        <v>0</v>
      </c>
      <c r="T46" s="63">
        <f t="shared" si="21"/>
        <v>8.1012658227848106E-3</v>
      </c>
      <c r="U46" s="64">
        <f t="shared" si="22"/>
        <v>3.5999999999999921E-3</v>
      </c>
      <c r="V46" s="65">
        <f t="shared" si="23"/>
        <v>3.5999999999999921E-3</v>
      </c>
    </row>
    <row r="47" spans="1:22">
      <c r="A47" s="181">
        <v>39</v>
      </c>
      <c r="B47" s="150" t="s">
        <v>87</v>
      </c>
      <c r="C47" s="149" t="s">
        <v>88</v>
      </c>
      <c r="D47" s="52">
        <v>4040225945.5599999</v>
      </c>
      <c r="E47" s="35">
        <f t="shared" si="27"/>
        <v>7.6878827423938214E-4</v>
      </c>
      <c r="F47" s="42">
        <v>1</v>
      </c>
      <c r="G47" s="42">
        <v>1</v>
      </c>
      <c r="H47" s="54">
        <v>562</v>
      </c>
      <c r="I47" s="61">
        <v>0.1686</v>
      </c>
      <c r="J47" s="61">
        <v>0.1686</v>
      </c>
      <c r="K47" s="52">
        <v>4054907152.7399998</v>
      </c>
      <c r="L47" s="35">
        <f t="shared" si="26"/>
        <v>7.7158186550970852E-4</v>
      </c>
      <c r="M47" s="42">
        <v>1</v>
      </c>
      <c r="N47" s="42">
        <v>1</v>
      </c>
      <c r="O47" s="54">
        <v>579</v>
      </c>
      <c r="P47" s="61">
        <v>0.1651</v>
      </c>
      <c r="Q47" s="61">
        <v>0.1653</v>
      </c>
      <c r="R47" s="63">
        <f t="shared" si="19"/>
        <v>3.6337589475988882E-3</v>
      </c>
      <c r="S47" s="63">
        <f t="shared" si="20"/>
        <v>0</v>
      </c>
      <c r="T47" s="63">
        <f t="shared" si="21"/>
        <v>3.0249110320284697E-2</v>
      </c>
      <c r="U47" s="64">
        <f t="shared" si="22"/>
        <v>-3.5000000000000031E-3</v>
      </c>
      <c r="V47" s="65">
        <f t="shared" si="23"/>
        <v>-3.2999999999999974E-3</v>
      </c>
    </row>
    <row r="48" spans="1:22">
      <c r="A48" s="181">
        <v>40</v>
      </c>
      <c r="B48" s="150" t="s">
        <v>89</v>
      </c>
      <c r="C48" s="149" t="s">
        <v>90</v>
      </c>
      <c r="D48" s="52">
        <v>7398998.5899999999</v>
      </c>
      <c r="E48" s="35">
        <f t="shared" si="27"/>
        <v>1.4079072392861665E-6</v>
      </c>
      <c r="F48" s="42">
        <v>1</v>
      </c>
      <c r="G48" s="42">
        <v>1</v>
      </c>
      <c r="H48" s="54">
        <v>25</v>
      </c>
      <c r="I48" s="61">
        <v>0.105</v>
      </c>
      <c r="J48" s="61">
        <v>0.105</v>
      </c>
      <c r="K48" s="52">
        <v>7400914.2199999997</v>
      </c>
      <c r="L48" s="35">
        <f t="shared" si="26"/>
        <v>1.4082717520390732E-6</v>
      </c>
      <c r="M48" s="42">
        <v>1</v>
      </c>
      <c r="N48" s="42">
        <v>1</v>
      </c>
      <c r="O48" s="54">
        <v>21</v>
      </c>
      <c r="P48" s="61">
        <v>0.105</v>
      </c>
      <c r="Q48" s="61">
        <v>0.105</v>
      </c>
      <c r="R48" s="63">
        <f t="shared" si="19"/>
        <v>2.5890395527158606E-4</v>
      </c>
      <c r="S48" s="63">
        <f t="shared" si="20"/>
        <v>0</v>
      </c>
      <c r="T48" s="63">
        <f t="shared" si="21"/>
        <v>-0.16</v>
      </c>
      <c r="U48" s="64">
        <f t="shared" si="22"/>
        <v>0</v>
      </c>
      <c r="V48" s="65">
        <f t="shared" si="23"/>
        <v>0</v>
      </c>
    </row>
    <row r="49" spans="1:22">
      <c r="A49" s="181">
        <v>41</v>
      </c>
      <c r="B49" s="150" t="s">
        <v>91</v>
      </c>
      <c r="C49" s="149" t="s">
        <v>92</v>
      </c>
      <c r="D49" s="52">
        <v>1871925022.55</v>
      </c>
      <c r="E49" s="35">
        <f t="shared" si="27"/>
        <v>3.561964174734443E-4</v>
      </c>
      <c r="F49" s="42">
        <v>10</v>
      </c>
      <c r="G49" s="42">
        <v>10</v>
      </c>
      <c r="H49" s="36">
        <v>568</v>
      </c>
      <c r="I49" s="58">
        <v>0.1638</v>
      </c>
      <c r="J49" s="58">
        <v>0.1638</v>
      </c>
      <c r="K49" s="52">
        <v>1876406246.1199999</v>
      </c>
      <c r="L49" s="35">
        <f t="shared" si="26"/>
        <v>3.5704912031266225E-4</v>
      </c>
      <c r="M49" s="42">
        <v>10</v>
      </c>
      <c r="N49" s="42">
        <v>10</v>
      </c>
      <c r="O49" s="36">
        <v>570</v>
      </c>
      <c r="P49" s="58">
        <v>0.16819999999999999</v>
      </c>
      <c r="Q49" s="58">
        <v>0.16819999999999999</v>
      </c>
      <c r="R49" s="63">
        <f t="shared" si="19"/>
        <v>2.3939118907099484E-3</v>
      </c>
      <c r="S49" s="63">
        <f t="shared" si="20"/>
        <v>0</v>
      </c>
      <c r="T49" s="63">
        <f t="shared" si="21"/>
        <v>3.5211267605633804E-3</v>
      </c>
      <c r="U49" s="64">
        <f t="shared" si="22"/>
        <v>4.3999999999999873E-3</v>
      </c>
      <c r="V49" s="65">
        <f t="shared" si="23"/>
        <v>4.3999999999999873E-3</v>
      </c>
    </row>
    <row r="50" spans="1:22">
      <c r="A50" s="181">
        <v>42</v>
      </c>
      <c r="B50" s="150" t="s">
        <v>93</v>
      </c>
      <c r="C50" s="149" t="s">
        <v>94</v>
      </c>
      <c r="D50" s="52">
        <v>11115745529.26</v>
      </c>
      <c r="E50" s="35">
        <f t="shared" si="27"/>
        <v>2.1151428007919102E-3</v>
      </c>
      <c r="F50" s="42">
        <v>100</v>
      </c>
      <c r="G50" s="42">
        <v>100</v>
      </c>
      <c r="H50" s="36">
        <v>1026</v>
      </c>
      <c r="I50" s="58">
        <v>0.18099999999999999</v>
      </c>
      <c r="J50" s="58">
        <v>0.18099999999999999</v>
      </c>
      <c r="K50" s="52">
        <v>10818833512.93</v>
      </c>
      <c r="L50" s="35">
        <f t="shared" si="26"/>
        <v>2.0586453475031595E-3</v>
      </c>
      <c r="M50" s="42">
        <v>100</v>
      </c>
      <c r="N50" s="42">
        <v>100</v>
      </c>
      <c r="O50" s="36">
        <v>1032</v>
      </c>
      <c r="P50" s="58">
        <v>0.1855</v>
      </c>
      <c r="Q50" s="58">
        <v>0.1855</v>
      </c>
      <c r="R50" s="63">
        <f t="shared" si="19"/>
        <v>-2.6710940399673401E-2</v>
      </c>
      <c r="S50" s="63">
        <f t="shared" si="20"/>
        <v>0</v>
      </c>
      <c r="T50" s="63">
        <f t="shared" si="21"/>
        <v>5.8479532163742687E-3</v>
      </c>
      <c r="U50" s="64">
        <f t="shared" si="22"/>
        <v>4.500000000000004E-3</v>
      </c>
      <c r="V50" s="65">
        <f t="shared" si="23"/>
        <v>4.500000000000004E-3</v>
      </c>
    </row>
    <row r="51" spans="1:22">
      <c r="A51" s="181">
        <v>43</v>
      </c>
      <c r="B51" s="150" t="s">
        <v>95</v>
      </c>
      <c r="C51" s="150" t="s">
        <v>96</v>
      </c>
      <c r="D51" s="55">
        <v>216841751.34999999</v>
      </c>
      <c r="E51" s="35">
        <v>0</v>
      </c>
      <c r="F51" s="34">
        <v>1</v>
      </c>
      <c r="G51" s="34">
        <v>1</v>
      </c>
      <c r="H51" s="36">
        <v>135</v>
      </c>
      <c r="I51" s="58">
        <v>0.14979999999999999</v>
      </c>
      <c r="J51" s="58">
        <v>0.14979999999999999</v>
      </c>
      <c r="K51" s="55">
        <v>215377410.44</v>
      </c>
      <c r="L51" s="62">
        <f>(K51/$K$198)</f>
        <v>2.067380921463162E-3</v>
      </c>
      <c r="M51" s="34">
        <v>1</v>
      </c>
      <c r="N51" s="34">
        <v>1</v>
      </c>
      <c r="O51" s="36">
        <v>140</v>
      </c>
      <c r="P51" s="58">
        <v>0.1537</v>
      </c>
      <c r="Q51" s="58">
        <v>0.1537</v>
      </c>
      <c r="R51" s="64">
        <f t="shared" si="19"/>
        <v>-6.7530394902429684E-3</v>
      </c>
      <c r="S51" s="64">
        <f t="shared" si="20"/>
        <v>0</v>
      </c>
      <c r="T51" s="64">
        <f t="shared" si="21"/>
        <v>3.7037037037037035E-2</v>
      </c>
      <c r="U51" s="64">
        <f t="shared" si="22"/>
        <v>3.9000000000000146E-3</v>
      </c>
      <c r="V51" s="65">
        <f t="shared" si="23"/>
        <v>3.9000000000000146E-3</v>
      </c>
    </row>
    <row r="52" spans="1:22">
      <c r="A52" s="181">
        <v>44</v>
      </c>
      <c r="B52" s="150" t="s">
        <v>97</v>
      </c>
      <c r="C52" s="149" t="s">
        <v>38</v>
      </c>
      <c r="D52" s="52">
        <v>1897477461.99</v>
      </c>
      <c r="E52" s="35">
        <f t="shared" ref="E52:E72" si="28">(D52/$K$73)</f>
        <v>3.6105862470749075E-4</v>
      </c>
      <c r="F52" s="42">
        <v>100</v>
      </c>
      <c r="G52" s="42">
        <v>100</v>
      </c>
      <c r="H52" s="36">
        <v>7466</v>
      </c>
      <c r="I52" s="58">
        <v>0.1464</v>
      </c>
      <c r="J52" s="58">
        <v>0.1396</v>
      </c>
      <c r="K52" s="52">
        <v>1978968003.23</v>
      </c>
      <c r="L52" s="35">
        <f t="shared" ref="L52:L64" si="29">(K52/$K$73)</f>
        <v>3.7656492891198224E-4</v>
      </c>
      <c r="M52" s="42">
        <v>100</v>
      </c>
      <c r="N52" s="42">
        <v>100</v>
      </c>
      <c r="O52" s="36">
        <v>7516</v>
      </c>
      <c r="P52" s="58">
        <v>0.1542</v>
      </c>
      <c r="Q52" s="58">
        <v>0.1542</v>
      </c>
      <c r="R52" s="63">
        <f t="shared" ref="R52" si="30">((K52-D52)/D52)</f>
        <v>4.294677690376144E-2</v>
      </c>
      <c r="S52" s="63">
        <f t="shared" ref="S52" si="31">((N52-G52)/G52)</f>
        <v>0</v>
      </c>
      <c r="T52" s="63">
        <f t="shared" ref="T52" si="32">((O52-H52)/H52)</f>
        <v>6.6970265202250202E-3</v>
      </c>
      <c r="U52" s="64">
        <f t="shared" ref="U52" si="33">P52-I52</f>
        <v>7.8000000000000014E-3</v>
      </c>
      <c r="V52" s="65">
        <f t="shared" ref="V52" si="34">Q52-J52</f>
        <v>1.4600000000000002E-2</v>
      </c>
    </row>
    <row r="53" spans="1:22">
      <c r="A53" s="181">
        <v>45</v>
      </c>
      <c r="B53" s="150" t="s">
        <v>98</v>
      </c>
      <c r="C53" s="149" t="s">
        <v>38</v>
      </c>
      <c r="D53" s="52">
        <v>316846202777.47998</v>
      </c>
      <c r="E53" s="35">
        <f t="shared" si="28"/>
        <v>6.029059976219657E-2</v>
      </c>
      <c r="F53" s="42">
        <v>100</v>
      </c>
      <c r="G53" s="42">
        <v>100</v>
      </c>
      <c r="H53" s="36">
        <v>31181</v>
      </c>
      <c r="I53" s="58">
        <v>0.1794</v>
      </c>
      <c r="J53" s="58">
        <v>0.1794</v>
      </c>
      <c r="K53" s="52">
        <v>323806056916.08002</v>
      </c>
      <c r="L53" s="35">
        <f t="shared" si="29"/>
        <v>6.1614945064729032E-2</v>
      </c>
      <c r="M53" s="42">
        <v>100</v>
      </c>
      <c r="N53" s="42">
        <v>100</v>
      </c>
      <c r="O53" s="36">
        <v>31857</v>
      </c>
      <c r="P53" s="58">
        <v>0.17599999999999999</v>
      </c>
      <c r="Q53" s="58">
        <v>0.17599999999999999</v>
      </c>
      <c r="R53" s="63">
        <f t="shared" si="19"/>
        <v>2.1966032976219439E-2</v>
      </c>
      <c r="S53" s="63">
        <f t="shared" si="20"/>
        <v>0</v>
      </c>
      <c r="T53" s="63">
        <f t="shared" si="21"/>
        <v>2.1679869151085596E-2</v>
      </c>
      <c r="U53" s="64">
        <f t="shared" si="22"/>
        <v>-3.4000000000000141E-3</v>
      </c>
      <c r="V53" s="65">
        <f t="shared" si="23"/>
        <v>-3.4000000000000141E-3</v>
      </c>
    </row>
    <row r="54" spans="1:22">
      <c r="A54" s="181">
        <v>46</v>
      </c>
      <c r="B54" s="150" t="s">
        <v>99</v>
      </c>
      <c r="C54" s="149" t="s">
        <v>42</v>
      </c>
      <c r="D54" s="52">
        <v>53259998629.330002</v>
      </c>
      <c r="E54" s="35">
        <f t="shared" si="28"/>
        <v>1.0134498165190894E-2</v>
      </c>
      <c r="F54" s="42">
        <v>1</v>
      </c>
      <c r="G54" s="42">
        <v>1</v>
      </c>
      <c r="H54" s="36">
        <v>3138</v>
      </c>
      <c r="I54" s="58">
        <v>0.16059999999999999</v>
      </c>
      <c r="J54" s="58">
        <v>0.16059999999999999</v>
      </c>
      <c r="K54" s="52">
        <v>54136969566.709999</v>
      </c>
      <c r="L54" s="35">
        <f t="shared" si="29"/>
        <v>1.0301371251644729E-2</v>
      </c>
      <c r="M54" s="42">
        <v>1</v>
      </c>
      <c r="N54" s="42">
        <v>1</v>
      </c>
      <c r="O54" s="36">
        <v>3243</v>
      </c>
      <c r="P54" s="58">
        <v>0.1656</v>
      </c>
      <c r="Q54" s="58">
        <v>0.1656</v>
      </c>
      <c r="R54" s="63">
        <f t="shared" si="19"/>
        <v>1.6465846037349578E-2</v>
      </c>
      <c r="S54" s="63">
        <f t="shared" si="20"/>
        <v>0</v>
      </c>
      <c r="T54" s="63">
        <f t="shared" si="21"/>
        <v>3.3460803059273424E-2</v>
      </c>
      <c r="U54" s="64">
        <f t="shared" si="22"/>
        <v>5.0000000000000044E-3</v>
      </c>
      <c r="V54" s="65">
        <f t="shared" si="23"/>
        <v>5.0000000000000044E-3</v>
      </c>
    </row>
    <row r="55" spans="1:22">
      <c r="A55" s="181">
        <v>47</v>
      </c>
      <c r="B55" s="150" t="s">
        <v>100</v>
      </c>
      <c r="C55" s="149" t="s">
        <v>101</v>
      </c>
      <c r="D55" s="52">
        <v>5416804553.5050001</v>
      </c>
      <c r="E55" s="35">
        <f t="shared" si="28"/>
        <v>1.0307284495208913E-3</v>
      </c>
      <c r="F55" s="42">
        <v>100</v>
      </c>
      <c r="G55" s="42">
        <v>100</v>
      </c>
      <c r="H55" s="36">
        <v>930</v>
      </c>
      <c r="I55" s="58">
        <v>0.1709</v>
      </c>
      <c r="J55" s="58">
        <v>0.1709</v>
      </c>
      <c r="K55" s="52">
        <v>5412553944.2290001</v>
      </c>
      <c r="L55" s="35">
        <f t="shared" si="29"/>
        <v>1.029919628773291E-3</v>
      </c>
      <c r="M55" s="42">
        <v>100</v>
      </c>
      <c r="N55" s="42">
        <v>100</v>
      </c>
      <c r="O55" s="36">
        <v>930</v>
      </c>
      <c r="P55" s="58">
        <v>0.17069999999999999</v>
      </c>
      <c r="Q55" s="58">
        <v>0.17069999999999999</v>
      </c>
      <c r="R55" s="63">
        <f t="shared" si="19"/>
        <v>-7.8470789078952856E-4</v>
      </c>
      <c r="S55" s="63">
        <f t="shared" si="20"/>
        <v>0</v>
      </c>
      <c r="T55" s="63">
        <f t="shared" si="21"/>
        <v>0</v>
      </c>
      <c r="U55" s="64">
        <f t="shared" si="22"/>
        <v>-2.0000000000000573E-4</v>
      </c>
      <c r="V55" s="65">
        <f t="shared" si="23"/>
        <v>-2.0000000000000573E-4</v>
      </c>
    </row>
    <row r="56" spans="1:22">
      <c r="A56" s="181">
        <v>48</v>
      </c>
      <c r="B56" s="150" t="s">
        <v>102</v>
      </c>
      <c r="C56" s="149" t="s">
        <v>44</v>
      </c>
      <c r="D56" s="56">
        <v>99153593972.509995</v>
      </c>
      <c r="E56" s="35">
        <f t="shared" si="28"/>
        <v>1.8867291439115957E-2</v>
      </c>
      <c r="F56" s="42">
        <v>10</v>
      </c>
      <c r="G56" s="42">
        <v>10</v>
      </c>
      <c r="H56" s="36">
        <v>9432</v>
      </c>
      <c r="I56" s="58">
        <v>0.1787</v>
      </c>
      <c r="J56" s="58">
        <v>0.1787</v>
      </c>
      <c r="K56" s="56">
        <v>101162316767.55</v>
      </c>
      <c r="L56" s="35">
        <f t="shared" si="29"/>
        <v>1.9249518213517326E-2</v>
      </c>
      <c r="M56" s="42">
        <v>10</v>
      </c>
      <c r="N56" s="42">
        <v>10</v>
      </c>
      <c r="O56" s="36">
        <v>9560</v>
      </c>
      <c r="P56" s="58">
        <v>0.1835</v>
      </c>
      <c r="Q56" s="58">
        <v>0.1835</v>
      </c>
      <c r="R56" s="63">
        <f t="shared" si="19"/>
        <v>2.0258698798118403E-2</v>
      </c>
      <c r="S56" s="63">
        <f t="shared" si="20"/>
        <v>0</v>
      </c>
      <c r="T56" s="63">
        <f t="shared" si="21"/>
        <v>1.3570822731128074E-2</v>
      </c>
      <c r="U56" s="64">
        <f t="shared" si="22"/>
        <v>4.7999999999999987E-3</v>
      </c>
      <c r="V56" s="65">
        <f t="shared" si="23"/>
        <v>4.7999999999999987E-3</v>
      </c>
    </row>
    <row r="57" spans="1:22">
      <c r="A57" s="181">
        <v>49</v>
      </c>
      <c r="B57" s="150" t="s">
        <v>103</v>
      </c>
      <c r="C57" s="149" t="s">
        <v>104</v>
      </c>
      <c r="D57" s="52">
        <v>38391863362</v>
      </c>
      <c r="E57" s="35">
        <f t="shared" si="28"/>
        <v>7.305337566910544E-3</v>
      </c>
      <c r="F57" s="42">
        <v>100</v>
      </c>
      <c r="G57" s="42">
        <v>100</v>
      </c>
      <c r="H57" s="36">
        <v>5788</v>
      </c>
      <c r="I57" s="58">
        <v>0.1764</v>
      </c>
      <c r="J57" s="58">
        <v>0.1764</v>
      </c>
      <c r="K57" s="52">
        <v>38819304418</v>
      </c>
      <c r="L57" s="35">
        <f t="shared" si="29"/>
        <v>7.3866725407979389E-3</v>
      </c>
      <c r="M57" s="42">
        <v>100</v>
      </c>
      <c r="N57" s="42">
        <v>100</v>
      </c>
      <c r="O57" s="36">
        <v>5832</v>
      </c>
      <c r="P57" s="58">
        <v>0.1762</v>
      </c>
      <c r="Q57" s="58">
        <v>0.1762</v>
      </c>
      <c r="R57" s="63">
        <f t="shared" si="19"/>
        <v>1.1133636624240495E-2</v>
      </c>
      <c r="S57" s="63">
        <f t="shared" si="20"/>
        <v>0</v>
      </c>
      <c r="T57" s="63">
        <f t="shared" si="21"/>
        <v>7.601935038009675E-3</v>
      </c>
      <c r="U57" s="64">
        <f t="shared" si="22"/>
        <v>-2.0000000000000573E-4</v>
      </c>
      <c r="V57" s="65">
        <f t="shared" si="23"/>
        <v>-2.0000000000000573E-4</v>
      </c>
    </row>
    <row r="58" spans="1:22">
      <c r="A58" s="181">
        <v>50</v>
      </c>
      <c r="B58" s="150" t="s">
        <v>105</v>
      </c>
      <c r="C58" s="149" t="s">
        <v>106</v>
      </c>
      <c r="D58" s="52">
        <v>176924381.13999999</v>
      </c>
      <c r="E58" s="35">
        <f t="shared" si="28"/>
        <v>3.3665787874306232E-5</v>
      </c>
      <c r="F58" s="42">
        <v>1</v>
      </c>
      <c r="G58" s="42">
        <v>1</v>
      </c>
      <c r="H58" s="36">
        <v>93</v>
      </c>
      <c r="I58" s="58">
        <v>0.1181</v>
      </c>
      <c r="J58" s="58">
        <v>0.1181</v>
      </c>
      <c r="K58" s="52">
        <v>176924381.13999999</v>
      </c>
      <c r="L58" s="35">
        <f t="shared" si="29"/>
        <v>3.3665787874306232E-5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0</v>
      </c>
      <c r="S58" s="63">
        <f t="shared" si="20"/>
        <v>0</v>
      </c>
      <c r="T58" s="63">
        <f t="shared" si="21"/>
        <v>0</v>
      </c>
      <c r="U58" s="64">
        <f t="shared" si="22"/>
        <v>0</v>
      </c>
      <c r="V58" s="65">
        <f t="shared" si="23"/>
        <v>0</v>
      </c>
    </row>
    <row r="59" spans="1:22">
      <c r="A59" s="181">
        <v>51</v>
      </c>
      <c r="B59" s="150" t="s">
        <v>107</v>
      </c>
      <c r="C59" s="149" t="s">
        <v>46</v>
      </c>
      <c r="D59" s="56">
        <v>2670248533.54</v>
      </c>
      <c r="E59" s="35">
        <f t="shared" si="28"/>
        <v>5.0810419752549737E-4</v>
      </c>
      <c r="F59" s="42">
        <v>10</v>
      </c>
      <c r="G59" s="42">
        <v>10</v>
      </c>
      <c r="H59" s="36">
        <v>950</v>
      </c>
      <c r="I59" s="58">
        <v>0.14219999999999999</v>
      </c>
      <c r="J59" s="58">
        <v>0.14219999999999999</v>
      </c>
      <c r="K59" s="56">
        <v>2659564454.1399999</v>
      </c>
      <c r="L59" s="35">
        <f t="shared" si="29"/>
        <v>5.0607119366025827E-4</v>
      </c>
      <c r="M59" s="42">
        <v>10</v>
      </c>
      <c r="N59" s="42">
        <v>10</v>
      </c>
      <c r="O59" s="36">
        <v>962</v>
      </c>
      <c r="P59" s="58">
        <v>0.155</v>
      </c>
      <c r="Q59" s="58">
        <v>0.155</v>
      </c>
      <c r="R59" s="63">
        <f t="shared" si="19"/>
        <v>-4.0011554227261407E-3</v>
      </c>
      <c r="S59" s="63">
        <f t="shared" si="20"/>
        <v>0</v>
      </c>
      <c r="T59" s="63">
        <f t="shared" si="21"/>
        <v>1.2631578947368421E-2</v>
      </c>
      <c r="U59" s="64">
        <f t="shared" si="22"/>
        <v>1.2800000000000006E-2</v>
      </c>
      <c r="V59" s="65">
        <f t="shared" si="23"/>
        <v>1.2800000000000006E-2</v>
      </c>
    </row>
    <row r="60" spans="1:22">
      <c r="A60" s="181">
        <v>52</v>
      </c>
      <c r="B60" s="150" t="s">
        <v>108</v>
      </c>
      <c r="C60" s="149" t="s">
        <v>109</v>
      </c>
      <c r="D60" s="56">
        <v>1351928174</v>
      </c>
      <c r="E60" s="35">
        <f t="shared" si="28"/>
        <v>2.5724960479679297E-4</v>
      </c>
      <c r="F60" s="42">
        <v>1</v>
      </c>
      <c r="G60" s="42">
        <v>1</v>
      </c>
      <c r="H60" s="36">
        <v>209</v>
      </c>
      <c r="I60" s="58">
        <v>0.21510000000000001</v>
      </c>
      <c r="J60" s="58">
        <v>0.21510000000000001</v>
      </c>
      <c r="K60" s="56">
        <v>1357562887</v>
      </c>
      <c r="L60" s="35">
        <f t="shared" si="29"/>
        <v>2.5832179762498483E-4</v>
      </c>
      <c r="M60" s="42">
        <v>1</v>
      </c>
      <c r="N60" s="42">
        <v>1</v>
      </c>
      <c r="O60" s="36">
        <v>210</v>
      </c>
      <c r="P60" s="58">
        <v>0.2142</v>
      </c>
      <c r="Q60" s="58">
        <v>0.2142</v>
      </c>
      <c r="R60" s="63">
        <f t="shared" si="19"/>
        <v>4.1679085534021866E-3</v>
      </c>
      <c r="S60" s="63">
        <f t="shared" si="20"/>
        <v>0</v>
      </c>
      <c r="T60" s="63">
        <f t="shared" si="21"/>
        <v>4.7846889952153108E-3</v>
      </c>
      <c r="U60" s="64">
        <f t="shared" si="22"/>
        <v>-9.000000000000119E-4</v>
      </c>
      <c r="V60" s="65">
        <f t="shared" si="23"/>
        <v>-9.000000000000119E-4</v>
      </c>
    </row>
    <row r="61" spans="1:22">
      <c r="A61" s="181">
        <v>53</v>
      </c>
      <c r="B61" s="150" t="s">
        <v>110</v>
      </c>
      <c r="C61" s="149" t="s">
        <v>111</v>
      </c>
      <c r="D61" s="56">
        <v>2810784630.9499998</v>
      </c>
      <c r="E61" s="35">
        <f t="shared" si="28"/>
        <v>5.3484589594830572E-4</v>
      </c>
      <c r="F61" s="42">
        <v>1</v>
      </c>
      <c r="G61" s="42">
        <v>1</v>
      </c>
      <c r="H61" s="36">
        <v>2199</v>
      </c>
      <c r="I61" s="58">
        <v>0.15459999999999999</v>
      </c>
      <c r="J61" s="58">
        <v>0.15459999999999999</v>
      </c>
      <c r="K61" s="56">
        <v>2098693581.0282199</v>
      </c>
      <c r="L61" s="35">
        <f t="shared" si="29"/>
        <v>3.9934672913257574E-4</v>
      </c>
      <c r="M61" s="42">
        <v>1</v>
      </c>
      <c r="N61" s="42">
        <v>1</v>
      </c>
      <c r="O61" s="36">
        <v>2237</v>
      </c>
      <c r="P61" s="58">
        <v>0.15590000000000001</v>
      </c>
      <c r="Q61" s="58">
        <v>0.15590000000000001</v>
      </c>
      <c r="R61" s="63">
        <f t="shared" si="19"/>
        <v>-0.25334244469705408</v>
      </c>
      <c r="S61" s="63">
        <f t="shared" si="20"/>
        <v>0</v>
      </c>
      <c r="T61" s="63">
        <f t="shared" si="21"/>
        <v>1.7280582082764895E-2</v>
      </c>
      <c r="U61" s="64">
        <f t="shared" si="22"/>
        <v>1.3000000000000234E-3</v>
      </c>
      <c r="V61" s="65">
        <f t="shared" si="23"/>
        <v>1.3000000000000234E-3</v>
      </c>
    </row>
    <row r="62" spans="1:22">
      <c r="A62" s="181">
        <v>54</v>
      </c>
      <c r="B62" s="150" t="s">
        <v>112</v>
      </c>
      <c r="C62" s="149" t="s">
        <v>113</v>
      </c>
      <c r="D62" s="56">
        <v>14413106116.3918</v>
      </c>
      <c r="E62" s="35">
        <f t="shared" si="28"/>
        <v>2.7425760655358823E-3</v>
      </c>
      <c r="F62" s="42">
        <v>100</v>
      </c>
      <c r="G62" s="42">
        <v>100</v>
      </c>
      <c r="H62" s="36">
        <v>156</v>
      </c>
      <c r="I62" s="58">
        <v>0.1653</v>
      </c>
      <c r="J62" s="58">
        <v>0.1653</v>
      </c>
      <c r="K62" s="56">
        <v>14466205820.200001</v>
      </c>
      <c r="L62" s="35">
        <f t="shared" si="29"/>
        <v>2.7526800622438364E-3</v>
      </c>
      <c r="M62" s="42">
        <v>100</v>
      </c>
      <c r="N62" s="42">
        <v>100</v>
      </c>
      <c r="O62" s="36">
        <v>157</v>
      </c>
      <c r="P62" s="58">
        <v>0.16700000000000001</v>
      </c>
      <c r="Q62" s="58">
        <v>0.16700000000000001</v>
      </c>
      <c r="R62" s="63">
        <f t="shared" si="19"/>
        <v>3.6841263346983461E-3</v>
      </c>
      <c r="S62" s="63">
        <f t="shared" si="20"/>
        <v>0</v>
      </c>
      <c r="T62" s="63">
        <f t="shared" si="21"/>
        <v>6.41025641025641E-3</v>
      </c>
      <c r="U62" s="64">
        <f t="shared" si="22"/>
        <v>1.7000000000000071E-3</v>
      </c>
      <c r="V62" s="65">
        <f t="shared" si="23"/>
        <v>1.7000000000000071E-3</v>
      </c>
    </row>
    <row r="63" spans="1:22">
      <c r="A63" s="181">
        <v>55</v>
      </c>
      <c r="B63" s="150" t="s">
        <v>330</v>
      </c>
      <c r="C63" s="149" t="s">
        <v>77</v>
      </c>
      <c r="D63" s="56">
        <v>73381899.060000002</v>
      </c>
      <c r="E63" s="35">
        <f t="shared" si="28"/>
        <v>1.3963363509593633E-5</v>
      </c>
      <c r="F63" s="42">
        <v>1000</v>
      </c>
      <c r="G63" s="42">
        <v>1000</v>
      </c>
      <c r="H63" s="36">
        <v>24</v>
      </c>
      <c r="I63" s="58">
        <v>8.6E-3</v>
      </c>
      <c r="J63" s="58">
        <v>0.24279999999999999</v>
      </c>
      <c r="K63" s="56">
        <v>73654868.159999996</v>
      </c>
      <c r="L63" s="35">
        <f t="shared" si="29"/>
        <v>1.4015305021315347E-5</v>
      </c>
      <c r="M63" s="42">
        <v>1000</v>
      </c>
      <c r="N63" s="42">
        <v>1000</v>
      </c>
      <c r="O63" s="36">
        <v>24</v>
      </c>
      <c r="P63" s="58">
        <v>0.2427</v>
      </c>
      <c r="Q63" s="58">
        <v>0.2427</v>
      </c>
      <c r="R63" s="63">
        <f t="shared" si="19"/>
        <v>3.7198424065968023E-3</v>
      </c>
      <c r="S63" s="63">
        <f t="shared" si="20"/>
        <v>0</v>
      </c>
      <c r="T63" s="63">
        <f t="shared" si="21"/>
        <v>0</v>
      </c>
      <c r="U63" s="64">
        <f t="shared" si="22"/>
        <v>0.2341</v>
      </c>
      <c r="V63" s="65">
        <f t="shared" si="23"/>
        <v>-9.9999999999988987E-5</v>
      </c>
    </row>
    <row r="64" spans="1:22">
      <c r="A64" s="181">
        <v>56</v>
      </c>
      <c r="B64" s="150" t="s">
        <v>337</v>
      </c>
      <c r="C64" s="149" t="s">
        <v>34</v>
      </c>
      <c r="D64" s="40">
        <v>0</v>
      </c>
      <c r="E64" s="35">
        <f t="shared" si="28"/>
        <v>0</v>
      </c>
      <c r="F64" s="34">
        <v>0</v>
      </c>
      <c r="G64" s="34">
        <v>0</v>
      </c>
      <c r="H64" s="36">
        <v>0</v>
      </c>
      <c r="I64" s="58">
        <v>0</v>
      </c>
      <c r="J64" s="58">
        <v>0</v>
      </c>
      <c r="K64" s="40">
        <v>1629974082</v>
      </c>
      <c r="L64" s="35">
        <f t="shared" si="29"/>
        <v>3.1015714923884365E-4</v>
      </c>
      <c r="M64" s="34">
        <v>1</v>
      </c>
      <c r="N64" s="34">
        <v>1</v>
      </c>
      <c r="O64" s="36" t="s">
        <v>323</v>
      </c>
      <c r="P64" s="58" t="s">
        <v>323</v>
      </c>
      <c r="Q64" s="58" t="s">
        <v>323</v>
      </c>
      <c r="R64" s="63" t="e">
        <f t="shared" si="19"/>
        <v>#DIV/0!</v>
      </c>
      <c r="S64" s="63" t="e">
        <f t="shared" si="20"/>
        <v>#DIV/0!</v>
      </c>
      <c r="T64" s="63" t="e">
        <f t="shared" si="21"/>
        <v>#VALUE!</v>
      </c>
      <c r="U64" s="64" t="e">
        <f t="shared" si="22"/>
        <v>#VALUE!</v>
      </c>
      <c r="V64" s="65" t="e">
        <f t="shared" si="23"/>
        <v>#VALUE!</v>
      </c>
    </row>
    <row r="65" spans="1:22">
      <c r="A65" s="181">
        <v>57</v>
      </c>
      <c r="B65" s="150" t="s">
        <v>114</v>
      </c>
      <c r="C65" s="149" t="s">
        <v>50</v>
      </c>
      <c r="D65" s="52">
        <v>2545851208095.79</v>
      </c>
      <c r="E65" s="35">
        <f t="shared" si="28"/>
        <v>0.48443344088047674</v>
      </c>
      <c r="F65" s="42">
        <v>100</v>
      </c>
      <c r="G65" s="42">
        <v>100</v>
      </c>
      <c r="H65" s="36">
        <v>284963</v>
      </c>
      <c r="I65" s="58">
        <v>0.15359999999999999</v>
      </c>
      <c r="J65" s="58">
        <v>0.15359999999999999</v>
      </c>
      <c r="K65" s="52">
        <v>2568861318622.7798</v>
      </c>
      <c r="L65" s="35">
        <f t="shared" ref="L65:L72" si="35">(K65/$K$73)</f>
        <v>0.48881188490822775</v>
      </c>
      <c r="M65" s="42">
        <v>100</v>
      </c>
      <c r="N65" s="42">
        <v>100</v>
      </c>
      <c r="O65" s="36">
        <v>288917</v>
      </c>
      <c r="P65" s="58">
        <v>0.15090000000000001</v>
      </c>
      <c r="Q65" s="58">
        <v>0.15090000000000001</v>
      </c>
      <c r="R65" s="63">
        <f t="shared" si="19"/>
        <v>9.0382778277920354E-3</v>
      </c>
      <c r="S65" s="63">
        <f t="shared" si="20"/>
        <v>0</v>
      </c>
      <c r="T65" s="63">
        <f t="shared" si="21"/>
        <v>1.3875485589357214E-2</v>
      </c>
      <c r="U65" s="64">
        <f t="shared" si="22"/>
        <v>-2.6999999999999802E-3</v>
      </c>
      <c r="V65" s="65">
        <f t="shared" si="23"/>
        <v>-2.6999999999999802E-3</v>
      </c>
    </row>
    <row r="66" spans="1:22">
      <c r="A66" s="181">
        <v>58</v>
      </c>
      <c r="B66" s="150" t="s">
        <v>115</v>
      </c>
      <c r="C66" s="150" t="s">
        <v>116</v>
      </c>
      <c r="D66" s="52">
        <v>8809033495.2099991</v>
      </c>
      <c r="E66" s="35">
        <f t="shared" si="28"/>
        <v>1.6762135954158197E-3</v>
      </c>
      <c r="F66" s="42">
        <v>100</v>
      </c>
      <c r="G66" s="42">
        <v>100</v>
      </c>
      <c r="H66" s="36">
        <v>1075</v>
      </c>
      <c r="I66" s="58">
        <v>0.20119999999999999</v>
      </c>
      <c r="J66" s="58">
        <v>0.20119999999999999</v>
      </c>
      <c r="K66" s="52">
        <v>8799173256.4599991</v>
      </c>
      <c r="L66" s="35">
        <f t="shared" si="35"/>
        <v>1.6743373548207779E-3</v>
      </c>
      <c r="M66" s="42">
        <v>100</v>
      </c>
      <c r="N66" s="42">
        <v>100</v>
      </c>
      <c r="O66" s="36">
        <v>1094</v>
      </c>
      <c r="P66" s="58">
        <v>0.20130000000000001</v>
      </c>
      <c r="Q66" s="58">
        <v>0.20130000000000001</v>
      </c>
      <c r="R66" s="63">
        <f t="shared" si="19"/>
        <v>-1.1193326436278854E-3</v>
      </c>
      <c r="S66" s="63">
        <f t="shared" si="20"/>
        <v>0</v>
      </c>
      <c r="T66" s="63">
        <f t="shared" si="21"/>
        <v>1.7674418604651163E-2</v>
      </c>
      <c r="U66" s="64">
        <f t="shared" si="22"/>
        <v>1.0000000000001674E-4</v>
      </c>
      <c r="V66" s="65">
        <f t="shared" si="23"/>
        <v>1.0000000000001674E-4</v>
      </c>
    </row>
    <row r="67" spans="1:22">
      <c r="A67" s="181">
        <v>59</v>
      </c>
      <c r="B67" s="185" t="s">
        <v>117</v>
      </c>
      <c r="C67" s="149" t="s">
        <v>118</v>
      </c>
      <c r="D67" s="52">
        <v>14716540713.77</v>
      </c>
      <c r="E67" s="35">
        <f t="shared" si="28"/>
        <v>2.8003146582795055E-3</v>
      </c>
      <c r="F67" s="42">
        <v>1</v>
      </c>
      <c r="G67" s="42">
        <v>1</v>
      </c>
      <c r="H67" s="36">
        <v>732</v>
      </c>
      <c r="I67" s="58">
        <v>0.19583900000000001</v>
      </c>
      <c r="J67" s="58">
        <v>0.19583900000000001</v>
      </c>
      <c r="K67" s="52">
        <v>15395909292.469999</v>
      </c>
      <c r="L67" s="35">
        <f t="shared" si="35"/>
        <v>2.9295872792241841E-3</v>
      </c>
      <c r="M67" s="42">
        <v>1</v>
      </c>
      <c r="N67" s="42">
        <v>1</v>
      </c>
      <c r="O67" s="36">
        <v>748</v>
      </c>
      <c r="P67" s="58">
        <v>0.19505900000000001</v>
      </c>
      <c r="Q67" s="58">
        <v>0.19505900000000001</v>
      </c>
      <c r="R67" s="63">
        <f t="shared" si="19"/>
        <v>4.616360542286449E-2</v>
      </c>
      <c r="S67" s="63">
        <f t="shared" si="20"/>
        <v>0</v>
      </c>
      <c r="T67" s="63">
        <f t="shared" si="21"/>
        <v>2.185792349726776E-2</v>
      </c>
      <c r="U67" s="64">
        <f t="shared" si="22"/>
        <v>-7.8000000000000291E-4</v>
      </c>
      <c r="V67" s="65">
        <f t="shared" si="23"/>
        <v>-7.8000000000000291E-4</v>
      </c>
    </row>
    <row r="68" spans="1:22">
      <c r="A68" s="181">
        <v>60</v>
      </c>
      <c r="B68" s="150" t="s">
        <v>119</v>
      </c>
      <c r="C68" s="149" t="s">
        <v>53</v>
      </c>
      <c r="D68" s="52">
        <v>222154244663.64999</v>
      </c>
      <c r="E68" s="35">
        <f t="shared" si="28"/>
        <v>4.2272283944319963E-2</v>
      </c>
      <c r="F68" s="42">
        <v>1</v>
      </c>
      <c r="G68" s="42">
        <v>1</v>
      </c>
      <c r="H68" s="36">
        <v>81188</v>
      </c>
      <c r="I68" s="58">
        <v>0.153</v>
      </c>
      <c r="J68" s="58">
        <v>0.153</v>
      </c>
      <c r="K68" s="52">
        <v>221135952467.13</v>
      </c>
      <c r="L68" s="35">
        <f t="shared" si="35"/>
        <v>4.2078519756132832E-2</v>
      </c>
      <c r="M68" s="42">
        <v>1</v>
      </c>
      <c r="N68" s="42">
        <v>1</v>
      </c>
      <c r="O68" s="36">
        <v>81841</v>
      </c>
      <c r="P68" s="58">
        <v>0.15740000000000001</v>
      </c>
      <c r="Q68" s="58">
        <v>0.15740000000000001</v>
      </c>
      <c r="R68" s="63">
        <f t="shared" si="19"/>
        <v>-4.5837170388606449E-3</v>
      </c>
      <c r="S68" s="63">
        <f t="shared" si="20"/>
        <v>0</v>
      </c>
      <c r="T68" s="63">
        <f t="shared" si="21"/>
        <v>8.0430605508203176E-3</v>
      </c>
      <c r="U68" s="64">
        <f t="shared" si="22"/>
        <v>4.400000000000015E-3</v>
      </c>
      <c r="V68" s="65">
        <f t="shared" si="23"/>
        <v>4.400000000000015E-3</v>
      </c>
    </row>
    <row r="69" spans="1:22">
      <c r="A69" s="181">
        <v>61</v>
      </c>
      <c r="B69" s="150" t="s">
        <v>120</v>
      </c>
      <c r="C69" s="149" t="s">
        <v>121</v>
      </c>
      <c r="D69" s="52">
        <v>2426925726.9400001</v>
      </c>
      <c r="E69" s="35">
        <f t="shared" si="28"/>
        <v>4.6180388583756557E-4</v>
      </c>
      <c r="F69" s="42">
        <v>1</v>
      </c>
      <c r="G69" s="42">
        <v>1</v>
      </c>
      <c r="H69" s="36">
        <v>159</v>
      </c>
      <c r="I69" s="58">
        <v>0.14580000000000001</v>
      </c>
      <c r="J69" s="58">
        <v>0.14580000000000001</v>
      </c>
      <c r="K69" s="52">
        <v>2430487936.7399998</v>
      </c>
      <c r="L69" s="35">
        <f t="shared" si="35"/>
        <v>4.6248171553360767E-4</v>
      </c>
      <c r="M69" s="42">
        <v>1</v>
      </c>
      <c r="N69" s="42">
        <v>1</v>
      </c>
      <c r="O69" s="36">
        <v>158</v>
      </c>
      <c r="P69" s="58">
        <v>0.15609999999999999</v>
      </c>
      <c r="Q69" s="58">
        <v>0.15609999999999999</v>
      </c>
      <c r="R69" s="63">
        <f t="shared" si="19"/>
        <v>1.4677869044188434E-3</v>
      </c>
      <c r="S69" s="63">
        <f t="shared" si="20"/>
        <v>0</v>
      </c>
      <c r="T69" s="63">
        <f t="shared" si="21"/>
        <v>-6.2893081761006293E-3</v>
      </c>
      <c r="U69" s="64">
        <f t="shared" si="22"/>
        <v>1.0299999999999976E-2</v>
      </c>
      <c r="V69" s="65">
        <f t="shared" si="23"/>
        <v>1.0299999999999976E-2</v>
      </c>
    </row>
    <row r="70" spans="1:22">
      <c r="A70" s="181">
        <v>62</v>
      </c>
      <c r="B70" s="150" t="s">
        <v>122</v>
      </c>
      <c r="C70" s="149" t="s">
        <v>123</v>
      </c>
      <c r="D70" s="52">
        <v>8583444211.8900003</v>
      </c>
      <c r="E70" s="35">
        <f t="shared" si="28"/>
        <v>1.6332876803438986E-3</v>
      </c>
      <c r="F70" s="42">
        <v>1</v>
      </c>
      <c r="G70" s="42">
        <v>1</v>
      </c>
      <c r="H70" s="36">
        <v>542</v>
      </c>
      <c r="I70" s="58">
        <v>0.17419999999999999</v>
      </c>
      <c r="J70" s="58">
        <v>0.17419999999999999</v>
      </c>
      <c r="K70" s="52">
        <v>8788959731.7099991</v>
      </c>
      <c r="L70" s="35">
        <f t="shared" si="35"/>
        <v>1.6723938897343555E-3</v>
      </c>
      <c r="M70" s="42">
        <v>1</v>
      </c>
      <c r="N70" s="42">
        <v>1</v>
      </c>
      <c r="O70" s="36">
        <v>567</v>
      </c>
      <c r="P70" s="58">
        <v>0.17</v>
      </c>
      <c r="Q70" s="58">
        <v>0.17</v>
      </c>
      <c r="R70" s="63">
        <f t="shared" si="19"/>
        <v>2.3943246410958616E-2</v>
      </c>
      <c r="S70" s="63">
        <f t="shared" si="20"/>
        <v>0</v>
      </c>
      <c r="T70" s="63">
        <f t="shared" si="21"/>
        <v>4.6125461254612546E-2</v>
      </c>
      <c r="U70" s="64">
        <f t="shared" si="22"/>
        <v>-4.1999999999999815E-3</v>
      </c>
      <c r="V70" s="65">
        <f t="shared" si="23"/>
        <v>-4.1999999999999815E-3</v>
      </c>
    </row>
    <row r="71" spans="1:22">
      <c r="A71" s="181">
        <v>63</v>
      </c>
      <c r="B71" s="150" t="s">
        <v>124</v>
      </c>
      <c r="C71" s="149" t="s">
        <v>125</v>
      </c>
      <c r="D71" s="52">
        <v>12028822968.950001</v>
      </c>
      <c r="E71" s="35">
        <f t="shared" si="28"/>
        <v>2.288886358346559E-3</v>
      </c>
      <c r="F71" s="42">
        <v>1</v>
      </c>
      <c r="G71" s="42">
        <v>1</v>
      </c>
      <c r="H71" s="36">
        <v>5958</v>
      </c>
      <c r="I71" s="58">
        <v>0.18329999999999999</v>
      </c>
      <c r="J71" s="58">
        <v>0.18329999999999999</v>
      </c>
      <c r="K71" s="52">
        <v>14509897020.219999</v>
      </c>
      <c r="L71" s="35">
        <f t="shared" si="35"/>
        <v>2.7609937760597024E-3</v>
      </c>
      <c r="M71" s="42">
        <v>1</v>
      </c>
      <c r="N71" s="42">
        <v>1</v>
      </c>
      <c r="O71" s="36">
        <v>6048</v>
      </c>
      <c r="P71" s="58">
        <v>0.1825</v>
      </c>
      <c r="Q71" s="58">
        <v>0.1825</v>
      </c>
      <c r="R71" s="63">
        <f t="shared" si="19"/>
        <v>0.20626075033894795</v>
      </c>
      <c r="S71" s="63">
        <f t="shared" si="20"/>
        <v>0</v>
      </c>
      <c r="T71" s="63">
        <f t="shared" si="21"/>
        <v>1.5105740181268883E-2</v>
      </c>
      <c r="U71" s="64">
        <f t="shared" si="22"/>
        <v>-7.9999999999999516E-4</v>
      </c>
      <c r="V71" s="65">
        <f t="shared" si="23"/>
        <v>-7.9999999999999516E-4</v>
      </c>
    </row>
    <row r="72" spans="1:22">
      <c r="A72" s="181">
        <v>64</v>
      </c>
      <c r="B72" s="150" t="s">
        <v>126</v>
      </c>
      <c r="C72" s="149" t="s">
        <v>127</v>
      </c>
      <c r="D72" s="52">
        <v>144300482577.37</v>
      </c>
      <c r="E72" s="35">
        <f t="shared" si="28"/>
        <v>2.7457998752391514E-2</v>
      </c>
      <c r="F72" s="42">
        <v>1</v>
      </c>
      <c r="G72" s="42">
        <v>1</v>
      </c>
      <c r="H72" s="36">
        <v>7712</v>
      </c>
      <c r="I72" s="58">
        <v>0.17100000000000001</v>
      </c>
      <c r="J72" s="58">
        <v>0.17100000000000001</v>
      </c>
      <c r="K72" s="52">
        <v>144079568212.72</v>
      </c>
      <c r="L72" s="35">
        <f t="shared" si="35"/>
        <v>2.7415962397137523E-2</v>
      </c>
      <c r="M72" s="42">
        <v>1</v>
      </c>
      <c r="N72" s="42">
        <v>1</v>
      </c>
      <c r="O72" s="36">
        <v>7787</v>
      </c>
      <c r="P72" s="58">
        <v>0.16869999999999999</v>
      </c>
      <c r="Q72" s="58">
        <v>0.16869999999999999</v>
      </c>
      <c r="R72" s="63">
        <f t="shared" si="19"/>
        <v>-1.530932958117764E-3</v>
      </c>
      <c r="S72" s="63">
        <f t="shared" si="20"/>
        <v>0</v>
      </c>
      <c r="T72" s="63">
        <f t="shared" si="21"/>
        <v>9.7251037344398342E-3</v>
      </c>
      <c r="U72" s="64">
        <f t="shared" si="22"/>
        <v>-2.3000000000000242E-3</v>
      </c>
      <c r="V72" s="65">
        <f t="shared" si="23"/>
        <v>-2.3000000000000242E-3</v>
      </c>
    </row>
    <row r="73" spans="1:22">
      <c r="A73" s="43"/>
      <c r="B73" s="44"/>
      <c r="C73" s="45" t="s">
        <v>56</v>
      </c>
      <c r="D73" s="67">
        <f>SUM(D29:D72)</f>
        <v>5200745752031.0068</v>
      </c>
      <c r="E73" s="47">
        <f>(D73/$D$233)</f>
        <v>0.64146571894444337</v>
      </c>
      <c r="F73" s="48"/>
      <c r="G73" s="53"/>
      <c r="H73" s="50">
        <f>SUM(H29:H72)</f>
        <v>654128</v>
      </c>
      <c r="I73" s="71"/>
      <c r="J73" s="71"/>
      <c r="K73" s="67">
        <f>SUM(K29:K72)</f>
        <v>5255316816008.0068</v>
      </c>
      <c r="L73" s="47">
        <f>(K73/$K$233)</f>
        <v>0.6427335712349318</v>
      </c>
      <c r="M73" s="48"/>
      <c r="N73" s="53"/>
      <c r="O73" s="50">
        <f>SUM(O29:O72)</f>
        <v>661314</v>
      </c>
      <c r="P73" s="71"/>
      <c r="Q73" s="71"/>
      <c r="R73" s="63">
        <f t="shared" si="19"/>
        <v>1.049293054860234E-2</v>
      </c>
      <c r="S73" s="63" t="e">
        <f t="shared" si="20"/>
        <v>#DIV/0!</v>
      </c>
      <c r="T73" s="63">
        <f t="shared" si="21"/>
        <v>1.0985617493823839E-2</v>
      </c>
      <c r="U73" s="64">
        <f t="shared" si="22"/>
        <v>0</v>
      </c>
      <c r="V73" s="65">
        <f t="shared" si="23"/>
        <v>0</v>
      </c>
    </row>
    <row r="74" spans="1:22" ht="3" customHeight="1">
      <c r="A74" s="43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</row>
    <row r="75" spans="1:22" ht="15" customHeight="1">
      <c r="A75" s="193" t="s">
        <v>128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</row>
    <row r="76" spans="1:22">
      <c r="A76" s="181">
        <v>65</v>
      </c>
      <c r="B76" s="150" t="s">
        <v>129</v>
      </c>
      <c r="C76" s="149" t="s">
        <v>22</v>
      </c>
      <c r="D76" s="40">
        <v>754956856.67999995</v>
      </c>
      <c r="E76" s="35">
        <f>(D76/$D$115)</f>
        <v>3.1183982118882007E-3</v>
      </c>
      <c r="F76" s="68">
        <v>1.7258</v>
      </c>
      <c r="G76" s="68">
        <v>1.7258</v>
      </c>
      <c r="H76" s="36">
        <v>544</v>
      </c>
      <c r="I76" s="58">
        <v>4.06E-4</v>
      </c>
      <c r="J76" s="58">
        <v>3.3799999999999997E-2</v>
      </c>
      <c r="K76" s="40">
        <v>756564754.69000006</v>
      </c>
      <c r="L76" s="35">
        <f t="shared" ref="L76:L99" si="36">(K76/$K$115)</f>
        <v>3.0924729427705936E-3</v>
      </c>
      <c r="M76" s="68">
        <v>1.7265999999999999</v>
      </c>
      <c r="N76" s="68">
        <v>1.7265999999999999</v>
      </c>
      <c r="O76" s="36">
        <v>545</v>
      </c>
      <c r="P76" s="58">
        <v>-1.041E-3</v>
      </c>
      <c r="Q76" s="58">
        <v>3.4299999999999997E-2</v>
      </c>
      <c r="R76" s="63">
        <f>((K76-D76)/D76)</f>
        <v>2.129787941884528E-3</v>
      </c>
      <c r="S76" s="63">
        <f>((N76-G76)/G76)</f>
        <v>4.635531347780229E-4</v>
      </c>
      <c r="T76" s="63">
        <f>((O76-H76)/H76)</f>
        <v>1.838235294117647E-3</v>
      </c>
      <c r="U76" s="64">
        <f>P76-I76</f>
        <v>-1.4469999999999999E-3</v>
      </c>
      <c r="V76" s="65">
        <f>Q76-J76</f>
        <v>5.0000000000000044E-4</v>
      </c>
    </row>
    <row r="77" spans="1:22">
      <c r="A77" s="181">
        <v>66</v>
      </c>
      <c r="B77" s="150" t="s">
        <v>130</v>
      </c>
      <c r="C77" s="149" t="s">
        <v>24</v>
      </c>
      <c r="D77" s="40">
        <v>1215337634.25</v>
      </c>
      <c r="E77" s="35">
        <f>(D77/$D$115)</f>
        <v>5.0200308427585365E-3</v>
      </c>
      <c r="F77" s="68">
        <v>1.3442000000000001</v>
      </c>
      <c r="G77" s="68">
        <v>1.3442000000000001</v>
      </c>
      <c r="H77" s="36">
        <v>1476</v>
      </c>
      <c r="I77" s="58">
        <v>0.183</v>
      </c>
      <c r="J77" s="58">
        <v>0.1113</v>
      </c>
      <c r="K77" s="40">
        <v>1222689963.0699999</v>
      </c>
      <c r="L77" s="35">
        <f t="shared" si="36"/>
        <v>4.9977686704959692E-3</v>
      </c>
      <c r="M77" s="68">
        <v>1.3476999999999999</v>
      </c>
      <c r="N77" s="68">
        <v>1.3476999999999999</v>
      </c>
      <c r="O77" s="36">
        <v>1484</v>
      </c>
      <c r="P77" s="58">
        <v>0.1358</v>
      </c>
      <c r="Q77" s="58">
        <v>0.11550000000000001</v>
      </c>
      <c r="R77" s="63">
        <f t="shared" ref="R77:R115" si="37">((K77-D77)/D77)</f>
        <v>6.0496183223496961E-3</v>
      </c>
      <c r="S77" s="63">
        <f t="shared" ref="S77:S115" si="38">((N77-G77)/G77)</f>
        <v>2.6037791995237587E-3</v>
      </c>
      <c r="T77" s="63">
        <f t="shared" ref="T77:T115" si="39">((O77-H77)/H77)</f>
        <v>5.4200542005420054E-3</v>
      </c>
      <c r="U77" s="64">
        <f t="shared" ref="U77:U115" si="40">P77-I77</f>
        <v>-4.7199999999999992E-2</v>
      </c>
      <c r="V77" s="65">
        <f t="shared" ref="V77:V115" si="41">Q77-J77</f>
        <v>4.2000000000000093E-3</v>
      </c>
    </row>
    <row r="78" spans="1:22">
      <c r="A78" s="181">
        <v>67</v>
      </c>
      <c r="B78" s="150" t="s">
        <v>131</v>
      </c>
      <c r="C78" s="149" t="s">
        <v>24</v>
      </c>
      <c r="D78" s="40">
        <v>666020590.01999998</v>
      </c>
      <c r="E78" s="35">
        <f>(D78/$D$115)</f>
        <v>2.7510412000661196E-3</v>
      </c>
      <c r="F78" s="68">
        <v>1.196</v>
      </c>
      <c r="G78" s="68">
        <v>1.196</v>
      </c>
      <c r="H78" s="36">
        <v>694</v>
      </c>
      <c r="I78" s="58">
        <v>0.12239999999999999</v>
      </c>
      <c r="J78" s="58">
        <v>0.11600000000000001</v>
      </c>
      <c r="K78" s="40">
        <v>669538941.10000002</v>
      </c>
      <c r="L78" s="35">
        <f t="shared" si="36"/>
        <v>2.7367532609041739E-3</v>
      </c>
      <c r="M78" s="68">
        <v>1.1988000000000001</v>
      </c>
      <c r="N78" s="68">
        <v>1.1988000000000001</v>
      </c>
      <c r="O78" s="36">
        <v>709</v>
      </c>
      <c r="P78" s="58">
        <v>0.1221</v>
      </c>
      <c r="Q78" s="58">
        <v>0.1172</v>
      </c>
      <c r="R78" s="63">
        <f t="shared" si="37"/>
        <v>5.2826461114278619E-3</v>
      </c>
      <c r="S78" s="63">
        <f t="shared" si="38"/>
        <v>2.3411371237459329E-3</v>
      </c>
      <c r="T78" s="63">
        <f t="shared" si="39"/>
        <v>2.1613832853025938E-2</v>
      </c>
      <c r="U78" s="64">
        <f t="shared" si="40"/>
        <v>-2.9999999999999472E-4</v>
      </c>
      <c r="V78" s="65">
        <f t="shared" si="41"/>
        <v>1.1999999999999927E-3</v>
      </c>
    </row>
    <row r="79" spans="1:22">
      <c r="A79" s="181">
        <v>68</v>
      </c>
      <c r="B79" s="150" t="s">
        <v>132</v>
      </c>
      <c r="C79" s="149" t="s">
        <v>64</v>
      </c>
      <c r="D79" s="40">
        <v>331794375.74000001</v>
      </c>
      <c r="E79" s="35">
        <f>(D79/$D$115)</f>
        <v>1.3704981667061503E-3</v>
      </c>
      <c r="F79" s="39">
        <v>1289.29</v>
      </c>
      <c r="G79" s="39">
        <v>1289.29</v>
      </c>
      <c r="H79" s="36">
        <v>109</v>
      </c>
      <c r="I79" s="58">
        <v>6.1000000000000004E-3</v>
      </c>
      <c r="J79" s="58">
        <v>0.1938</v>
      </c>
      <c r="K79" s="40">
        <v>333898868.17000002</v>
      </c>
      <c r="L79" s="35">
        <f t="shared" si="36"/>
        <v>1.3648180265290629E-3</v>
      </c>
      <c r="M79" s="39">
        <v>1297.47</v>
      </c>
      <c r="N79" s="39">
        <v>1297.47</v>
      </c>
      <c r="O79" s="36">
        <v>109</v>
      </c>
      <c r="P79" s="58">
        <v>5.5999999999999999E-3</v>
      </c>
      <c r="Q79" s="58">
        <v>0.22320000000000001</v>
      </c>
      <c r="R79" s="63">
        <f t="shared" si="37"/>
        <v>6.3427610106601834E-3</v>
      </c>
      <c r="S79" s="63">
        <f t="shared" si="38"/>
        <v>6.3445772479427155E-3</v>
      </c>
      <c r="T79" s="63">
        <f t="shared" si="39"/>
        <v>0</v>
      </c>
      <c r="U79" s="64">
        <f t="shared" si="40"/>
        <v>-5.0000000000000044E-4</v>
      </c>
      <c r="V79" s="65">
        <f t="shared" si="41"/>
        <v>2.9400000000000009E-2</v>
      </c>
    </row>
    <row r="80" spans="1:22" ht="15" customHeight="1">
      <c r="A80" s="181">
        <v>69</v>
      </c>
      <c r="B80" s="150" t="s">
        <v>133</v>
      </c>
      <c r="C80" s="149" t="s">
        <v>28</v>
      </c>
      <c r="D80" s="40">
        <v>1765145744.1600001</v>
      </c>
      <c r="E80" s="35">
        <f>(D80/$K$115)</f>
        <v>7.215067077897562E-3</v>
      </c>
      <c r="F80" s="39">
        <v>1.1304000000000001</v>
      </c>
      <c r="G80" s="39">
        <v>1.1304000000000001</v>
      </c>
      <c r="H80" s="36">
        <v>1081</v>
      </c>
      <c r="I80" s="58">
        <v>1.8700000000000001E-2</v>
      </c>
      <c r="J80" s="58">
        <v>4.3299999999999998E-2</v>
      </c>
      <c r="K80" s="40">
        <v>1762518872.9200001</v>
      </c>
      <c r="L80" s="35">
        <f t="shared" si="36"/>
        <v>7.2043296913308682E-3</v>
      </c>
      <c r="M80" s="39">
        <v>1.1248</v>
      </c>
      <c r="N80" s="39">
        <v>1.1248</v>
      </c>
      <c r="O80" s="36">
        <v>1081</v>
      </c>
      <c r="P80" s="58">
        <v>-5.0000000000000001E-3</v>
      </c>
      <c r="Q80" s="58">
        <v>3.8399999999999997E-2</v>
      </c>
      <c r="R80" s="63">
        <f t="shared" si="37"/>
        <v>-1.4881894306410877E-3</v>
      </c>
      <c r="S80" s="63">
        <f t="shared" si="38"/>
        <v>-4.9539985845718764E-3</v>
      </c>
      <c r="T80" s="63">
        <f t="shared" si="39"/>
        <v>0</v>
      </c>
      <c r="U80" s="64">
        <f t="shared" si="40"/>
        <v>-2.3700000000000002E-2</v>
      </c>
      <c r="V80" s="65">
        <f t="shared" si="41"/>
        <v>-4.9000000000000016E-3</v>
      </c>
    </row>
    <row r="81" spans="1:22">
      <c r="A81" s="181">
        <v>70</v>
      </c>
      <c r="B81" s="150" t="s">
        <v>134</v>
      </c>
      <c r="C81" s="149" t="s">
        <v>135</v>
      </c>
      <c r="D81" s="40">
        <v>487708078.47000003</v>
      </c>
      <c r="E81" s="35">
        <f t="shared" ref="E81:E99" si="42">(D81/$D$115)</f>
        <v>2.0145098178357516E-3</v>
      </c>
      <c r="F81" s="39">
        <v>2.7787000000000002</v>
      </c>
      <c r="G81" s="39">
        <v>2.7787000000000002</v>
      </c>
      <c r="H81" s="36">
        <v>1390</v>
      </c>
      <c r="I81" s="58">
        <v>0.1336</v>
      </c>
      <c r="J81" s="58">
        <v>0.13930000000000001</v>
      </c>
      <c r="K81" s="40">
        <v>489016627.35000002</v>
      </c>
      <c r="L81" s="35">
        <f t="shared" si="36"/>
        <v>1.9988648417338093E-3</v>
      </c>
      <c r="M81" s="39">
        <v>2.7862</v>
      </c>
      <c r="N81" s="39">
        <v>2.7862</v>
      </c>
      <c r="O81" s="36">
        <v>1390</v>
      </c>
      <c r="P81" s="58">
        <v>0.14069999999999999</v>
      </c>
      <c r="Q81" s="58">
        <v>0.1399</v>
      </c>
      <c r="R81" s="63">
        <f t="shared" si="37"/>
        <v>2.6830576276387985E-3</v>
      </c>
      <c r="S81" s="63">
        <f t="shared" si="38"/>
        <v>2.6991038975059702E-3</v>
      </c>
      <c r="T81" s="63">
        <f t="shared" si="39"/>
        <v>0</v>
      </c>
      <c r="U81" s="64">
        <f t="shared" si="40"/>
        <v>7.0999999999999952E-3</v>
      </c>
      <c r="V81" s="65">
        <f t="shared" si="41"/>
        <v>5.9999999999998943E-4</v>
      </c>
    </row>
    <row r="82" spans="1:22">
      <c r="A82" s="181">
        <v>71</v>
      </c>
      <c r="B82" s="149" t="s">
        <v>136</v>
      </c>
      <c r="C82" s="149" t="s">
        <v>137</v>
      </c>
      <c r="D82" s="40">
        <v>1266818792.0899999</v>
      </c>
      <c r="E82" s="35">
        <f t="shared" si="42"/>
        <v>5.2326771007979375E-3</v>
      </c>
      <c r="F82" s="39">
        <v>1147.2</v>
      </c>
      <c r="G82" s="39">
        <v>1147.2</v>
      </c>
      <c r="H82" s="36">
        <v>260</v>
      </c>
      <c r="I82" s="58">
        <v>1.1199999999999999E-3</v>
      </c>
      <c r="J82" s="58">
        <v>2.5190000000000001E-2</v>
      </c>
      <c r="K82" s="40">
        <v>1272401184.6600001</v>
      </c>
      <c r="L82" s="35">
        <f t="shared" si="36"/>
        <v>5.2009642420133596E-3</v>
      </c>
      <c r="M82" s="39">
        <v>1154.07</v>
      </c>
      <c r="N82" s="39">
        <v>1154.07</v>
      </c>
      <c r="O82" s="36">
        <v>262</v>
      </c>
      <c r="P82" s="58">
        <v>5.45E-3</v>
      </c>
      <c r="Q82" s="58">
        <v>3.1329999999999997E-2</v>
      </c>
      <c r="R82" s="63">
        <f t="shared" ref="R82" si="43">((K82-D82)/D82)</f>
        <v>4.4066227978749274E-3</v>
      </c>
      <c r="S82" s="63">
        <f t="shared" si="38"/>
        <v>5.9884937238492766E-3</v>
      </c>
      <c r="T82" s="63">
        <f t="shared" ref="T82" si="44">((O82-H82)/H82)</f>
        <v>7.6923076923076927E-3</v>
      </c>
      <c r="U82" s="64">
        <f t="shared" si="40"/>
        <v>4.3300000000000005E-3</v>
      </c>
      <c r="V82" s="65">
        <f t="shared" si="41"/>
        <v>6.1399999999999962E-3</v>
      </c>
    </row>
    <row r="83" spans="1:22">
      <c r="A83" s="181">
        <v>72</v>
      </c>
      <c r="B83" s="150" t="s">
        <v>138</v>
      </c>
      <c r="C83" s="149" t="s">
        <v>69</v>
      </c>
      <c r="D83" s="40">
        <v>236954037.44999999</v>
      </c>
      <c r="E83" s="35">
        <f t="shared" si="42"/>
        <v>9.7875400447812737E-4</v>
      </c>
      <c r="F83" s="39">
        <v>11.684200000000001</v>
      </c>
      <c r="G83" s="39">
        <v>11.781000000000001</v>
      </c>
      <c r="H83" s="36">
        <v>46</v>
      </c>
      <c r="I83" s="58">
        <v>1.619E-2</v>
      </c>
      <c r="J83" s="58">
        <v>0.18709999999999999</v>
      </c>
      <c r="K83" s="40">
        <v>237724783.78999999</v>
      </c>
      <c r="L83" s="35">
        <f t="shared" si="36"/>
        <v>9.717046123801957E-4</v>
      </c>
      <c r="M83" s="39">
        <v>11.732900000000001</v>
      </c>
      <c r="N83" s="39">
        <v>11.808199999999999</v>
      </c>
      <c r="O83" s="36">
        <v>46</v>
      </c>
      <c r="P83" s="58">
        <v>3.3500000000000001E-3</v>
      </c>
      <c r="Q83" s="58">
        <v>0.192</v>
      </c>
      <c r="R83" s="63">
        <f t="shared" si="37"/>
        <v>3.2527250782238299E-3</v>
      </c>
      <c r="S83" s="63">
        <f t="shared" si="38"/>
        <v>2.3088023088022052E-3</v>
      </c>
      <c r="T83" s="63">
        <f t="shared" si="39"/>
        <v>0</v>
      </c>
      <c r="U83" s="64">
        <f t="shared" si="40"/>
        <v>-1.2839999999999999E-2</v>
      </c>
      <c r="V83" s="65">
        <f t="shared" si="41"/>
        <v>4.9000000000000155E-3</v>
      </c>
    </row>
    <row r="84" spans="1:22">
      <c r="A84" s="181">
        <v>73</v>
      </c>
      <c r="B84" s="150" t="s">
        <v>139</v>
      </c>
      <c r="C84" s="149" t="s">
        <v>71</v>
      </c>
      <c r="D84" s="40">
        <v>2062313964.73614</v>
      </c>
      <c r="E84" s="35">
        <f t="shared" si="42"/>
        <v>8.5185214533539527E-3</v>
      </c>
      <c r="F84" s="40">
        <v>4831.3868278640402</v>
      </c>
      <c r="G84" s="40">
        <v>4831.3868278640402</v>
      </c>
      <c r="H84" s="36">
        <v>1184</v>
      </c>
      <c r="I84" s="58">
        <v>0.36580000000000001</v>
      </c>
      <c r="J84" s="58">
        <v>0.16339999999999999</v>
      </c>
      <c r="K84" s="40">
        <v>2065085693.3640001</v>
      </c>
      <c r="L84" s="35">
        <f t="shared" si="36"/>
        <v>8.4410773719528522E-3</v>
      </c>
      <c r="M84" s="40">
        <v>4841.6382614199501</v>
      </c>
      <c r="N84" s="40">
        <v>4841.6382614199501</v>
      </c>
      <c r="O84" s="36">
        <v>1183</v>
      </c>
      <c r="P84" s="58">
        <v>0.1106</v>
      </c>
      <c r="Q84" s="58">
        <v>0.15529999999999999</v>
      </c>
      <c r="R84" s="63">
        <f t="shared" si="37"/>
        <v>1.3439896520385994E-3</v>
      </c>
      <c r="S84" s="63">
        <f t="shared" si="38"/>
        <v>2.1218407718435711E-3</v>
      </c>
      <c r="T84" s="63">
        <f t="shared" si="39"/>
        <v>-8.4459459459459464E-4</v>
      </c>
      <c r="U84" s="64">
        <f t="shared" si="40"/>
        <v>-0.25519999999999998</v>
      </c>
      <c r="V84" s="65">
        <f t="shared" si="41"/>
        <v>-8.0999999999999961E-3</v>
      </c>
    </row>
    <row r="85" spans="1:22">
      <c r="A85" s="181">
        <v>74</v>
      </c>
      <c r="B85" s="150" t="s">
        <v>140</v>
      </c>
      <c r="C85" s="149" t="s">
        <v>73</v>
      </c>
      <c r="D85" s="40">
        <v>375237454.57999998</v>
      </c>
      <c r="E85" s="35">
        <f t="shared" si="42"/>
        <v>1.5499426186306347E-3</v>
      </c>
      <c r="F85" s="68">
        <v>113.35</v>
      </c>
      <c r="G85" s="68">
        <v>113.35</v>
      </c>
      <c r="H85" s="36">
        <v>97</v>
      </c>
      <c r="I85" s="58">
        <v>2.3999999999999998E-3</v>
      </c>
      <c r="J85" s="58">
        <v>0.1215</v>
      </c>
      <c r="K85" s="40">
        <v>376286114.51999998</v>
      </c>
      <c r="L85" s="35">
        <f t="shared" si="36"/>
        <v>1.538076708807537E-3</v>
      </c>
      <c r="M85" s="68">
        <v>113.62</v>
      </c>
      <c r="N85" s="68">
        <v>113.62</v>
      </c>
      <c r="O85" s="36">
        <v>97</v>
      </c>
      <c r="P85" s="58">
        <v>2.3999999999999998E-3</v>
      </c>
      <c r="Q85" s="58">
        <v>0.1215</v>
      </c>
      <c r="R85" s="63">
        <f t="shared" si="37"/>
        <v>2.794656895788171E-3</v>
      </c>
      <c r="S85" s="63">
        <f t="shared" si="38"/>
        <v>2.3820026466696976E-3</v>
      </c>
      <c r="T85" s="63">
        <f t="shared" si="39"/>
        <v>0</v>
      </c>
      <c r="U85" s="64">
        <f t="shared" si="40"/>
        <v>0</v>
      </c>
      <c r="V85" s="65">
        <f t="shared" si="41"/>
        <v>0</v>
      </c>
    </row>
    <row r="86" spans="1:22" ht="13.5" customHeight="1">
      <c r="A86" s="181">
        <v>75</v>
      </c>
      <c r="B86" s="150" t="s">
        <v>141</v>
      </c>
      <c r="C86" s="149" t="s">
        <v>75</v>
      </c>
      <c r="D86" s="40">
        <v>1344414568.95</v>
      </c>
      <c r="E86" s="35">
        <f t="shared" si="42"/>
        <v>5.5531914847249978E-3</v>
      </c>
      <c r="F86" s="68">
        <v>1.5263</v>
      </c>
      <c r="G86" s="68">
        <v>1.5263</v>
      </c>
      <c r="H86" s="36">
        <v>2481</v>
      </c>
      <c r="I86" s="58">
        <v>6.8999999999999999E-3</v>
      </c>
      <c r="J86" s="58">
        <v>0.1588</v>
      </c>
      <c r="K86" s="40">
        <v>1475755362.1400001</v>
      </c>
      <c r="L86" s="35">
        <f t="shared" si="36"/>
        <v>6.0321783420066192E-3</v>
      </c>
      <c r="M86" s="68">
        <v>1.5265</v>
      </c>
      <c r="N86" s="68">
        <v>1.5265</v>
      </c>
      <c r="O86" s="36">
        <v>2611</v>
      </c>
      <c r="P86" s="58">
        <v>1E-4</v>
      </c>
      <c r="Q86" s="58">
        <v>0.15890000000000001</v>
      </c>
      <c r="R86" s="63">
        <f t="shared" si="37"/>
        <v>9.7693669961177523E-2</v>
      </c>
      <c r="S86" s="63">
        <f t="shared" si="38"/>
        <v>1.3103583830176109E-4</v>
      </c>
      <c r="T86" s="63">
        <f t="shared" si="39"/>
        <v>5.2398226521563888E-2</v>
      </c>
      <c r="U86" s="64">
        <f t="shared" si="40"/>
        <v>-6.7999999999999996E-3</v>
      </c>
      <c r="V86" s="65">
        <f t="shared" si="41"/>
        <v>1.0000000000001674E-4</v>
      </c>
    </row>
    <row r="87" spans="1:22" ht="13.5" customHeight="1">
      <c r="A87" s="181">
        <v>76</v>
      </c>
      <c r="B87" s="150" t="s">
        <v>142</v>
      </c>
      <c r="C87" s="149" t="s">
        <v>75</v>
      </c>
      <c r="D87" s="40">
        <v>116220632.54000001</v>
      </c>
      <c r="E87" s="35">
        <f t="shared" si="42"/>
        <v>4.8005685290552949E-4</v>
      </c>
      <c r="F87" s="68">
        <v>1.0035000000000001</v>
      </c>
      <c r="G87" s="68">
        <v>1.0035000000000001</v>
      </c>
      <c r="H87" s="36">
        <v>97</v>
      </c>
      <c r="I87" s="58">
        <v>8.6E-3</v>
      </c>
      <c r="J87" s="58">
        <v>2.1100000000000001E-2</v>
      </c>
      <c r="K87" s="40">
        <v>116135465.02</v>
      </c>
      <c r="L87" s="35">
        <f t="shared" si="36"/>
        <v>4.7470594029666303E-4</v>
      </c>
      <c r="M87" s="68">
        <v>1.0141</v>
      </c>
      <c r="N87" s="68">
        <v>1.0141</v>
      </c>
      <c r="O87" s="36">
        <v>96</v>
      </c>
      <c r="P87" s="58">
        <v>2E-3</v>
      </c>
      <c r="Q87" s="58">
        <v>2.3099999999999999E-2</v>
      </c>
      <c r="R87" s="63">
        <f t="shared" ref="R87" si="45">((K87-D87)/D87)</f>
        <v>-7.3280895258161986E-4</v>
      </c>
      <c r="S87" s="63">
        <f t="shared" ref="S87" si="46">((N87-G87)/G87)</f>
        <v>1.0563029397110056E-2</v>
      </c>
      <c r="T87" s="63">
        <f t="shared" ref="T87" si="47">((O87-H87)/H87)</f>
        <v>-1.0309278350515464E-2</v>
      </c>
      <c r="U87" s="64">
        <f t="shared" ref="U87" si="48">P87-I87</f>
        <v>-6.6E-3</v>
      </c>
      <c r="V87" s="65">
        <f t="shared" ref="V87" si="49">Q87-J87</f>
        <v>1.9999999999999983E-3</v>
      </c>
    </row>
    <row r="88" spans="1:22">
      <c r="A88" s="181">
        <v>77</v>
      </c>
      <c r="B88" s="150" t="s">
        <v>143</v>
      </c>
      <c r="C88" s="149" t="s">
        <v>30</v>
      </c>
      <c r="D88" s="40">
        <v>239252001.94</v>
      </c>
      <c r="E88" s="35">
        <f t="shared" si="42"/>
        <v>9.882458956944173E-4</v>
      </c>
      <c r="F88" s="68">
        <v>142.09129999999999</v>
      </c>
      <c r="G88" s="68">
        <v>142.09129999999999</v>
      </c>
      <c r="H88" s="36">
        <v>403</v>
      </c>
      <c r="I88" s="58">
        <v>4.7699999999999999E-4</v>
      </c>
      <c r="J88" s="58">
        <v>3.5799999999999998E-2</v>
      </c>
      <c r="K88" s="40">
        <v>235737042.11000001</v>
      </c>
      <c r="L88" s="35">
        <f t="shared" si="36"/>
        <v>9.6357968014602619E-4</v>
      </c>
      <c r="M88" s="68">
        <v>142.6148</v>
      </c>
      <c r="N88" s="68">
        <v>142.6148</v>
      </c>
      <c r="O88" s="36">
        <v>408</v>
      </c>
      <c r="P88" s="58">
        <v>7.0500000000000001E-4</v>
      </c>
      <c r="Q88" s="58">
        <v>4.0500000000000001E-2</v>
      </c>
      <c r="R88" s="63">
        <f t="shared" si="37"/>
        <v>-1.4691454205183498E-2</v>
      </c>
      <c r="S88" s="63">
        <f t="shared" si="38"/>
        <v>3.6842509006534021E-3</v>
      </c>
      <c r="T88" s="63">
        <f t="shared" si="39"/>
        <v>1.2406947890818859E-2</v>
      </c>
      <c r="U88" s="64">
        <f t="shared" si="40"/>
        <v>2.2800000000000001E-4</v>
      </c>
      <c r="V88" s="65">
        <f t="shared" si="41"/>
        <v>4.7000000000000028E-3</v>
      </c>
    </row>
    <row r="89" spans="1:22">
      <c r="A89" s="181">
        <v>78</v>
      </c>
      <c r="B89" s="150" t="s">
        <v>144</v>
      </c>
      <c r="C89" s="149" t="s">
        <v>77</v>
      </c>
      <c r="D89" s="40">
        <v>2656620371.3099999</v>
      </c>
      <c r="E89" s="35">
        <f t="shared" si="42"/>
        <v>1.0973342572170771E-2</v>
      </c>
      <c r="F89" s="39">
        <v>1319.53</v>
      </c>
      <c r="G89" s="39">
        <v>1319.53</v>
      </c>
      <c r="H89" s="36">
        <v>319</v>
      </c>
      <c r="I89" s="58">
        <v>1.95E-2</v>
      </c>
      <c r="J89" s="58">
        <v>0.2384</v>
      </c>
      <c r="K89" s="40">
        <v>2662076708.6500001</v>
      </c>
      <c r="L89" s="35">
        <f t="shared" si="36"/>
        <v>1.0881289594904696E-2</v>
      </c>
      <c r="M89" s="39">
        <v>1316.3678110000001</v>
      </c>
      <c r="N89" s="39">
        <v>1316.3678110000001</v>
      </c>
      <c r="O89" s="36">
        <v>324</v>
      </c>
      <c r="P89" s="58">
        <v>1.9599999999999999E-2</v>
      </c>
      <c r="Q89" s="58">
        <v>0.2402</v>
      </c>
      <c r="R89" s="63">
        <f t="shared" si="37"/>
        <v>2.053864149701446E-3</v>
      </c>
      <c r="S89" s="63">
        <f t="shared" si="38"/>
        <v>-2.3964510090713348E-3</v>
      </c>
      <c r="T89" s="63">
        <f t="shared" si="39"/>
        <v>1.5673981191222569E-2</v>
      </c>
      <c r="U89" s="64">
        <f t="shared" si="40"/>
        <v>9.9999999999999395E-5</v>
      </c>
      <c r="V89" s="65">
        <f t="shared" si="41"/>
        <v>1.799999999999996E-3</v>
      </c>
    </row>
    <row r="90" spans="1:22">
      <c r="A90" s="181">
        <v>79</v>
      </c>
      <c r="B90" s="150" t="s">
        <v>145</v>
      </c>
      <c r="C90" s="149" t="s">
        <v>79</v>
      </c>
      <c r="D90" s="40">
        <v>145065104.15000001</v>
      </c>
      <c r="E90" s="35">
        <f t="shared" si="42"/>
        <v>5.9920081178954036E-4</v>
      </c>
      <c r="F90" s="39">
        <v>983.14</v>
      </c>
      <c r="G90" s="39">
        <v>987.4</v>
      </c>
      <c r="H90" s="36">
        <v>72</v>
      </c>
      <c r="I90" s="58">
        <v>-1.34E-2</v>
      </c>
      <c r="J90" s="58">
        <v>5.7999999999999996E-3</v>
      </c>
      <c r="K90" s="40">
        <v>145470789.47999999</v>
      </c>
      <c r="L90" s="35">
        <f t="shared" si="36"/>
        <v>5.9461464156456453E-4</v>
      </c>
      <c r="M90" s="39">
        <v>987.35</v>
      </c>
      <c r="N90" s="39">
        <v>992.44</v>
      </c>
      <c r="O90" s="36">
        <v>72</v>
      </c>
      <c r="P90" s="58">
        <v>4.7000000000000002E-3</v>
      </c>
      <c r="Q90" s="58">
        <v>1.06E-2</v>
      </c>
      <c r="R90" s="63">
        <f t="shared" si="37"/>
        <v>2.7965742166392903E-3</v>
      </c>
      <c r="S90" s="63">
        <f t="shared" si="38"/>
        <v>5.1043143609480228E-3</v>
      </c>
      <c r="T90" s="63">
        <f t="shared" si="39"/>
        <v>0</v>
      </c>
      <c r="U90" s="64">
        <f t="shared" si="40"/>
        <v>1.8100000000000002E-2</v>
      </c>
      <c r="V90" s="65">
        <f t="shared" si="41"/>
        <v>4.8000000000000004E-3</v>
      </c>
    </row>
    <row r="91" spans="1:22">
      <c r="A91" s="181">
        <v>80</v>
      </c>
      <c r="B91" s="150" t="s">
        <v>146</v>
      </c>
      <c r="C91" s="149" t="s">
        <v>82</v>
      </c>
      <c r="D91" s="40">
        <v>728618157.20000005</v>
      </c>
      <c r="E91" s="35">
        <f t="shared" si="42"/>
        <v>3.0096045071418293E-3</v>
      </c>
      <c r="F91" s="69">
        <v>1.21</v>
      </c>
      <c r="G91" s="69">
        <v>1.21</v>
      </c>
      <c r="H91" s="36">
        <v>54</v>
      </c>
      <c r="I91" s="58">
        <v>0.13557</v>
      </c>
      <c r="J91" s="58">
        <v>0.1356</v>
      </c>
      <c r="K91" s="40">
        <v>731341967.23000002</v>
      </c>
      <c r="L91" s="35">
        <f t="shared" si="36"/>
        <v>2.9893743153526875E-3</v>
      </c>
      <c r="M91" s="69">
        <v>1.21</v>
      </c>
      <c r="N91" s="69">
        <v>1.21</v>
      </c>
      <c r="O91" s="36">
        <v>56</v>
      </c>
      <c r="P91" s="58">
        <v>0.13557</v>
      </c>
      <c r="Q91" s="58">
        <v>0.1356</v>
      </c>
      <c r="R91" s="63">
        <f t="shared" si="37"/>
        <v>3.7383230202048157E-3</v>
      </c>
      <c r="S91" s="63">
        <f t="shared" si="38"/>
        <v>0</v>
      </c>
      <c r="T91" s="63">
        <f t="shared" si="39"/>
        <v>3.7037037037037035E-2</v>
      </c>
      <c r="U91" s="64">
        <f t="shared" si="40"/>
        <v>0</v>
      </c>
      <c r="V91" s="65">
        <f t="shared" si="41"/>
        <v>0</v>
      </c>
    </row>
    <row r="92" spans="1:22">
      <c r="A92" s="181">
        <v>81</v>
      </c>
      <c r="B92" s="150" t="s">
        <v>147</v>
      </c>
      <c r="C92" s="149" t="s">
        <v>32</v>
      </c>
      <c r="D92" s="69">
        <v>11592381841.77</v>
      </c>
      <c r="E92" s="35">
        <f t="shared" si="42"/>
        <v>4.7883084294210745E-2</v>
      </c>
      <c r="F92" s="69">
        <v>1680.12</v>
      </c>
      <c r="G92" s="69">
        <v>1680.12</v>
      </c>
      <c r="H92" s="36">
        <v>2042</v>
      </c>
      <c r="I92" s="58">
        <v>8.9999999999999998E-4</v>
      </c>
      <c r="J92" s="58">
        <v>8.3000000000000001E-3</v>
      </c>
      <c r="K92" s="69">
        <v>11599425702.17</v>
      </c>
      <c r="L92" s="35">
        <f t="shared" si="36"/>
        <v>4.7412874989579051E-2</v>
      </c>
      <c r="M92" s="69">
        <v>1681.86</v>
      </c>
      <c r="N92" s="69">
        <v>1681.86</v>
      </c>
      <c r="O92" s="36">
        <v>2041</v>
      </c>
      <c r="P92" s="58">
        <v>-1E-3</v>
      </c>
      <c r="Q92" s="58">
        <v>9.4000000000000004E-3</v>
      </c>
      <c r="R92" s="63">
        <f t="shared" si="37"/>
        <v>6.0762839735135194E-4</v>
      </c>
      <c r="S92" s="63">
        <f t="shared" si="38"/>
        <v>1.0356403114063337E-3</v>
      </c>
      <c r="T92" s="63">
        <f t="shared" si="39"/>
        <v>-4.8971596474045055E-4</v>
      </c>
      <c r="U92" s="64">
        <f t="shared" si="40"/>
        <v>-1.9E-3</v>
      </c>
      <c r="V92" s="65">
        <f t="shared" si="41"/>
        <v>1.1000000000000003E-3</v>
      </c>
    </row>
    <row r="93" spans="1:22">
      <c r="A93" s="181">
        <v>82</v>
      </c>
      <c r="B93" s="150" t="s">
        <v>148</v>
      </c>
      <c r="C93" s="149" t="s">
        <v>92</v>
      </c>
      <c r="D93" s="40">
        <v>24118507.690000001</v>
      </c>
      <c r="E93" s="35">
        <f t="shared" si="42"/>
        <v>9.9623058706501958E-5</v>
      </c>
      <c r="F93" s="68">
        <v>0.73680000000000001</v>
      </c>
      <c r="G93" s="68">
        <v>0.73680000000000001</v>
      </c>
      <c r="H93" s="36">
        <v>744</v>
      </c>
      <c r="I93" s="58">
        <v>3.8E-3</v>
      </c>
      <c r="J93" s="58">
        <v>1.01E-2</v>
      </c>
      <c r="K93" s="40">
        <v>24186584.719999999</v>
      </c>
      <c r="L93" s="35">
        <f t="shared" si="36"/>
        <v>9.8863128847809231E-5</v>
      </c>
      <c r="M93" s="68">
        <v>0.7389</v>
      </c>
      <c r="N93" s="68">
        <v>0.7389</v>
      </c>
      <c r="O93" s="36">
        <v>744</v>
      </c>
      <c r="P93" s="58">
        <v>2.3E-3</v>
      </c>
      <c r="Q93" s="58">
        <v>1.2999999999999999E-2</v>
      </c>
      <c r="R93" s="63">
        <f t="shared" si="37"/>
        <v>2.8226053981036114E-3</v>
      </c>
      <c r="S93" s="63">
        <f t="shared" si="38"/>
        <v>2.8501628664494988E-3</v>
      </c>
      <c r="T93" s="63">
        <f t="shared" si="39"/>
        <v>0</v>
      </c>
      <c r="U93" s="64">
        <f t="shared" si="40"/>
        <v>-1.5E-3</v>
      </c>
      <c r="V93" s="65">
        <f t="shared" si="41"/>
        <v>2.8999999999999998E-3</v>
      </c>
    </row>
    <row r="94" spans="1:22">
      <c r="A94" s="181">
        <v>83</v>
      </c>
      <c r="B94" s="150" t="s">
        <v>149</v>
      </c>
      <c r="C94" s="149" t="s">
        <v>38</v>
      </c>
      <c r="D94" s="40">
        <v>11656497534.059999</v>
      </c>
      <c r="E94" s="35">
        <f t="shared" si="42"/>
        <v>4.814791831541608E-2</v>
      </c>
      <c r="F94" s="68">
        <v>1</v>
      </c>
      <c r="G94" s="68">
        <v>1</v>
      </c>
      <c r="H94" s="36">
        <v>5367</v>
      </c>
      <c r="I94" s="58">
        <v>0.06</v>
      </c>
      <c r="J94" s="58">
        <v>0.06</v>
      </c>
      <c r="K94" s="40">
        <v>11680045711.459999</v>
      </c>
      <c r="L94" s="35">
        <f t="shared" si="36"/>
        <v>4.7742410823530756E-2</v>
      </c>
      <c r="M94" s="68">
        <v>1</v>
      </c>
      <c r="N94" s="68">
        <v>1</v>
      </c>
      <c r="O94" s="36">
        <v>5420</v>
      </c>
      <c r="P94" s="58">
        <v>0.06</v>
      </c>
      <c r="Q94" s="58">
        <v>0.06</v>
      </c>
      <c r="R94" s="63">
        <f t="shared" si="37"/>
        <v>2.0201760718597007E-3</v>
      </c>
      <c r="S94" s="63">
        <f t="shared" si="38"/>
        <v>0</v>
      </c>
      <c r="T94" s="63">
        <f t="shared" si="39"/>
        <v>9.8751630333519663E-3</v>
      </c>
      <c r="U94" s="64">
        <f t="shared" si="40"/>
        <v>0</v>
      </c>
      <c r="V94" s="65">
        <f t="shared" si="41"/>
        <v>0</v>
      </c>
    </row>
    <row r="95" spans="1:22">
      <c r="A95" s="181">
        <v>84</v>
      </c>
      <c r="B95" s="150" t="s">
        <v>150</v>
      </c>
      <c r="C95" s="149" t="s">
        <v>151</v>
      </c>
      <c r="D95" s="40">
        <v>1710626325.0899999</v>
      </c>
      <c r="E95" s="35">
        <f t="shared" si="42"/>
        <v>7.0658528711536866E-3</v>
      </c>
      <c r="F95" s="40">
        <v>273.5</v>
      </c>
      <c r="G95" s="40">
        <v>273.5</v>
      </c>
      <c r="H95" s="36">
        <v>562</v>
      </c>
      <c r="I95" s="58">
        <v>3.0000000000000001E-3</v>
      </c>
      <c r="J95" s="58">
        <v>0.14410000000000001</v>
      </c>
      <c r="K95" s="40">
        <v>1677902625.5999999</v>
      </c>
      <c r="L95" s="35">
        <f t="shared" si="36"/>
        <v>6.8584591577992007E-3</v>
      </c>
      <c r="M95" s="40">
        <v>273.94</v>
      </c>
      <c r="N95" s="40">
        <v>273.94</v>
      </c>
      <c r="O95" s="36">
        <v>562</v>
      </c>
      <c r="P95" s="58">
        <v>3.0000000000000001E-3</v>
      </c>
      <c r="Q95" s="58">
        <v>0.16819999999999999</v>
      </c>
      <c r="R95" s="63">
        <f t="shared" si="37"/>
        <v>-1.9129659710035354E-2</v>
      </c>
      <c r="S95" s="63">
        <f t="shared" si="38"/>
        <v>1.608775137111509E-3</v>
      </c>
      <c r="T95" s="63">
        <f t="shared" si="39"/>
        <v>0</v>
      </c>
      <c r="U95" s="64">
        <f t="shared" si="40"/>
        <v>0</v>
      </c>
      <c r="V95" s="65">
        <f t="shared" si="41"/>
        <v>2.4099999999999983E-2</v>
      </c>
    </row>
    <row r="96" spans="1:22">
      <c r="A96" s="181">
        <v>85</v>
      </c>
      <c r="B96" s="150" t="s">
        <v>152</v>
      </c>
      <c r="C96" s="149" t="s">
        <v>42</v>
      </c>
      <c r="D96" s="40">
        <v>1103987328.1500001</v>
      </c>
      <c r="E96" s="35">
        <f t="shared" si="42"/>
        <v>4.5600911887729526E-3</v>
      </c>
      <c r="F96" s="68">
        <v>3.69</v>
      </c>
      <c r="G96" s="68">
        <v>3.72</v>
      </c>
      <c r="H96" s="54">
        <v>798</v>
      </c>
      <c r="I96" s="61">
        <v>1.8200000000000001E-2</v>
      </c>
      <c r="J96" s="61">
        <v>0.2092</v>
      </c>
      <c r="K96" s="40">
        <v>1093868153.8900001</v>
      </c>
      <c r="L96" s="35">
        <f t="shared" si="36"/>
        <v>4.4712070551704711E-3</v>
      </c>
      <c r="M96" s="68">
        <v>3.69</v>
      </c>
      <c r="N96" s="68">
        <v>3.72</v>
      </c>
      <c r="O96" s="54">
        <v>798</v>
      </c>
      <c r="P96" s="61">
        <v>1.8100000000000002E-2</v>
      </c>
      <c r="Q96" s="61">
        <v>0.17549999999999999</v>
      </c>
      <c r="R96" s="63">
        <f t="shared" si="37"/>
        <v>-9.1660239225364419E-3</v>
      </c>
      <c r="S96" s="63">
        <f t="shared" si="38"/>
        <v>0</v>
      </c>
      <c r="T96" s="63">
        <f t="shared" si="39"/>
        <v>0</v>
      </c>
      <c r="U96" s="64">
        <f t="shared" si="40"/>
        <v>-9.9999999999999395E-5</v>
      </c>
      <c r="V96" s="65">
        <f t="shared" si="41"/>
        <v>-3.3700000000000008E-2</v>
      </c>
    </row>
    <row r="97" spans="1:22">
      <c r="A97" s="181">
        <v>86</v>
      </c>
      <c r="B97" s="150" t="s">
        <v>153</v>
      </c>
      <c r="C97" s="149" t="s">
        <v>44</v>
      </c>
      <c r="D97" s="40">
        <v>739178625.73000002</v>
      </c>
      <c r="E97" s="35">
        <f t="shared" si="42"/>
        <v>3.0532252066417642E-3</v>
      </c>
      <c r="F97" s="68">
        <v>108.54</v>
      </c>
      <c r="G97" s="68">
        <v>108.54</v>
      </c>
      <c r="H97" s="54">
        <v>283</v>
      </c>
      <c r="I97" s="61">
        <v>0.1449</v>
      </c>
      <c r="J97" s="61">
        <v>0.16619999999999999</v>
      </c>
      <c r="K97" s="40">
        <v>741991734.13</v>
      </c>
      <c r="L97" s="35">
        <f t="shared" si="36"/>
        <v>3.0329054417776273E-3</v>
      </c>
      <c r="M97" s="68">
        <v>110.21</v>
      </c>
      <c r="N97" s="68">
        <v>110.21</v>
      </c>
      <c r="O97" s="54">
        <v>261</v>
      </c>
      <c r="P97" s="61">
        <v>0.1467</v>
      </c>
      <c r="Q97" s="61">
        <v>0.1691</v>
      </c>
      <c r="R97" s="63">
        <f t="shared" si="37"/>
        <v>3.8057220569950854E-3</v>
      </c>
      <c r="S97" s="63">
        <f t="shared" si="38"/>
        <v>1.5386032798968005E-2</v>
      </c>
      <c r="T97" s="63">
        <f t="shared" si="39"/>
        <v>-7.7738515901060068E-2</v>
      </c>
      <c r="U97" s="64">
        <f t="shared" si="40"/>
        <v>1.799999999999996E-3</v>
      </c>
      <c r="V97" s="65">
        <f t="shared" si="41"/>
        <v>2.9000000000000137E-3</v>
      </c>
    </row>
    <row r="98" spans="1:22">
      <c r="A98" s="181">
        <v>87</v>
      </c>
      <c r="B98" s="149" t="s">
        <v>154</v>
      </c>
      <c r="C98" s="152" t="s">
        <v>48</v>
      </c>
      <c r="D98" s="40">
        <v>1114192536.46</v>
      </c>
      <c r="E98" s="35">
        <f t="shared" si="42"/>
        <v>4.6022444629160598E-3</v>
      </c>
      <c r="F98" s="68">
        <v>113.3</v>
      </c>
      <c r="G98" s="68">
        <v>113.8</v>
      </c>
      <c r="H98" s="36">
        <v>2589</v>
      </c>
      <c r="I98" s="58">
        <v>1.66E-2</v>
      </c>
      <c r="J98" s="58">
        <v>2.5899999999999999E-2</v>
      </c>
      <c r="K98" s="40">
        <v>1115599615.29</v>
      </c>
      <c r="L98" s="35">
        <f t="shared" si="36"/>
        <v>4.5600348203680445E-3</v>
      </c>
      <c r="M98" s="68">
        <v>113.4</v>
      </c>
      <c r="N98" s="68">
        <v>113.9</v>
      </c>
      <c r="O98" s="36">
        <v>2676</v>
      </c>
      <c r="P98" s="58">
        <v>2.0000000000000001E-4</v>
      </c>
      <c r="Q98" s="58">
        <v>2.5899999999999999E-2</v>
      </c>
      <c r="R98" s="63">
        <f t="shared" si="37"/>
        <v>1.2628686550625072E-3</v>
      </c>
      <c r="S98" s="63">
        <f t="shared" si="38"/>
        <v>8.7873462214418745E-4</v>
      </c>
      <c r="T98" s="63">
        <f t="shared" si="39"/>
        <v>3.3603707995365009E-2</v>
      </c>
      <c r="U98" s="64">
        <f t="shared" si="40"/>
        <v>-1.6400000000000001E-2</v>
      </c>
      <c r="V98" s="65">
        <f t="shared" si="41"/>
        <v>0</v>
      </c>
    </row>
    <row r="99" spans="1:22">
      <c r="A99" s="181">
        <v>88</v>
      </c>
      <c r="B99" s="150" t="s">
        <v>155</v>
      </c>
      <c r="C99" s="149" t="s">
        <v>20</v>
      </c>
      <c r="D99" s="142">
        <v>1639598608.3199999</v>
      </c>
      <c r="E99" s="144">
        <f t="shared" si="42"/>
        <v>6.7724682849879198E-3</v>
      </c>
      <c r="F99" s="145">
        <v>388.94850000000002</v>
      </c>
      <c r="G99" s="145">
        <v>388.94850000000002</v>
      </c>
      <c r="H99" s="38">
        <v>90</v>
      </c>
      <c r="I99" s="59">
        <v>2.3999999999999998E-3</v>
      </c>
      <c r="J99" s="59">
        <v>1.23E-2</v>
      </c>
      <c r="K99" s="142">
        <v>1659721426.8399999</v>
      </c>
      <c r="L99" s="144">
        <f t="shared" si="36"/>
        <v>6.7841431592228834E-3</v>
      </c>
      <c r="M99" s="145">
        <v>394.34309999999999</v>
      </c>
      <c r="N99" s="145">
        <v>394.34309999999999</v>
      </c>
      <c r="O99" s="38">
        <v>89</v>
      </c>
      <c r="P99" s="59">
        <v>1.3899999999999999E-2</v>
      </c>
      <c r="Q99" s="59">
        <v>2.6100000000000002E-2</v>
      </c>
      <c r="R99" s="64">
        <f t="shared" si="37"/>
        <v>1.227301512570729E-2</v>
      </c>
      <c r="S99" s="64">
        <f t="shared" si="38"/>
        <v>1.3869702544167077E-2</v>
      </c>
      <c r="T99" s="64">
        <f t="shared" si="39"/>
        <v>-1.1111111111111112E-2</v>
      </c>
      <c r="U99" s="64">
        <f t="shared" si="40"/>
        <v>1.15E-2</v>
      </c>
      <c r="V99" s="65">
        <f t="shared" si="41"/>
        <v>1.3800000000000002E-2</v>
      </c>
    </row>
    <row r="100" spans="1:22">
      <c r="A100" s="181">
        <v>89</v>
      </c>
      <c r="B100" s="150" t="s">
        <v>156</v>
      </c>
      <c r="C100" s="149" t="s">
        <v>104</v>
      </c>
      <c r="D100" s="52">
        <v>1944954154</v>
      </c>
      <c r="E100" s="35">
        <f>(D100/$K$73)</f>
        <v>3.7009265513271325E-4</v>
      </c>
      <c r="F100" s="68">
        <v>103.12</v>
      </c>
      <c r="G100" s="68">
        <v>103.12</v>
      </c>
      <c r="H100" s="36">
        <v>421</v>
      </c>
      <c r="I100" s="58">
        <v>2.7000000000000001E-3</v>
      </c>
      <c r="J100" s="58">
        <v>0.2034</v>
      </c>
      <c r="K100" s="52">
        <v>2211659284</v>
      </c>
      <c r="L100" s="35">
        <f t="shared" ref="L100:L114" si="50">(K100/$K$115)</f>
        <v>9.0401997343900128E-3</v>
      </c>
      <c r="M100" s="68">
        <v>103.31</v>
      </c>
      <c r="N100" s="68">
        <v>103.31</v>
      </c>
      <c r="O100" s="36">
        <v>430</v>
      </c>
      <c r="P100" s="58">
        <v>1.8E-3</v>
      </c>
      <c r="Q100" s="58">
        <v>0.18609999999999999</v>
      </c>
      <c r="R100" s="63">
        <f t="shared" si="37"/>
        <v>0.13712669239606148</v>
      </c>
      <c r="S100" s="63">
        <f t="shared" si="38"/>
        <v>1.842513576415804E-3</v>
      </c>
      <c r="T100" s="63">
        <f t="shared" si="39"/>
        <v>2.1377672209026127E-2</v>
      </c>
      <c r="U100" s="64">
        <f t="shared" si="40"/>
        <v>-9.0000000000000019E-4</v>
      </c>
      <c r="V100" s="65">
        <f t="shared" si="41"/>
        <v>-1.730000000000001E-2</v>
      </c>
    </row>
    <row r="101" spans="1:22">
      <c r="A101" s="181">
        <v>90</v>
      </c>
      <c r="B101" s="150" t="s">
        <v>157</v>
      </c>
      <c r="C101" s="149" t="s">
        <v>46</v>
      </c>
      <c r="D101" s="40">
        <v>60388649.369999997</v>
      </c>
      <c r="E101" s="35">
        <f t="shared" ref="E101:E114" si="51">(D101/$D$115)</f>
        <v>2.4943922894069703E-4</v>
      </c>
      <c r="F101" s="40">
        <v>12.33</v>
      </c>
      <c r="G101" s="40">
        <v>12.93</v>
      </c>
      <c r="H101" s="36">
        <v>55</v>
      </c>
      <c r="I101" s="58">
        <v>3.0000000000000001E-3</v>
      </c>
      <c r="J101" s="58">
        <v>2.4299999999999999E-2</v>
      </c>
      <c r="K101" s="40">
        <v>60484412.009999998</v>
      </c>
      <c r="L101" s="35">
        <f t="shared" si="50"/>
        <v>2.4723119394711346E-4</v>
      </c>
      <c r="M101" s="40">
        <v>12.349092000000001</v>
      </c>
      <c r="N101" s="40">
        <v>12.957672000000001</v>
      </c>
      <c r="O101" s="36">
        <v>55</v>
      </c>
      <c r="P101" s="58">
        <v>-5.0000000000000001E-4</v>
      </c>
      <c r="Q101" s="58">
        <v>-3.7499999999999999E-2</v>
      </c>
      <c r="R101" s="63">
        <f t="shared" si="37"/>
        <v>1.5857721773716927E-3</v>
      </c>
      <c r="S101" s="63">
        <f t="shared" si="38"/>
        <v>2.1401392111369535E-3</v>
      </c>
      <c r="T101" s="63">
        <f t="shared" si="39"/>
        <v>0</v>
      </c>
      <c r="U101" s="64">
        <f t="shared" si="40"/>
        <v>-3.5000000000000001E-3</v>
      </c>
      <c r="V101" s="65">
        <f t="shared" si="41"/>
        <v>-6.1799999999999994E-2</v>
      </c>
    </row>
    <row r="102" spans="1:22">
      <c r="A102" s="181">
        <v>91</v>
      </c>
      <c r="B102" s="150" t="s">
        <v>158</v>
      </c>
      <c r="C102" s="149" t="s">
        <v>159</v>
      </c>
      <c r="D102" s="40">
        <v>947277538.04999995</v>
      </c>
      <c r="E102" s="35">
        <f t="shared" si="51"/>
        <v>3.9127912471812552E-3</v>
      </c>
      <c r="F102" s="40">
        <v>158.86000000000001</v>
      </c>
      <c r="G102" s="40">
        <v>158.86000000000001</v>
      </c>
      <c r="H102" s="36">
        <v>179</v>
      </c>
      <c r="I102" s="58">
        <v>0.34060000000000001</v>
      </c>
      <c r="J102" s="58">
        <v>0.2094</v>
      </c>
      <c r="K102" s="40">
        <v>965312410.37</v>
      </c>
      <c r="L102" s="35">
        <f t="shared" si="50"/>
        <v>3.9457329883323278E-3</v>
      </c>
      <c r="M102" s="40">
        <v>159.25</v>
      </c>
      <c r="N102" s="40">
        <v>159.25</v>
      </c>
      <c r="O102" s="36">
        <v>181</v>
      </c>
      <c r="P102" s="58">
        <v>0.1237</v>
      </c>
      <c r="Q102" s="58">
        <v>0.1976</v>
      </c>
      <c r="R102" s="63">
        <f t="shared" si="37"/>
        <v>1.903863608665882E-2</v>
      </c>
      <c r="S102" s="63">
        <f t="shared" si="38"/>
        <v>2.4549918166938581E-3</v>
      </c>
      <c r="T102" s="63">
        <f t="shared" si="39"/>
        <v>1.11731843575419E-2</v>
      </c>
      <c r="U102" s="64">
        <f t="shared" si="40"/>
        <v>-0.21690000000000001</v>
      </c>
      <c r="V102" s="65">
        <f t="shared" si="41"/>
        <v>-1.1800000000000005E-2</v>
      </c>
    </row>
    <row r="103" spans="1:22">
      <c r="A103" s="181">
        <v>92</v>
      </c>
      <c r="B103" s="150" t="s">
        <v>160</v>
      </c>
      <c r="C103" s="149" t="s">
        <v>161</v>
      </c>
      <c r="D103" s="40">
        <v>10889238866.099001</v>
      </c>
      <c r="E103" s="35">
        <f t="shared" si="51"/>
        <v>4.4978706674969386E-2</v>
      </c>
      <c r="F103" s="40">
        <v>1.0164217431556</v>
      </c>
      <c r="G103" s="40">
        <v>1.0164217431556</v>
      </c>
      <c r="H103" s="36">
        <v>5247</v>
      </c>
      <c r="I103" s="58">
        <v>0.16120000000000001</v>
      </c>
      <c r="J103" s="58">
        <v>0.16120000000000001</v>
      </c>
      <c r="K103" s="40">
        <v>10958156073.3013</v>
      </c>
      <c r="L103" s="35">
        <f t="shared" si="50"/>
        <v>4.4791673084515995E-2</v>
      </c>
      <c r="M103" s="40">
        <v>1.0176223377460401</v>
      </c>
      <c r="N103" s="40">
        <v>1.0176223377460401</v>
      </c>
      <c r="O103" s="36">
        <v>5258</v>
      </c>
      <c r="P103" s="58">
        <v>0.16139999999999999</v>
      </c>
      <c r="Q103" s="58">
        <v>0.16139999999999999</v>
      </c>
      <c r="R103" s="63">
        <f t="shared" si="37"/>
        <v>6.3289278571026751E-3</v>
      </c>
      <c r="S103" s="63">
        <f t="shared" si="38"/>
        <v>1.1811972722195994E-3</v>
      </c>
      <c r="T103" s="63">
        <f t="shared" si="39"/>
        <v>2.0964360587002098E-3</v>
      </c>
      <c r="U103" s="64">
        <f t="shared" si="40"/>
        <v>1.9999999999997797E-4</v>
      </c>
      <c r="V103" s="65">
        <f t="shared" si="41"/>
        <v>1.9999999999997797E-4</v>
      </c>
    </row>
    <row r="104" spans="1:22" ht="14.25" customHeight="1">
      <c r="A104" s="181">
        <v>93</v>
      </c>
      <c r="B104" s="150" t="s">
        <v>162</v>
      </c>
      <c r="C104" s="149" t="s">
        <v>50</v>
      </c>
      <c r="D104" s="40">
        <v>4854765286.5200005</v>
      </c>
      <c r="E104" s="35">
        <f t="shared" si="51"/>
        <v>2.0052922567253155E-2</v>
      </c>
      <c r="F104" s="40">
        <v>5176.1000000000004</v>
      </c>
      <c r="G104" s="40">
        <v>5176.1000000000004</v>
      </c>
      <c r="H104" s="36">
        <v>12</v>
      </c>
      <c r="I104" s="58">
        <v>0</v>
      </c>
      <c r="J104" s="58">
        <v>0</v>
      </c>
      <c r="K104" s="40">
        <v>4854768352.75</v>
      </c>
      <c r="L104" s="35">
        <f t="shared" si="50"/>
        <v>1.9843958737477751E-2</v>
      </c>
      <c r="M104" s="40">
        <v>5176.1000000000004</v>
      </c>
      <c r="N104" s="40">
        <v>5176.1000000000004</v>
      </c>
      <c r="O104" s="36">
        <v>12</v>
      </c>
      <c r="P104" s="58">
        <v>0</v>
      </c>
      <c r="Q104" s="58">
        <v>0</v>
      </c>
      <c r="R104" s="63">
        <f t="shared" si="37"/>
        <v>6.3159181105131766E-7</v>
      </c>
      <c r="S104" s="63">
        <f t="shared" si="38"/>
        <v>0</v>
      </c>
      <c r="T104" s="63">
        <f t="shared" si="39"/>
        <v>0</v>
      </c>
      <c r="U104" s="64">
        <f t="shared" si="40"/>
        <v>0</v>
      </c>
      <c r="V104" s="65">
        <f t="shared" si="41"/>
        <v>0</v>
      </c>
    </row>
    <row r="105" spans="1:22" ht="13.5" customHeight="1">
      <c r="A105" s="181">
        <v>94</v>
      </c>
      <c r="B105" s="150" t="s">
        <v>163</v>
      </c>
      <c r="C105" s="149" t="s">
        <v>50</v>
      </c>
      <c r="D105" s="40">
        <v>15534708755.66</v>
      </c>
      <c r="E105" s="35">
        <f t="shared" si="51"/>
        <v>6.4167121044358705E-2</v>
      </c>
      <c r="F105" s="68">
        <v>259.24</v>
      </c>
      <c r="G105" s="68">
        <v>259.24</v>
      </c>
      <c r="H105" s="36">
        <v>5998</v>
      </c>
      <c r="I105" s="58">
        <v>0</v>
      </c>
      <c r="J105" s="58">
        <v>0</v>
      </c>
      <c r="K105" s="40">
        <v>15490232613.98</v>
      </c>
      <c r="L105" s="35">
        <f t="shared" si="50"/>
        <v>6.3316622852175944E-2</v>
      </c>
      <c r="M105" s="68">
        <v>259.24</v>
      </c>
      <c r="N105" s="68">
        <v>259.24</v>
      </c>
      <c r="O105" s="36">
        <v>5994</v>
      </c>
      <c r="P105" s="58">
        <v>0</v>
      </c>
      <c r="Q105" s="58">
        <v>0</v>
      </c>
      <c r="R105" s="63">
        <f t="shared" si="37"/>
        <v>-2.8630174134288565E-3</v>
      </c>
      <c r="S105" s="63">
        <f t="shared" si="38"/>
        <v>0</v>
      </c>
      <c r="T105" s="63">
        <f t="shared" si="39"/>
        <v>-6.6688896298766251E-4</v>
      </c>
      <c r="U105" s="64">
        <f t="shared" si="40"/>
        <v>0</v>
      </c>
      <c r="V105" s="65">
        <f t="shared" si="41"/>
        <v>0</v>
      </c>
    </row>
    <row r="106" spans="1:22" ht="13.5" customHeight="1">
      <c r="A106" s="181">
        <v>95</v>
      </c>
      <c r="B106" s="150" t="s">
        <v>164</v>
      </c>
      <c r="C106" s="149" t="s">
        <v>50</v>
      </c>
      <c r="D106" s="40">
        <v>845862452.22000003</v>
      </c>
      <c r="E106" s="35">
        <f t="shared" si="51"/>
        <v>3.4938896642464187E-3</v>
      </c>
      <c r="F106" s="39">
        <v>9769.39</v>
      </c>
      <c r="G106" s="39">
        <v>9811.4599999999991</v>
      </c>
      <c r="H106" s="36">
        <v>22</v>
      </c>
      <c r="I106" s="58">
        <v>1.9E-2</v>
      </c>
      <c r="J106" s="58">
        <v>4.1099999999999998E-2</v>
      </c>
      <c r="K106" s="40">
        <v>909445944.08000004</v>
      </c>
      <c r="L106" s="35">
        <f t="shared" si="50"/>
        <v>3.717377736069988E-3</v>
      </c>
      <c r="M106" s="39">
        <v>9951.8799999999992</v>
      </c>
      <c r="N106" s="39">
        <v>9994.49</v>
      </c>
      <c r="O106" s="36">
        <v>24</v>
      </c>
      <c r="P106" s="58">
        <v>1.8700000000000001E-2</v>
      </c>
      <c r="Q106" s="58">
        <v>6.0600000000000001E-2</v>
      </c>
      <c r="R106" s="63">
        <f t="shared" si="37"/>
        <v>7.5170013390619933E-2</v>
      </c>
      <c r="S106" s="63">
        <f t="shared" si="38"/>
        <v>1.8654716015761231E-2</v>
      </c>
      <c r="T106" s="63">
        <f t="shared" si="39"/>
        <v>9.0909090909090912E-2</v>
      </c>
      <c r="U106" s="64">
        <f t="shared" si="40"/>
        <v>-2.9999999999999818E-4</v>
      </c>
      <c r="V106" s="65">
        <f t="shared" si="41"/>
        <v>1.9500000000000003E-2</v>
      </c>
    </row>
    <row r="107" spans="1:22" ht="15" customHeight="1">
      <c r="A107" s="181">
        <v>96</v>
      </c>
      <c r="B107" s="150" t="s">
        <v>165</v>
      </c>
      <c r="C107" s="149" t="s">
        <v>50</v>
      </c>
      <c r="D107" s="40">
        <v>7046135672.3900003</v>
      </c>
      <c r="E107" s="35">
        <f t="shared" si="51"/>
        <v>2.9104519929959508E-2</v>
      </c>
      <c r="F107" s="68">
        <v>163.86</v>
      </c>
      <c r="G107" s="68">
        <v>163.86</v>
      </c>
      <c r="H107" s="36">
        <v>5648</v>
      </c>
      <c r="I107" s="58">
        <v>3.0999999999999999E-3</v>
      </c>
      <c r="J107" s="58">
        <v>1.5100000000000001E-2</v>
      </c>
      <c r="K107" s="40">
        <v>7041036309.5500002</v>
      </c>
      <c r="L107" s="35">
        <f t="shared" si="50"/>
        <v>2.8780370935030671E-2</v>
      </c>
      <c r="M107" s="68">
        <v>164.36</v>
      </c>
      <c r="N107" s="68">
        <v>164.36</v>
      </c>
      <c r="O107" s="36">
        <v>5715</v>
      </c>
      <c r="P107" s="58">
        <v>3.0999999999999999E-3</v>
      </c>
      <c r="Q107" s="58">
        <v>1.8200000000000001E-2</v>
      </c>
      <c r="R107" s="63">
        <f t="shared" si="37"/>
        <v>-7.2371056662757735E-4</v>
      </c>
      <c r="S107" s="63">
        <f t="shared" si="38"/>
        <v>3.0513853289393382E-3</v>
      </c>
      <c r="T107" s="63">
        <f t="shared" si="39"/>
        <v>1.1862606232294617E-2</v>
      </c>
      <c r="U107" s="64">
        <f t="shared" si="40"/>
        <v>0</v>
      </c>
      <c r="V107" s="65">
        <f t="shared" si="41"/>
        <v>3.1000000000000003E-3</v>
      </c>
    </row>
    <row r="108" spans="1:22" ht="15" customHeight="1">
      <c r="A108" s="181">
        <v>97</v>
      </c>
      <c r="B108" s="150" t="s">
        <v>166</v>
      </c>
      <c r="C108" s="149" t="s">
        <v>50</v>
      </c>
      <c r="D108" s="40">
        <v>5776899221.8999996</v>
      </c>
      <c r="E108" s="35">
        <f t="shared" si="51"/>
        <v>2.3861856534494783E-2</v>
      </c>
      <c r="F108" s="68">
        <v>388.08</v>
      </c>
      <c r="G108" s="68">
        <v>388.08</v>
      </c>
      <c r="H108" s="36">
        <v>11279</v>
      </c>
      <c r="I108" s="58">
        <v>0</v>
      </c>
      <c r="J108" s="58">
        <v>7.4000000000000003E-3</v>
      </c>
      <c r="K108" s="40">
        <v>5668428878.0200005</v>
      </c>
      <c r="L108" s="35">
        <f t="shared" si="50"/>
        <v>2.3169811737369348E-2</v>
      </c>
      <c r="M108" s="68">
        <v>388.08</v>
      </c>
      <c r="N108" s="68">
        <v>388.08</v>
      </c>
      <c r="O108" s="36">
        <v>11401</v>
      </c>
      <c r="P108" s="58">
        <v>0</v>
      </c>
      <c r="Q108" s="58">
        <v>7.4000000000000003E-3</v>
      </c>
      <c r="R108" s="63">
        <f t="shared" si="37"/>
        <v>-1.877656848656669E-2</v>
      </c>
      <c r="S108" s="63">
        <f t="shared" si="38"/>
        <v>0</v>
      </c>
      <c r="T108" s="63">
        <f t="shared" si="39"/>
        <v>1.0816561751928362E-2</v>
      </c>
      <c r="U108" s="64">
        <f t="shared" si="40"/>
        <v>0</v>
      </c>
      <c r="V108" s="65">
        <f t="shared" si="41"/>
        <v>0</v>
      </c>
    </row>
    <row r="109" spans="1:22" ht="15" customHeight="1">
      <c r="A109" s="181">
        <v>98</v>
      </c>
      <c r="B109" s="150" t="s">
        <v>167</v>
      </c>
      <c r="C109" s="149" t="s">
        <v>118</v>
      </c>
      <c r="D109" s="40">
        <v>115718603.13</v>
      </c>
      <c r="E109" s="35">
        <f t="shared" si="51"/>
        <v>4.7798318789989738E-4</v>
      </c>
      <c r="F109" s="68">
        <v>116.0671</v>
      </c>
      <c r="G109" s="68">
        <v>116.0671</v>
      </c>
      <c r="H109" s="36">
        <v>28</v>
      </c>
      <c r="I109" s="58">
        <v>2.81E-2</v>
      </c>
      <c r="J109" s="58">
        <v>0.28889999999999999</v>
      </c>
      <c r="K109" s="40">
        <v>116108726.54000001</v>
      </c>
      <c r="L109" s="35">
        <f t="shared" si="50"/>
        <v>4.7459664624692282E-4</v>
      </c>
      <c r="M109" s="68">
        <v>116.42959999999999</v>
      </c>
      <c r="N109" s="68">
        <v>116.42959999999999</v>
      </c>
      <c r="O109" s="36">
        <v>27</v>
      </c>
      <c r="P109" s="58">
        <v>3.8E-3</v>
      </c>
      <c r="Q109" s="58">
        <v>0.38719999999999999</v>
      </c>
      <c r="R109" s="63">
        <f t="shared" ref="R109" si="52">((K109-D109)/D109)</f>
        <v>3.3713110895552457E-3</v>
      </c>
      <c r="S109" s="63">
        <f t="shared" ref="S109" si="53">((N109-G109)/G109)</f>
        <v>3.1231933941659367E-3</v>
      </c>
      <c r="T109" s="63">
        <f t="shared" ref="T109" si="54">((O109-H109)/H109)</f>
        <v>-3.5714285714285712E-2</v>
      </c>
      <c r="U109" s="64">
        <f t="shared" ref="U109" si="55">P109-I109</f>
        <v>-2.4299999999999999E-2</v>
      </c>
      <c r="V109" s="65">
        <f t="shared" ref="V109" si="56">Q109-J109</f>
        <v>9.8299999999999998E-2</v>
      </c>
    </row>
    <row r="110" spans="1:22">
      <c r="A110" s="181">
        <v>99</v>
      </c>
      <c r="B110" s="150" t="s">
        <v>168</v>
      </c>
      <c r="C110" s="149" t="s">
        <v>53</v>
      </c>
      <c r="D110" s="40">
        <v>82105392955.949997</v>
      </c>
      <c r="E110" s="35">
        <f t="shared" si="51"/>
        <v>0.33914164539966274</v>
      </c>
      <c r="F110" s="40">
        <v>1.9937</v>
      </c>
      <c r="G110" s="40">
        <v>1.9937</v>
      </c>
      <c r="H110" s="36">
        <v>6911</v>
      </c>
      <c r="I110" s="58">
        <v>1.9E-3</v>
      </c>
      <c r="J110" s="58">
        <v>8.2199999999999995E-2</v>
      </c>
      <c r="K110" s="40">
        <v>82243285295.440002</v>
      </c>
      <c r="L110" s="35">
        <f t="shared" si="50"/>
        <v>0.33617100575207709</v>
      </c>
      <c r="M110" s="40">
        <v>1.9968999999999999</v>
      </c>
      <c r="N110" s="40">
        <v>1.9968999999999999</v>
      </c>
      <c r="O110" s="36">
        <v>6920</v>
      </c>
      <c r="P110" s="58">
        <v>1.6000000000000001E-3</v>
      </c>
      <c r="Q110" s="58">
        <v>8.3000000000000004E-2</v>
      </c>
      <c r="R110" s="63">
        <f t="shared" si="37"/>
        <v>1.6794553259611765E-3</v>
      </c>
      <c r="S110" s="63">
        <f t="shared" si="38"/>
        <v>1.605055926167362E-3</v>
      </c>
      <c r="T110" s="63">
        <f t="shared" si="39"/>
        <v>1.3022717407032266E-3</v>
      </c>
      <c r="U110" s="64">
        <f t="shared" si="40"/>
        <v>-2.9999999999999992E-4</v>
      </c>
      <c r="V110" s="65">
        <f t="shared" si="41"/>
        <v>8.0000000000000904E-4</v>
      </c>
    </row>
    <row r="111" spans="1:22">
      <c r="A111" s="181">
        <v>100</v>
      </c>
      <c r="B111" s="150" t="s">
        <v>169</v>
      </c>
      <c r="C111" s="149" t="s">
        <v>53</v>
      </c>
      <c r="D111" s="40">
        <v>65358878817.400002</v>
      </c>
      <c r="E111" s="35">
        <f t="shared" si="51"/>
        <v>0.26996908370565059</v>
      </c>
      <c r="F111" s="40">
        <v>130.93639999999999</v>
      </c>
      <c r="G111" s="40">
        <v>130.93639999999999</v>
      </c>
      <c r="H111" s="36">
        <v>1323</v>
      </c>
      <c r="I111" s="58">
        <v>2.7000000000000001E-3</v>
      </c>
      <c r="J111" s="58">
        <v>0.16</v>
      </c>
      <c r="K111" s="40">
        <v>67336536914.82</v>
      </c>
      <c r="L111" s="35">
        <f t="shared" si="50"/>
        <v>0.27523938589272279</v>
      </c>
      <c r="M111" s="40">
        <v>131.30879999999999</v>
      </c>
      <c r="N111" s="40">
        <v>131.30879999999999</v>
      </c>
      <c r="O111" s="36">
        <v>1357</v>
      </c>
      <c r="P111" s="58">
        <v>2.8E-3</v>
      </c>
      <c r="Q111" s="58">
        <v>0.16</v>
      </c>
      <c r="R111" s="63">
        <f t="shared" ref="R111:R113" si="57">((K111-D111)/D111)</f>
        <v>3.0258445879177188E-2</v>
      </c>
      <c r="S111" s="63">
        <f t="shared" ref="S111:S113" si="58">((N111-G111)/G111)</f>
        <v>2.84412890533113E-3</v>
      </c>
      <c r="T111" s="63">
        <f t="shared" ref="T111:T113" si="59">((O111-H111)/H111)</f>
        <v>2.5699168556311415E-2</v>
      </c>
      <c r="U111" s="64">
        <f t="shared" ref="U111:U113" si="60">P111-I111</f>
        <v>9.9999999999999829E-5</v>
      </c>
      <c r="V111" s="65">
        <f t="shared" ref="V111:V113" si="61">Q111-J111</f>
        <v>0</v>
      </c>
    </row>
    <row r="112" spans="1:22">
      <c r="A112" s="181">
        <v>101</v>
      </c>
      <c r="B112" s="150" t="s">
        <v>170</v>
      </c>
      <c r="C112" s="150" t="s">
        <v>171</v>
      </c>
      <c r="D112" s="40">
        <v>113741950.43000001</v>
      </c>
      <c r="E112" s="35">
        <f t="shared" si="51"/>
        <v>4.6981849585072424E-4</v>
      </c>
      <c r="F112" s="40">
        <v>114.764</v>
      </c>
      <c r="G112" s="40">
        <v>114.764</v>
      </c>
      <c r="H112" s="70">
        <v>88</v>
      </c>
      <c r="I112" s="72">
        <v>-2.1999999999999999E-2</v>
      </c>
      <c r="J112" s="72">
        <v>-1.6199999999999999E-2</v>
      </c>
      <c r="K112" s="40">
        <v>113777156.51000001</v>
      </c>
      <c r="L112" s="35">
        <f t="shared" si="50"/>
        <v>4.6506630903883519E-4</v>
      </c>
      <c r="M112" s="40">
        <v>114.84820000000001</v>
      </c>
      <c r="N112" s="40">
        <v>114.84820000000001</v>
      </c>
      <c r="O112" s="70">
        <v>88</v>
      </c>
      <c r="P112" s="72">
        <v>6.9999999999999999E-4</v>
      </c>
      <c r="Q112" s="72">
        <v>-1.55E-2</v>
      </c>
      <c r="R112" s="63">
        <f t="shared" si="57"/>
        <v>3.0952590374001913E-4</v>
      </c>
      <c r="S112" s="63">
        <f t="shared" si="58"/>
        <v>7.3367955107882113E-4</v>
      </c>
      <c r="T112" s="63">
        <f t="shared" si="59"/>
        <v>0</v>
      </c>
      <c r="U112" s="64">
        <f t="shared" si="60"/>
        <v>2.2699999999999998E-2</v>
      </c>
      <c r="V112" s="65">
        <f t="shared" si="61"/>
        <v>6.9999999999999923E-4</v>
      </c>
    </row>
    <row r="113" spans="1:28">
      <c r="A113" s="181">
        <v>102</v>
      </c>
      <c r="B113" s="150" t="s">
        <v>172</v>
      </c>
      <c r="C113" s="149" t="s">
        <v>125</v>
      </c>
      <c r="D113" s="40">
        <v>457334873.98000002</v>
      </c>
      <c r="E113" s="35">
        <f t="shared" si="51"/>
        <v>1.8890513287408213E-3</v>
      </c>
      <c r="F113" s="40">
        <v>1.38</v>
      </c>
      <c r="G113" s="40">
        <v>1.38</v>
      </c>
      <c r="H113" s="36">
        <v>828</v>
      </c>
      <c r="I113" s="58">
        <v>-5.5999999999999999E-3</v>
      </c>
      <c r="J113" s="58">
        <v>5.1000000000000004E-3</v>
      </c>
      <c r="K113" s="40">
        <v>457587282.55000001</v>
      </c>
      <c r="L113" s="35">
        <f t="shared" si="50"/>
        <v>1.870396792170976E-3</v>
      </c>
      <c r="M113" s="40">
        <v>1.38</v>
      </c>
      <c r="N113" s="40">
        <v>1.38</v>
      </c>
      <c r="O113" s="36">
        <v>840</v>
      </c>
      <c r="P113" s="58">
        <v>2.5999999999999999E-3</v>
      </c>
      <c r="Q113" s="58">
        <v>8.6E-3</v>
      </c>
      <c r="R113" s="63">
        <f t="shared" si="57"/>
        <v>5.5191192353949172E-4</v>
      </c>
      <c r="S113" s="63">
        <f t="shared" si="58"/>
        <v>0</v>
      </c>
      <c r="T113" s="63">
        <f t="shared" si="59"/>
        <v>1.4492753623188406E-2</v>
      </c>
      <c r="U113" s="64">
        <f t="shared" si="60"/>
        <v>8.199999999999999E-3</v>
      </c>
      <c r="V113" s="65">
        <f t="shared" si="61"/>
        <v>3.4999999999999996E-3</v>
      </c>
    </row>
    <row r="114" spans="1:28">
      <c r="A114" s="181">
        <v>103</v>
      </c>
      <c r="B114" s="150" t="s">
        <v>173</v>
      </c>
      <c r="C114" s="149" t="s">
        <v>127</v>
      </c>
      <c r="D114" s="40">
        <v>2073285417.99</v>
      </c>
      <c r="E114" s="35">
        <f t="shared" si="51"/>
        <v>8.5638397518844264E-3</v>
      </c>
      <c r="F114" s="68">
        <v>31.575700000000001</v>
      </c>
      <c r="G114" s="68">
        <v>31.575700000000001</v>
      </c>
      <c r="H114" s="36">
        <v>1328</v>
      </c>
      <c r="I114" s="58">
        <v>0.1464</v>
      </c>
      <c r="J114" s="58">
        <v>0.1464</v>
      </c>
      <c r="K114" s="40">
        <v>2075365957.55</v>
      </c>
      <c r="L114" s="35">
        <f t="shared" si="50"/>
        <v>8.4830981489486899E-3</v>
      </c>
      <c r="M114" s="68">
        <v>31.652200000000001</v>
      </c>
      <c r="N114" s="68">
        <v>31.652200000000001</v>
      </c>
      <c r="O114" s="36">
        <v>1326</v>
      </c>
      <c r="P114" s="58">
        <v>0.187</v>
      </c>
      <c r="Q114" s="58">
        <v>0.187</v>
      </c>
      <c r="R114" s="63">
        <f t="shared" si="37"/>
        <v>1.0034988631796656E-3</v>
      </c>
      <c r="S114" s="63">
        <f t="shared" si="38"/>
        <v>2.4227491393698109E-3</v>
      </c>
      <c r="T114" s="63">
        <f t="shared" si="39"/>
        <v>-1.5060240963855422E-3</v>
      </c>
      <c r="U114" s="64">
        <f t="shared" si="40"/>
        <v>4.0599999999999997E-2</v>
      </c>
      <c r="V114" s="65">
        <f t="shared" si="41"/>
        <v>4.0599999999999997E-2</v>
      </c>
    </row>
    <row r="115" spans="1:28">
      <c r="A115" s="43"/>
      <c r="B115" s="44"/>
      <c r="C115" s="45" t="s">
        <v>56</v>
      </c>
      <c r="D115" s="67">
        <f>SUM(D76:D114)</f>
        <v>242097642886.62512</v>
      </c>
      <c r="E115" s="47">
        <f>(D115/$D$233)</f>
        <v>2.9860590375597008E-2</v>
      </c>
      <c r="F115" s="48"/>
      <c r="G115" s="53"/>
      <c r="H115" s="50">
        <f>SUM(H76:H114)</f>
        <v>62149</v>
      </c>
      <c r="I115" s="61"/>
      <c r="J115" s="61"/>
      <c r="K115" s="67">
        <f>SUM(K76:K114)</f>
        <v>244647170303.8353</v>
      </c>
      <c r="L115" s="47">
        <f>(K115/$K$233)</f>
        <v>2.9920736459300278E-2</v>
      </c>
      <c r="M115" s="48"/>
      <c r="N115" s="53"/>
      <c r="O115" s="50">
        <f>SUM(O76:O114)</f>
        <v>62692</v>
      </c>
      <c r="P115" s="61"/>
      <c r="Q115" s="61"/>
      <c r="R115" s="63">
        <f t="shared" si="37"/>
        <v>1.0530988186465426E-2</v>
      </c>
      <c r="S115" s="63" t="e">
        <f t="shared" si="38"/>
        <v>#DIV/0!</v>
      </c>
      <c r="T115" s="63">
        <f t="shared" si="39"/>
        <v>8.7370673703518961E-3</v>
      </c>
      <c r="U115" s="64">
        <f t="shared" si="40"/>
        <v>0</v>
      </c>
      <c r="V115" s="65">
        <f t="shared" si="41"/>
        <v>0</v>
      </c>
    </row>
    <row r="116" spans="1:28" ht="3.75" customHeight="1">
      <c r="A116" s="43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</row>
    <row r="117" spans="1:28" ht="15" customHeight="1">
      <c r="A117" s="193" t="s">
        <v>174</v>
      </c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</row>
    <row r="118" spans="1:28">
      <c r="A118" s="192" t="s">
        <v>175</v>
      </c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Z118" s="73"/>
      <c r="AB118" s="75"/>
    </row>
    <row r="119" spans="1:28" ht="16.5" customHeight="1">
      <c r="A119" s="181">
        <v>104</v>
      </c>
      <c r="B119" s="150" t="s">
        <v>176</v>
      </c>
      <c r="C119" s="149" t="s">
        <v>20</v>
      </c>
      <c r="D119" s="40">
        <v>3456462537.5599999</v>
      </c>
      <c r="E119" s="35">
        <f t="shared" ref="E119:E124" si="62">(D119/$D$157)</f>
        <v>1.8624660033444514E-3</v>
      </c>
      <c r="F119" s="40">
        <v>115.018</v>
      </c>
      <c r="G119" s="40">
        <v>115.018</v>
      </c>
      <c r="H119" s="36">
        <v>163</v>
      </c>
      <c r="I119" s="58">
        <v>1.1000000000000001E-3</v>
      </c>
      <c r="J119" s="58">
        <v>4.1999999999999997E-3</v>
      </c>
      <c r="K119" s="40">
        <v>3456462537.5599999</v>
      </c>
      <c r="L119" s="35">
        <f t="shared" ref="L119:L135" si="63">(K119/$K$157)</f>
        <v>1.8780298909530681E-3</v>
      </c>
      <c r="M119" s="148">
        <v>115.8134</v>
      </c>
      <c r="N119" s="40">
        <v>115.8134</v>
      </c>
      <c r="O119" s="36">
        <v>192</v>
      </c>
      <c r="P119" s="58">
        <v>6.8999999999999999E-3</v>
      </c>
      <c r="Q119" s="58">
        <v>1.12E-2</v>
      </c>
      <c r="R119" s="63">
        <f>((K119-D119)/D119)</f>
        <v>0</v>
      </c>
      <c r="S119" s="63">
        <f>((N119-G119)/G119)</f>
        <v>6.9154393225408263E-3</v>
      </c>
      <c r="T119" s="63">
        <f>((O119-H119)/H119)</f>
        <v>0.17791411042944785</v>
      </c>
      <c r="U119" s="63">
        <f>P119-I119</f>
        <v>5.7999999999999996E-3</v>
      </c>
      <c r="V119" s="110">
        <f>Q119-J119</f>
        <v>7.0000000000000001E-3</v>
      </c>
      <c r="X119" s="73"/>
      <c r="Y119" s="76"/>
      <c r="Z119" s="73"/>
      <c r="AA119" s="77"/>
    </row>
    <row r="120" spans="1:28" ht="16.5" customHeight="1">
      <c r="A120" s="181">
        <v>105</v>
      </c>
      <c r="B120" s="150" t="s">
        <v>177</v>
      </c>
      <c r="C120" s="149" t="s">
        <v>60</v>
      </c>
      <c r="D120" s="40">
        <v>5852833063.6730165</v>
      </c>
      <c r="E120" s="35">
        <f t="shared" si="62"/>
        <v>3.1537164039499217E-3</v>
      </c>
      <c r="F120" s="40">
        <v>137794.46804400001</v>
      </c>
      <c r="G120" s="40">
        <v>137794.46804400001</v>
      </c>
      <c r="H120" s="36">
        <v>103</v>
      </c>
      <c r="I120" s="58">
        <v>-1.9059999999999999E-3</v>
      </c>
      <c r="J120" s="58">
        <v>8.6479999999999994E-3</v>
      </c>
      <c r="K120" s="40">
        <f>4021687.21*W138</f>
        <v>5451067636.9725018</v>
      </c>
      <c r="L120" s="35">
        <f t="shared" si="63"/>
        <v>2.9617760495295286E-3</v>
      </c>
      <c r="M120" s="40">
        <f>101.18*W138</f>
        <v>137141.20335800003</v>
      </c>
      <c r="N120" s="40">
        <f>101.18*W138</f>
        <v>137141.20335800003</v>
      </c>
      <c r="O120" s="36">
        <v>103</v>
      </c>
      <c r="P120" s="58">
        <v>3.1059999999999998E-3</v>
      </c>
      <c r="Q120" s="58">
        <v>1.1754000000000001E-2</v>
      </c>
      <c r="R120" s="64">
        <f>((K120-D120)/D120)</f>
        <v>-6.8644607206408512E-2</v>
      </c>
      <c r="S120" s="64">
        <f>((N120-G120)/G120)</f>
        <v>-4.7408629335640847E-3</v>
      </c>
      <c r="T120" s="64">
        <f>((O120-H120)/H120)</f>
        <v>0</v>
      </c>
      <c r="U120" s="64">
        <f>P120-I120</f>
        <v>5.012E-3</v>
      </c>
      <c r="V120" s="65">
        <f>Q120-J120</f>
        <v>3.1060000000000011E-3</v>
      </c>
      <c r="X120" s="73"/>
      <c r="Y120" s="76"/>
      <c r="Z120" s="73"/>
      <c r="AA120" s="77"/>
    </row>
    <row r="121" spans="1:28">
      <c r="A121" s="181">
        <v>106</v>
      </c>
      <c r="B121" s="150" t="s">
        <v>178</v>
      </c>
      <c r="C121" s="149" t="s">
        <v>24</v>
      </c>
      <c r="D121" s="40">
        <v>16872488133.976364</v>
      </c>
      <c r="E121" s="35">
        <f t="shared" si="62"/>
        <v>9.0915018461466979E-3</v>
      </c>
      <c r="F121" s="40">
        <v>1659.38093284</v>
      </c>
      <c r="G121" s="40">
        <v>1659.38093284</v>
      </c>
      <c r="H121" s="36">
        <v>325</v>
      </c>
      <c r="I121" s="58">
        <v>5.5899999999999998E-2</v>
      </c>
      <c r="J121" s="58">
        <v>5.96E-2</v>
      </c>
      <c r="K121" s="40">
        <f>12344205.69*FX_RATE</f>
        <v>16731559822.348989</v>
      </c>
      <c r="L121" s="35">
        <f t="shared" si="63"/>
        <v>9.0909041041777397E-3</v>
      </c>
      <c r="M121" s="40">
        <f>1.2167*W138</f>
        <v>1649.13720227</v>
      </c>
      <c r="N121" s="40">
        <f>1.2167*W138</f>
        <v>1649.13720227</v>
      </c>
      <c r="O121" s="36">
        <v>327</v>
      </c>
      <c r="P121" s="58">
        <v>9.0200000000000002E-2</v>
      </c>
      <c r="Q121" s="58">
        <v>6.4600000000000005E-2</v>
      </c>
      <c r="R121" s="64">
        <f t="shared" ref="R121:R133" si="64">((K121-D121)/D121)</f>
        <v>-8.352550643884309E-3</v>
      </c>
      <c r="S121" s="64">
        <f t="shared" ref="S121:S133" si="65">((N121-G121)/G121)</f>
        <v>-6.1732242231252281E-3</v>
      </c>
      <c r="T121" s="64">
        <f t="shared" ref="T121:T133" si="66">((O121-H121)/H121)</f>
        <v>6.1538461538461538E-3</v>
      </c>
      <c r="U121" s="64">
        <f t="shared" ref="U121:U133" si="67">P121-I121</f>
        <v>3.4300000000000004E-2</v>
      </c>
      <c r="V121" s="65">
        <f t="shared" ref="V121:V133" si="68">Q121-J121</f>
        <v>5.0000000000000044E-3</v>
      </c>
    </row>
    <row r="122" spans="1:28">
      <c r="A122" s="181">
        <v>107</v>
      </c>
      <c r="B122" s="150" t="s">
        <v>179</v>
      </c>
      <c r="C122" s="149" t="s">
        <v>24</v>
      </c>
      <c r="D122" s="40">
        <v>4214328033.7275438</v>
      </c>
      <c r="E122" s="35">
        <f t="shared" si="62"/>
        <v>2.2708311183664231E-3</v>
      </c>
      <c r="F122" s="40">
        <v>1431.0896815000001</v>
      </c>
      <c r="G122" s="40">
        <v>1431.0896815000001</v>
      </c>
      <c r="H122" s="36">
        <v>107</v>
      </c>
      <c r="I122" s="58">
        <v>-2.98E-2</v>
      </c>
      <c r="J122" s="58">
        <v>2.93E-2</v>
      </c>
      <c r="K122" s="40">
        <f>3139865.13*W138</f>
        <v>4255830028.7608533</v>
      </c>
      <c r="L122" s="35">
        <f t="shared" si="63"/>
        <v>2.3123571911966069E-3</v>
      </c>
      <c r="M122" s="40">
        <f>1.0481*W138</f>
        <v>1420.6137106100002</v>
      </c>
      <c r="N122" s="40">
        <f>1.0481*W138</f>
        <v>1420.6137106100002</v>
      </c>
      <c r="O122" s="36">
        <v>112</v>
      </c>
      <c r="P122" s="58">
        <v>2.9899999999999999E-2</v>
      </c>
      <c r="Q122" s="58">
        <v>2.9399999999999999E-2</v>
      </c>
      <c r="R122" s="64">
        <f t="shared" si="64"/>
        <v>9.8478321338932966E-3</v>
      </c>
      <c r="S122" s="64">
        <f t="shared" ref="S122" si="69">((N122-G122)/G122)</f>
        <v>-7.3202756091564139E-3</v>
      </c>
      <c r="T122" s="64">
        <f t="shared" ref="T122" si="70">((O122-H122)/H122)</f>
        <v>4.6728971962616821E-2</v>
      </c>
      <c r="U122" s="64">
        <f t="shared" ref="U122" si="71">P122-I122</f>
        <v>5.9700000000000003E-2</v>
      </c>
      <c r="V122" s="65">
        <f t="shared" ref="V122" si="72">Q122-J122</f>
        <v>9.9999999999999395E-5</v>
      </c>
    </row>
    <row r="123" spans="1:28">
      <c r="A123" s="181">
        <v>108</v>
      </c>
      <c r="B123" s="150" t="s">
        <v>180</v>
      </c>
      <c r="C123" s="149" t="s">
        <v>28</v>
      </c>
      <c r="D123" s="40">
        <v>49067351449.294205</v>
      </c>
      <c r="E123" s="35">
        <f t="shared" si="62"/>
        <v>2.6439249074857996E-2</v>
      </c>
      <c r="F123" s="40">
        <v>1708.7005867799999</v>
      </c>
      <c r="G123" s="40">
        <v>1708.7005867799999</v>
      </c>
      <c r="H123" s="36">
        <v>653</v>
      </c>
      <c r="I123" s="58">
        <v>8.0000000000000004E-4</v>
      </c>
      <c r="J123" s="58">
        <v>2.8999999999999998E-3</v>
      </c>
      <c r="K123" s="40">
        <f>36031280.97*W138</f>
        <v>48837450392.923561</v>
      </c>
      <c r="L123" s="35">
        <f t="shared" si="63"/>
        <v>2.6535277220332377E-2</v>
      </c>
      <c r="M123" s="40">
        <f>1.2625*W138</f>
        <v>1711.2153512500001</v>
      </c>
      <c r="N123" s="40">
        <f>1.2625*W138</f>
        <v>1711.2153512500001</v>
      </c>
      <c r="O123" s="36">
        <v>655</v>
      </c>
      <c r="P123" s="58">
        <v>9.4000000000000004E-3</v>
      </c>
      <c r="Q123" s="58">
        <v>1.23E-2</v>
      </c>
      <c r="R123" s="64">
        <f t="shared" si="64"/>
        <v>-4.6854180953341549E-3</v>
      </c>
      <c r="S123" s="64">
        <f t="shared" ref="S123:T126" si="73">((N123-G123)/G123)</f>
        <v>1.4717408593738935E-3</v>
      </c>
      <c r="T123" s="64">
        <f t="shared" si="73"/>
        <v>3.0627871362940277E-3</v>
      </c>
      <c r="U123" s="64">
        <f t="shared" si="67"/>
        <v>8.6E-3</v>
      </c>
      <c r="V123" s="65">
        <f t="shared" si="68"/>
        <v>9.4000000000000004E-3</v>
      </c>
    </row>
    <row r="124" spans="1:28">
      <c r="A124" s="181">
        <v>109</v>
      </c>
      <c r="B124" s="150" t="s">
        <v>181</v>
      </c>
      <c r="C124" s="149" t="s">
        <v>69</v>
      </c>
      <c r="D124" s="40">
        <v>1374856778.2730122</v>
      </c>
      <c r="E124" s="35">
        <f t="shared" si="62"/>
        <v>7.4082215015377302E-4</v>
      </c>
      <c r="F124" s="40">
        <v>1494.7543871400001</v>
      </c>
      <c r="G124" s="40">
        <v>1502.8149400000002</v>
      </c>
      <c r="H124" s="36">
        <v>69</v>
      </c>
      <c r="I124" s="58">
        <v>7.1700000000000002E-3</v>
      </c>
      <c r="J124" s="58">
        <v>0.1779</v>
      </c>
      <c r="K124" s="40">
        <f>1058005.9*W138</f>
        <v>1434040346.7667899</v>
      </c>
      <c r="L124" s="35">
        <f t="shared" si="63"/>
        <v>7.7916962987306334E-4</v>
      </c>
      <c r="M124" s="40">
        <f>1.0958*W138</f>
        <v>1485.2671539800003</v>
      </c>
      <c r="N124" s="40">
        <f>1.1*W138</f>
        <v>1490.9599100000003</v>
      </c>
      <c r="O124" s="36">
        <v>70</v>
      </c>
      <c r="P124" s="58">
        <v>1.2999999999999999E-3</v>
      </c>
      <c r="Q124" s="58">
        <v>0.16209999999999999</v>
      </c>
      <c r="R124" s="64">
        <f t="shared" si="64"/>
        <v>4.3047079106028438E-2</v>
      </c>
      <c r="S124" s="64">
        <f t="shared" si="73"/>
        <v>-7.8885494710346313E-3</v>
      </c>
      <c r="T124" s="64">
        <f t="shared" si="73"/>
        <v>1.4492753623188406E-2</v>
      </c>
      <c r="U124" s="64">
        <f t="shared" si="67"/>
        <v>-5.8700000000000002E-3</v>
      </c>
      <c r="V124" s="65">
        <f t="shared" si="68"/>
        <v>-1.5800000000000008E-2</v>
      </c>
    </row>
    <row r="125" spans="1:28">
      <c r="A125" s="181">
        <v>110</v>
      </c>
      <c r="B125" s="150" t="s">
        <v>182</v>
      </c>
      <c r="C125" s="149" t="s">
        <v>30</v>
      </c>
      <c r="D125" s="40">
        <v>853710463.0983181</v>
      </c>
      <c r="E125" s="35">
        <v>0</v>
      </c>
      <c r="F125" s="40">
        <v>1946.2819668400002</v>
      </c>
      <c r="G125" s="40">
        <v>1946.2819668400002</v>
      </c>
      <c r="H125" s="36">
        <v>74</v>
      </c>
      <c r="I125" s="58">
        <v>4.2299999999999998E-4</v>
      </c>
      <c r="J125" s="58">
        <v>1.32E-2</v>
      </c>
      <c r="K125" s="40">
        <f>623654.6*W138</f>
        <v>845312732.98826003</v>
      </c>
      <c r="L125" s="35">
        <f t="shared" si="63"/>
        <v>4.5929112857559057E-4</v>
      </c>
      <c r="M125" s="40">
        <f>1.4279*W138</f>
        <v>1935.4015049900001</v>
      </c>
      <c r="N125" s="40">
        <f>1.4279*W138</f>
        <v>1935.4015049900001</v>
      </c>
      <c r="O125" s="36">
        <v>75</v>
      </c>
      <c r="P125" s="58">
        <v>4.28E-4</v>
      </c>
      <c r="Q125" s="58">
        <v>1.9E-2</v>
      </c>
      <c r="R125" s="64">
        <f t="shared" si="64"/>
        <v>-9.8367426347109668E-3</v>
      </c>
      <c r="S125" s="64">
        <f t="shared" si="73"/>
        <v>-5.5903831178509469E-3</v>
      </c>
      <c r="T125" s="64">
        <f t="shared" si="73"/>
        <v>1.3513513513513514E-2</v>
      </c>
      <c r="U125" s="64">
        <f t="shared" si="67"/>
        <v>5.0000000000000131E-6</v>
      </c>
      <c r="V125" s="65">
        <f t="shared" si="68"/>
        <v>5.7999999999999996E-3</v>
      </c>
    </row>
    <row r="126" spans="1:28">
      <c r="A126" s="181">
        <v>111</v>
      </c>
      <c r="B126" s="150" t="s">
        <v>183</v>
      </c>
      <c r="C126" s="149" t="s">
        <v>79</v>
      </c>
      <c r="D126" s="40">
        <v>1900476686.6230519</v>
      </c>
      <c r="E126" s="35">
        <f t="shared" ref="E126:E135" si="74">(D126/$D$157)</f>
        <v>1.0240450114881935E-3</v>
      </c>
      <c r="F126" s="40">
        <v>147357.83584400002</v>
      </c>
      <c r="G126" s="40">
        <v>147658.39883200001</v>
      </c>
      <c r="H126" s="36">
        <v>84</v>
      </c>
      <c r="I126" s="58">
        <v>-2.5000000000000001E-3</v>
      </c>
      <c r="J126" s="58">
        <v>5.5999999999999999E-3</v>
      </c>
      <c r="K126" s="40">
        <f>1399219.69*W138</f>
        <v>1896527693.702389</v>
      </c>
      <c r="L126" s="35">
        <f>(K126/$K$157)</f>
        <v>1.0304569076301016E-3</v>
      </c>
      <c r="M126" s="40">
        <f>107.94*W138</f>
        <v>146303.82971400002</v>
      </c>
      <c r="N126" s="40">
        <f>108.2*W138</f>
        <v>146656.23842000001</v>
      </c>
      <c r="O126" s="36">
        <v>84</v>
      </c>
      <c r="P126" s="58">
        <v>8.9999999999999998E-4</v>
      </c>
      <c r="Q126" s="58">
        <v>6.4999999999999997E-3</v>
      </c>
      <c r="R126" s="64">
        <f t="shared" si="64"/>
        <v>-2.0778960081219554E-3</v>
      </c>
      <c r="S126" s="64">
        <f t="shared" si="73"/>
        <v>-6.7870193631194434E-3</v>
      </c>
      <c r="T126" s="64">
        <f t="shared" si="73"/>
        <v>0</v>
      </c>
      <c r="U126" s="64">
        <f t="shared" si="67"/>
        <v>3.4000000000000002E-3</v>
      </c>
      <c r="V126" s="65">
        <f t="shared" si="68"/>
        <v>8.9999999999999976E-4</v>
      </c>
    </row>
    <row r="127" spans="1:28">
      <c r="A127" s="181">
        <v>112</v>
      </c>
      <c r="B127" s="150" t="s">
        <v>184</v>
      </c>
      <c r="C127" s="149" t="s">
        <v>82</v>
      </c>
      <c r="D127" s="40">
        <v>4770963447.2600002</v>
      </c>
      <c r="E127" s="35">
        <f t="shared" si="74"/>
        <v>2.5707662464623349E-3</v>
      </c>
      <c r="F127" s="40">
        <v>1617.85</v>
      </c>
      <c r="G127" s="40">
        <v>1617.85</v>
      </c>
      <c r="H127" s="36">
        <v>61</v>
      </c>
      <c r="I127" s="58">
        <v>6.5799999999999997E-2</v>
      </c>
      <c r="J127" s="58">
        <v>6.6000000000000003E-2</v>
      </c>
      <c r="K127" s="40">
        <v>4542542510.5200005</v>
      </c>
      <c r="L127" s="35">
        <f t="shared" si="63"/>
        <v>2.4681391807312375E-3</v>
      </c>
      <c r="M127" s="40">
        <v>1615.64</v>
      </c>
      <c r="N127" s="40">
        <v>1615.64</v>
      </c>
      <c r="O127" s="36">
        <v>63</v>
      </c>
      <c r="P127" s="58">
        <v>6.5799999999999997E-2</v>
      </c>
      <c r="Q127" s="58">
        <v>6.3700000000000007E-2</v>
      </c>
      <c r="R127" s="64">
        <f t="shared" si="64"/>
        <v>-4.787731854688252E-2</v>
      </c>
      <c r="S127" s="64">
        <f t="shared" si="65"/>
        <v>-1.3660104459621159E-3</v>
      </c>
      <c r="T127" s="64">
        <f t="shared" si="66"/>
        <v>3.2786885245901641E-2</v>
      </c>
      <c r="U127" s="64">
        <f t="shared" si="67"/>
        <v>0</v>
      </c>
      <c r="V127" s="65">
        <f t="shared" si="68"/>
        <v>-2.2999999999999965E-3</v>
      </c>
      <c r="X127" s="74"/>
    </row>
    <row r="128" spans="1:28">
      <c r="A128" s="181">
        <v>113</v>
      </c>
      <c r="B128" s="150" t="s">
        <v>185</v>
      </c>
      <c r="C128" s="149" t="s">
        <v>32</v>
      </c>
      <c r="D128" s="40">
        <v>51995152374.253433</v>
      </c>
      <c r="E128" s="35">
        <f t="shared" si="74"/>
        <v>2.8016853237507581E-2</v>
      </c>
      <c r="F128" s="40">
        <v>175938.64361200001</v>
      </c>
      <c r="G128" s="40">
        <v>175965.96752000003</v>
      </c>
      <c r="H128" s="36">
        <v>2555</v>
      </c>
      <c r="I128" s="58">
        <v>1.1000000000000001E-3</v>
      </c>
      <c r="J128" s="58">
        <v>7.0000000000000001E-3</v>
      </c>
      <c r="K128" s="40">
        <f>38172590.29*W138</f>
        <v>51739819802.950249</v>
      </c>
      <c r="L128" s="35">
        <f t="shared" si="63"/>
        <v>2.8112246867012171E-2</v>
      </c>
      <c r="M128" s="40">
        <f>128.96*W138</f>
        <v>174794.71817600002</v>
      </c>
      <c r="N128" s="40">
        <f>128.96*W138</f>
        <v>174794.71817600002</v>
      </c>
      <c r="O128" s="36">
        <v>2562</v>
      </c>
      <c r="P128" s="58">
        <v>-1.2999999999999999E-3</v>
      </c>
      <c r="Q128" s="58">
        <v>8.3999999999999995E-3</v>
      </c>
      <c r="R128" s="64">
        <f t="shared" si="64"/>
        <v>-4.9106995487836706E-3</v>
      </c>
      <c r="S128" s="64">
        <f t="shared" si="65"/>
        <v>-6.6561128865266989E-3</v>
      </c>
      <c r="T128" s="64">
        <f t="shared" si="66"/>
        <v>2.7397260273972603E-3</v>
      </c>
      <c r="U128" s="64">
        <f t="shared" si="67"/>
        <v>-2.4000000000000002E-3</v>
      </c>
      <c r="V128" s="65">
        <f t="shared" si="68"/>
        <v>1.3999999999999993E-3</v>
      </c>
    </row>
    <row r="129" spans="1:25">
      <c r="A129" s="181">
        <v>114</v>
      </c>
      <c r="B129" s="151" t="s">
        <v>186</v>
      </c>
      <c r="C129" s="151" t="s">
        <v>32</v>
      </c>
      <c r="D129" s="40">
        <v>151445734925.83569</v>
      </c>
      <c r="E129" s="35">
        <f t="shared" si="74"/>
        <v>8.1604394546685624E-2</v>
      </c>
      <c r="F129" s="40">
        <v>171512.17051600001</v>
      </c>
      <c r="G129" s="40">
        <v>171553.15637799999</v>
      </c>
      <c r="H129" s="36">
        <v>976</v>
      </c>
      <c r="I129" s="58">
        <v>1.1999999999999999E-3</v>
      </c>
      <c r="J129" s="58">
        <v>6.8999999999999999E-3</v>
      </c>
      <c r="K129" s="40">
        <f>110093375.95*W138</f>
        <v>149222554452.73471</v>
      </c>
      <c r="L129" s="35">
        <f t="shared" si="63"/>
        <v>8.1078390007501402E-2</v>
      </c>
      <c r="M129" s="40">
        <f>125.74*W138</f>
        <v>170430.271894</v>
      </c>
      <c r="N129" s="40">
        <f>125.74*W138</f>
        <v>170430.271894</v>
      </c>
      <c r="O129" s="36">
        <v>976</v>
      </c>
      <c r="P129" s="58">
        <v>-1.4E-3</v>
      </c>
      <c r="Q129" s="58">
        <v>8.3000000000000001E-3</v>
      </c>
      <c r="R129" s="64">
        <f t="shared" si="64"/>
        <v>-1.4679716627144988E-2</v>
      </c>
      <c r="S129" s="64">
        <f t="shared" si="65"/>
        <v>-6.5454026478289802E-3</v>
      </c>
      <c r="T129" s="64">
        <f t="shared" si="66"/>
        <v>0</v>
      </c>
      <c r="U129" s="64">
        <f t="shared" si="67"/>
        <v>-2.5999999999999999E-3</v>
      </c>
      <c r="V129" s="65">
        <f t="shared" si="68"/>
        <v>1.4000000000000002E-3</v>
      </c>
      <c r="X129" s="73"/>
    </row>
    <row r="130" spans="1:25">
      <c r="A130" s="181">
        <v>115</v>
      </c>
      <c r="B130" s="150" t="s">
        <v>187</v>
      </c>
      <c r="C130" s="149" t="s">
        <v>88</v>
      </c>
      <c r="D130" s="40">
        <v>2232874814.481668</v>
      </c>
      <c r="E130" s="35">
        <f t="shared" si="74"/>
        <v>1.2031530463604704E-3</v>
      </c>
      <c r="F130" s="40">
        <v>1366.1954000000001</v>
      </c>
      <c r="G130" s="40">
        <v>1366.1954000000001</v>
      </c>
      <c r="H130" s="36">
        <v>16</v>
      </c>
      <c r="I130" s="58">
        <v>8.2299999999999998E-2</v>
      </c>
      <c r="J130" s="58">
        <v>8.2199999999999995E-2</v>
      </c>
      <c r="K130" s="40">
        <f>1651415.56*W138</f>
        <v>2238358540.6456361</v>
      </c>
      <c r="L130" s="35">
        <f t="shared" si="63"/>
        <v>1.2161868385155675E-3</v>
      </c>
      <c r="M130" s="40">
        <f>1*W138</f>
        <v>1355.4181000000001</v>
      </c>
      <c r="N130" s="40">
        <f>1*W138</f>
        <v>1355.4181000000001</v>
      </c>
      <c r="O130" s="36">
        <v>13</v>
      </c>
      <c r="P130" s="58">
        <v>8.2000000000000003E-2</v>
      </c>
      <c r="Q130" s="58">
        <v>8.2199999999999995E-2</v>
      </c>
      <c r="R130" s="64">
        <f t="shared" ref="R130" si="75">((K130-D130)/D130)</f>
        <v>2.4559039890649044E-3</v>
      </c>
      <c r="S130" s="64">
        <f t="shared" ref="S130" si="76">((N130-G130)/G130)</f>
        <v>-7.888549471034647E-3</v>
      </c>
      <c r="T130" s="64">
        <f t="shared" si="66"/>
        <v>-0.1875</v>
      </c>
      <c r="U130" s="64">
        <f t="shared" si="67"/>
        <v>-2.9999999999999472E-4</v>
      </c>
      <c r="V130" s="65">
        <f t="shared" si="68"/>
        <v>0</v>
      </c>
    </row>
    <row r="131" spans="1:25">
      <c r="A131" s="181">
        <v>116</v>
      </c>
      <c r="B131" s="150" t="s">
        <v>188</v>
      </c>
      <c r="C131" s="149" t="s">
        <v>36</v>
      </c>
      <c r="D131" s="40">
        <v>250311650.41261253</v>
      </c>
      <c r="E131" s="35">
        <f t="shared" si="74"/>
        <v>1.3487689626852763E-4</v>
      </c>
      <c r="F131" s="40">
        <v>136.65799999999999</v>
      </c>
      <c r="G131" s="40">
        <v>136.65799999999999</v>
      </c>
      <c r="H131" s="36">
        <v>10</v>
      </c>
      <c r="I131" s="58">
        <v>1.8E-3</v>
      </c>
      <c r="J131" s="58">
        <v>0.20530000000000001</v>
      </c>
      <c r="K131" s="40">
        <f>188573.491*W138</f>
        <v>255595922.88158712</v>
      </c>
      <c r="L131" s="35">
        <f t="shared" si="63"/>
        <v>1.388751586227841E-4</v>
      </c>
      <c r="M131" s="40">
        <v>136.92099999999999</v>
      </c>
      <c r="N131" s="40">
        <v>136.92099999999999</v>
      </c>
      <c r="O131" s="36">
        <v>10</v>
      </c>
      <c r="P131" s="58">
        <v>1.9E-3</v>
      </c>
      <c r="Q131" s="58">
        <v>0.20760000000000001</v>
      </c>
      <c r="R131" s="64">
        <f t="shared" si="64"/>
        <v>2.1110773151245741E-2</v>
      </c>
      <c r="S131" s="64">
        <f t="shared" si="65"/>
        <v>1.9245122861450135E-3</v>
      </c>
      <c r="T131" s="64">
        <f t="shared" si="66"/>
        <v>0</v>
      </c>
      <c r="U131" s="64">
        <f t="shared" si="67"/>
        <v>1.0000000000000005E-4</v>
      </c>
      <c r="V131" s="65">
        <f t="shared" si="68"/>
        <v>2.2999999999999965E-3</v>
      </c>
    </row>
    <row r="132" spans="1:25">
      <c r="A132" s="181">
        <v>117</v>
      </c>
      <c r="B132" s="150" t="s">
        <v>189</v>
      </c>
      <c r="C132" s="149" t="s">
        <v>42</v>
      </c>
      <c r="D132" s="40">
        <v>14286810940.379494</v>
      </c>
      <c r="E132" s="35">
        <f t="shared" si="74"/>
        <v>7.6982462224080977E-3</v>
      </c>
      <c r="F132" s="40">
        <v>2035.6311460000002</v>
      </c>
      <c r="G132" s="40">
        <v>2035.6311460000002</v>
      </c>
      <c r="H132" s="54">
        <v>117</v>
      </c>
      <c r="I132" s="61">
        <v>4.0000000000000002E-4</v>
      </c>
      <c r="J132" s="61">
        <v>6.1499999999999999E-2</v>
      </c>
      <c r="K132" s="40">
        <f xml:space="preserve"> 10453302.98*W138</f>
        <v>14168596063.87594</v>
      </c>
      <c r="L132" s="35">
        <f t="shared" si="63"/>
        <v>7.6983466858526889E-3</v>
      </c>
      <c r="M132" s="40">
        <f>1.49*W138</f>
        <v>2019.5729690000001</v>
      </c>
      <c r="N132" s="40">
        <f>1.49*W138</f>
        <v>2019.5729690000001</v>
      </c>
      <c r="O132" s="54">
        <v>117</v>
      </c>
      <c r="P132" s="61">
        <v>-2.2000000000000001E-3</v>
      </c>
      <c r="Q132" s="61">
        <v>0.03</v>
      </c>
      <c r="R132" s="64">
        <f t="shared" si="64"/>
        <v>-8.274406163620256E-3</v>
      </c>
      <c r="S132" s="64">
        <f t="shared" si="65"/>
        <v>-7.8885494710347268E-3</v>
      </c>
      <c r="T132" s="64">
        <f t="shared" si="66"/>
        <v>0</v>
      </c>
      <c r="U132" s="64">
        <f t="shared" si="67"/>
        <v>-2.6000000000000003E-3</v>
      </c>
      <c r="V132" s="65">
        <f t="shared" si="68"/>
        <v>-3.15E-2</v>
      </c>
    </row>
    <row r="133" spans="1:25">
      <c r="A133" s="181">
        <v>118</v>
      </c>
      <c r="B133" s="150" t="s">
        <v>190</v>
      </c>
      <c r="C133" s="149" t="s">
        <v>104</v>
      </c>
      <c r="D133" s="40">
        <v>38035132682.149002</v>
      </c>
      <c r="E133" s="35">
        <f t="shared" si="74"/>
        <v>2.0494693862125591E-2</v>
      </c>
      <c r="F133" s="40">
        <v>142808.40516200001</v>
      </c>
      <c r="G133" s="40">
        <v>142808.40516200001</v>
      </c>
      <c r="H133" s="36">
        <v>867</v>
      </c>
      <c r="I133" s="61">
        <v>1.1999999999999999E-3</v>
      </c>
      <c r="J133" s="58">
        <v>4.6300000000000001E-2</v>
      </c>
      <c r="K133" s="40">
        <f>28661218*W138</f>
        <v>38847933645.245804</v>
      </c>
      <c r="L133" s="35">
        <f t="shared" si="63"/>
        <v>2.1107586092640112E-2</v>
      </c>
      <c r="M133" s="40">
        <f>105.5*W138</f>
        <v>142996.60955000002</v>
      </c>
      <c r="N133" s="40">
        <f>105.5*W138</f>
        <v>142996.60955000002</v>
      </c>
      <c r="O133" s="36">
        <v>869</v>
      </c>
      <c r="P133" s="61">
        <v>9.1999999999999998E-3</v>
      </c>
      <c r="Q133" s="58">
        <v>0.1142</v>
      </c>
      <c r="R133" s="64">
        <f t="shared" si="64"/>
        <v>2.136974175663315E-2</v>
      </c>
      <c r="S133" s="64">
        <f t="shared" si="65"/>
        <v>1.3178803291481072E-3</v>
      </c>
      <c r="T133" s="64">
        <f t="shared" si="66"/>
        <v>2.306805074971165E-3</v>
      </c>
      <c r="U133" s="64">
        <f t="shared" si="67"/>
        <v>8.0000000000000002E-3</v>
      </c>
      <c r="V133" s="65">
        <f t="shared" si="68"/>
        <v>6.7899999999999988E-2</v>
      </c>
    </row>
    <row r="134" spans="1:25">
      <c r="A134" s="181">
        <v>119</v>
      </c>
      <c r="B134" s="150" t="s">
        <v>191</v>
      </c>
      <c r="C134" s="149" t="s">
        <v>46</v>
      </c>
      <c r="D134" s="40">
        <v>2870824415.2379823</v>
      </c>
      <c r="E134" s="35">
        <f t="shared" si="74"/>
        <v>1.5469031753853177E-3</v>
      </c>
      <c r="F134" s="40">
        <v>229411.53156800001</v>
      </c>
      <c r="G134" s="40">
        <v>238223.49189800001</v>
      </c>
      <c r="H134" s="36">
        <v>49</v>
      </c>
      <c r="I134" s="58">
        <v>5.4000000000000003E-3</v>
      </c>
      <c r="J134" s="58">
        <v>8.8099999999999998E-2</v>
      </c>
      <c r="K134" s="40">
        <f>2094347.99*W138</f>
        <v>2838717173.3446193</v>
      </c>
      <c r="L134" s="35">
        <f t="shared" si="63"/>
        <v>1.5423849226112014E-3</v>
      </c>
      <c r="M134" s="40">
        <f>167.373983*W138</f>
        <v>226861.72602729232</v>
      </c>
      <c r="N134" s="40">
        <f>173.88*W138</f>
        <v>235680.09922800001</v>
      </c>
      <c r="O134" s="36">
        <v>49</v>
      </c>
      <c r="P134" s="58">
        <v>-3.5999999999999999E-3</v>
      </c>
      <c r="Q134" s="58">
        <v>6.3E-3</v>
      </c>
      <c r="R134" s="64">
        <f t="shared" ref="R134:R135" si="77">((K134-D134)/D134)</f>
        <v>-1.1183979669025287E-2</v>
      </c>
      <c r="S134" s="64">
        <f t="shared" ref="S134:S135" si="78">((N134-G134)/G134)</f>
        <v>-1.067649814775196E-2</v>
      </c>
      <c r="T134" s="64">
        <f t="shared" ref="T134:T135" si="79">((O134-H134)/H134)</f>
        <v>0</v>
      </c>
      <c r="U134" s="64">
        <f t="shared" ref="U134:U135" si="80">P134-I134</f>
        <v>-9.0000000000000011E-3</v>
      </c>
      <c r="V134" s="65">
        <f t="shared" ref="V134:V135" si="81">Q134-J134</f>
        <v>-8.1799999999999998E-2</v>
      </c>
    </row>
    <row r="135" spans="1:25">
      <c r="A135" s="181">
        <v>120</v>
      </c>
      <c r="B135" s="150" t="s">
        <v>192</v>
      </c>
      <c r="C135" s="149" t="s">
        <v>53</v>
      </c>
      <c r="D135" s="34">
        <v>151908369874.5119</v>
      </c>
      <c r="E135" s="35">
        <f t="shared" si="74"/>
        <v>8.185367885238988E-2</v>
      </c>
      <c r="F135" s="40">
        <v>171948.460268</v>
      </c>
      <c r="G135" s="40">
        <v>171948.460268</v>
      </c>
      <c r="H135" s="36">
        <v>4217</v>
      </c>
      <c r="I135" s="58">
        <v>1E-3</v>
      </c>
      <c r="J135" s="58">
        <v>5.74E-2</v>
      </c>
      <c r="K135" s="34">
        <f>111036852.21*1356.3</f>
        <v>150599282652.42297</v>
      </c>
      <c r="L135" s="35">
        <f t="shared" si="63"/>
        <v>8.1826419729402494E-2</v>
      </c>
      <c r="M135" s="40">
        <f>125.6143*1356.3</f>
        <v>170370.67509</v>
      </c>
      <c r="N135" s="40">
        <f>125.6143*1356.3</f>
        <v>170370.67509</v>
      </c>
      <c r="O135" s="36">
        <v>4241</v>
      </c>
      <c r="P135" s="58">
        <v>1E-3</v>
      </c>
      <c r="Q135" s="58">
        <v>5.74E-2</v>
      </c>
      <c r="R135" s="64">
        <f t="shared" si="77"/>
        <v>-8.6176108872100723E-3</v>
      </c>
      <c r="S135" s="64">
        <f t="shared" si="78"/>
        <v>-9.1759192000954518E-3</v>
      </c>
      <c r="T135" s="64">
        <f t="shared" si="79"/>
        <v>5.6912497035807447E-3</v>
      </c>
      <c r="U135" s="64">
        <f t="shared" si="80"/>
        <v>0</v>
      </c>
      <c r="V135" s="65">
        <f t="shared" si="81"/>
        <v>0</v>
      </c>
    </row>
    <row r="136" spans="1:25" ht="6" customHeight="1">
      <c r="A136" s="78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</row>
    <row r="137" spans="1:25">
      <c r="A137" s="192" t="s">
        <v>193</v>
      </c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</row>
    <row r="138" spans="1:25">
      <c r="A138" s="181">
        <v>121</v>
      </c>
      <c r="B138" s="150" t="s">
        <v>194</v>
      </c>
      <c r="C138" s="149" t="s">
        <v>64</v>
      </c>
      <c r="D138" s="34">
        <v>1530962991.7130961</v>
      </c>
      <c r="E138" s="35">
        <f>(D138/$D$157)</f>
        <v>8.2493777770176635E-4</v>
      </c>
      <c r="F138" s="40">
        <v>166552.88121399999</v>
      </c>
      <c r="G138" s="40">
        <v>166552.88121399999</v>
      </c>
      <c r="H138" s="36">
        <v>23</v>
      </c>
      <c r="I138" s="58">
        <v>1.1999999999999999E-3</v>
      </c>
      <c r="J138" s="58">
        <v>8.8999999999999999E-3</v>
      </c>
      <c r="K138" s="34">
        <f>1128231.12*W138</f>
        <v>1529224881.0312722</v>
      </c>
      <c r="L138" s="35">
        <f t="shared" ref="L138:L155" si="82">(K138/$K$157)</f>
        <v>8.3088707178445023E-4</v>
      </c>
      <c r="M138" s="40">
        <f>122.47*W138</f>
        <v>165998.054707</v>
      </c>
      <c r="N138" s="40">
        <f>122.47*W138</f>
        <v>165998.054707</v>
      </c>
      <c r="O138" s="36">
        <v>23</v>
      </c>
      <c r="P138" s="58">
        <v>4.3E-3</v>
      </c>
      <c r="Q138" s="58">
        <v>4.6600000000000003E-2</v>
      </c>
      <c r="R138" s="64">
        <f>((K138-D138)/D138)</f>
        <v>-1.135305485000053E-3</v>
      </c>
      <c r="S138" s="64">
        <f>((N138-G138)/G138)</f>
        <v>-3.3312333173456587E-3</v>
      </c>
      <c r="T138" s="64">
        <f>((O138-H138)/H138)</f>
        <v>0</v>
      </c>
      <c r="U138" s="64">
        <f>P138-I138</f>
        <v>3.1000000000000003E-3</v>
      </c>
      <c r="V138" s="65">
        <f>Q138-J138</f>
        <v>3.7700000000000004E-2</v>
      </c>
      <c r="W138" s="85">
        <v>1355.4181000000001</v>
      </c>
      <c r="Y138" s="125"/>
    </row>
    <row r="139" spans="1:25">
      <c r="A139" s="181">
        <v>122</v>
      </c>
      <c r="B139" s="149" t="s">
        <v>195</v>
      </c>
      <c r="C139" s="149" t="s">
        <v>26</v>
      </c>
      <c r="D139" s="40">
        <v>29028949819.865124</v>
      </c>
      <c r="E139" s="35">
        <f t="shared" ref="E139:E156" si="83">(D139/$D$157)</f>
        <v>1.5641839471651535E-2</v>
      </c>
      <c r="F139" s="34">
        <v>186212.43302000003</v>
      </c>
      <c r="G139" s="34">
        <v>186212.43302000003</v>
      </c>
      <c r="H139" s="36">
        <v>661</v>
      </c>
      <c r="I139" s="58">
        <v>5.0000000000000001E-4</v>
      </c>
      <c r="J139" s="58">
        <v>5.0000000000000001E-3</v>
      </c>
      <c r="K139" s="40">
        <f>20463095.5*W138</f>
        <v>27736050022.728554</v>
      </c>
      <c r="L139" s="35">
        <f t="shared" si="82"/>
        <v>1.5070069596768931E-2</v>
      </c>
      <c r="M139" s="34">
        <f>136.42*W138</f>
        <v>184906.13720199998</v>
      </c>
      <c r="N139" s="34">
        <f>136.42*W138</f>
        <v>184906.13720199998</v>
      </c>
      <c r="O139" s="36">
        <v>663</v>
      </c>
      <c r="P139" s="58">
        <v>5.0000000000000001E-4</v>
      </c>
      <c r="Q139" s="58">
        <v>5.8999999999999999E-3</v>
      </c>
      <c r="R139" s="64">
        <f t="shared" ref="R139:R157" si="84">((K139-D139)/D139)</f>
        <v>-4.453829040180473E-2</v>
      </c>
      <c r="S139" s="64">
        <f t="shared" ref="S139:S157" si="85">((N139-G139)/G139)</f>
        <v>-7.0150837772456395E-3</v>
      </c>
      <c r="T139" s="64">
        <f t="shared" ref="T139:T157" si="86">((O139-H139)/H139)</f>
        <v>3.0257186081694403E-3</v>
      </c>
      <c r="U139" s="64">
        <f t="shared" ref="U139:U157" si="87">P139-I139</f>
        <v>0</v>
      </c>
      <c r="V139" s="65">
        <f t="shared" ref="V139:V157" si="88">Q139-J139</f>
        <v>8.9999999999999976E-4</v>
      </c>
    </row>
    <row r="140" spans="1:25">
      <c r="A140" s="181">
        <v>123</v>
      </c>
      <c r="B140" s="149" t="s">
        <v>196</v>
      </c>
      <c r="C140" s="149" t="s">
        <v>137</v>
      </c>
      <c r="D140" s="40">
        <v>349916168.37511605</v>
      </c>
      <c r="E140" s="35">
        <f t="shared" si="83"/>
        <v>1.8854738349898683E-4</v>
      </c>
      <c r="F140" s="34">
        <v>136619.54</v>
      </c>
      <c r="G140" s="34">
        <v>136619.54</v>
      </c>
      <c r="H140" s="36">
        <v>15</v>
      </c>
      <c r="I140" s="58">
        <v>1.5E-3</v>
      </c>
      <c r="J140" s="58">
        <v>6.8199999999999997E-3</v>
      </c>
      <c r="K140" s="40">
        <f>256508.142508521*W138</f>
        <v>347675779.15342879</v>
      </c>
      <c r="L140" s="35">
        <f t="shared" si="82"/>
        <v>1.8890570880350602E-4</v>
      </c>
      <c r="M140" s="34">
        <f>100*W138</f>
        <v>135541.81</v>
      </c>
      <c r="N140" s="34">
        <f>100*W138</f>
        <v>135541.81</v>
      </c>
      <c r="O140" s="36">
        <v>18</v>
      </c>
      <c r="P140" s="58">
        <v>1.5E-3</v>
      </c>
      <c r="Q140" s="58">
        <v>9.3200000000000002E-3</v>
      </c>
      <c r="R140" s="64">
        <v>0</v>
      </c>
      <c r="S140" s="64">
        <f t="shared" ref="S140" si="89">((N140-G140)/G140)</f>
        <v>-7.8885494710347458E-3</v>
      </c>
      <c r="T140" s="64">
        <f t="shared" ref="T140" si="90">((O140-H140)/H140)</f>
        <v>0.2</v>
      </c>
      <c r="U140" s="64">
        <f t="shared" ref="U140" si="91">P140-I140</f>
        <v>0</v>
      </c>
      <c r="V140" s="65">
        <f t="shared" ref="V140" si="92">Q140-J140</f>
        <v>2.5000000000000005E-3</v>
      </c>
    </row>
    <row r="141" spans="1:25">
      <c r="A141" s="181">
        <v>124</v>
      </c>
      <c r="B141" s="150" t="s">
        <v>197</v>
      </c>
      <c r="C141" s="149" t="s">
        <v>73</v>
      </c>
      <c r="D141" s="34">
        <v>17007891670.040001</v>
      </c>
      <c r="E141" s="35">
        <f t="shared" si="83"/>
        <v>9.1644621284904977E-3</v>
      </c>
      <c r="F141" s="34">
        <v>166317.71</v>
      </c>
      <c r="G141" s="34">
        <v>166317.71</v>
      </c>
      <c r="H141" s="36">
        <v>464</v>
      </c>
      <c r="I141" s="58">
        <v>1.2999999999999999E-3</v>
      </c>
      <c r="J141" s="58">
        <v>6.7799999999999999E-2</v>
      </c>
      <c r="K141" s="34">
        <v>17262128344.799999</v>
      </c>
      <c r="L141" s="35">
        <f t="shared" ref="L141:L142" si="93">(K141/$K$115)</f>
        <v>7.0559280629984802E-2</v>
      </c>
      <c r="M141" s="34">
        <v>162805.6</v>
      </c>
      <c r="N141" s="34">
        <v>162805.6</v>
      </c>
      <c r="O141" s="36">
        <v>464</v>
      </c>
      <c r="P141" s="58">
        <v>8.0000000000000004E-4</v>
      </c>
      <c r="Q141" s="58">
        <v>6.7799999999999999E-2</v>
      </c>
      <c r="R141" s="64">
        <f t="shared" si="84"/>
        <v>1.4948159342280217E-2</v>
      </c>
      <c r="S141" s="64">
        <f t="shared" si="85"/>
        <v>-2.1116873242182005E-2</v>
      </c>
      <c r="T141" s="64">
        <f t="shared" si="86"/>
        <v>0</v>
      </c>
      <c r="U141" s="64">
        <f t="shared" si="87"/>
        <v>-4.999999999999999E-4</v>
      </c>
      <c r="V141" s="65">
        <f t="shared" si="88"/>
        <v>0</v>
      </c>
    </row>
    <row r="142" spans="1:25">
      <c r="A142" s="181">
        <v>125</v>
      </c>
      <c r="B142" s="150" t="s">
        <v>198</v>
      </c>
      <c r="C142" s="149" t="s">
        <v>75</v>
      </c>
      <c r="D142" s="40">
        <v>229767685.046826</v>
      </c>
      <c r="E142" s="35">
        <f t="shared" ref="E142" si="94">(D142/$D$115)</f>
        <v>9.4907031025670389E-4</v>
      </c>
      <c r="F142" s="39">
        <v>1462.64879524</v>
      </c>
      <c r="G142" s="39">
        <v>1462.64879524</v>
      </c>
      <c r="H142" s="36">
        <v>5</v>
      </c>
      <c r="I142" s="58">
        <v>2.2499999999999999E-2</v>
      </c>
      <c r="J142" s="58">
        <v>0.12720000000000001</v>
      </c>
      <c r="K142" s="40">
        <f>97241.28*W138</f>
        <v>131802590.97916801</v>
      </c>
      <c r="L142" s="35">
        <f t="shared" si="93"/>
        <v>5.3874561808942272E-4</v>
      </c>
      <c r="M142" s="39">
        <f>1.0812*W138</f>
        <v>1465.4780497199999</v>
      </c>
      <c r="N142" s="39">
        <f>1.0812*W138</f>
        <v>1465.4780497199999</v>
      </c>
      <c r="O142" s="36">
        <v>5</v>
      </c>
      <c r="P142" s="58">
        <v>9.9000000000000008E-3</v>
      </c>
      <c r="Q142" s="58">
        <v>0.13780000000000001</v>
      </c>
      <c r="R142" s="63">
        <f t="shared" si="84"/>
        <v>-0.42636584882549078</v>
      </c>
      <c r="S142" s="63">
        <f t="shared" si="85"/>
        <v>1.9343361777669102E-3</v>
      </c>
      <c r="T142" s="63">
        <f t="shared" si="86"/>
        <v>0</v>
      </c>
      <c r="U142" s="64">
        <f t="shared" si="87"/>
        <v>-1.2599999999999998E-2</v>
      </c>
      <c r="V142" s="65">
        <f t="shared" si="88"/>
        <v>1.0599999999999998E-2</v>
      </c>
    </row>
    <row r="143" spans="1:25">
      <c r="A143" s="181">
        <v>126</v>
      </c>
      <c r="B143" s="150" t="s">
        <v>199</v>
      </c>
      <c r="C143" s="149" t="s">
        <v>71</v>
      </c>
      <c r="D143" s="34">
        <v>11021890383.2001</v>
      </c>
      <c r="E143" s="35">
        <f t="shared" si="83"/>
        <v>5.9389899089693212E-3</v>
      </c>
      <c r="F143" s="34">
        <v>1848.2689068859399</v>
      </c>
      <c r="G143" s="34">
        <v>1848.2689068859399</v>
      </c>
      <c r="H143" s="36">
        <v>323</v>
      </c>
      <c r="I143" s="58">
        <v>6.5000000000000002E-2</v>
      </c>
      <c r="J143" s="58">
        <v>7.1999999999999995E-2</v>
      </c>
      <c r="K143" s="34">
        <v>10955968402.4142</v>
      </c>
      <c r="L143" s="35">
        <f t="shared" si="82"/>
        <v>5.9528017215531677E-3</v>
      </c>
      <c r="M143" s="34">
        <v>1832.1413105388301</v>
      </c>
      <c r="N143" s="34">
        <v>1832.1413105388301</v>
      </c>
      <c r="O143" s="36">
        <v>323</v>
      </c>
      <c r="P143" s="58">
        <v>7.9699999999999993E-2</v>
      </c>
      <c r="Q143" s="58">
        <v>7.3400000000000007E-2</v>
      </c>
      <c r="R143" s="64">
        <f t="shared" si="84"/>
        <v>-5.9810049359935932E-3</v>
      </c>
      <c r="S143" s="64">
        <f t="shared" si="85"/>
        <v>-8.7257845906645939E-3</v>
      </c>
      <c r="T143" s="63">
        <f t="shared" si="86"/>
        <v>0</v>
      </c>
      <c r="U143" s="64">
        <f t="shared" si="87"/>
        <v>1.4699999999999991E-2</v>
      </c>
      <c r="V143" s="65">
        <f t="shared" si="88"/>
        <v>1.4000000000000123E-3</v>
      </c>
    </row>
    <row r="144" spans="1:25">
      <c r="A144" s="181">
        <v>127</v>
      </c>
      <c r="B144" s="150" t="s">
        <v>200</v>
      </c>
      <c r="C144" s="149" t="s">
        <v>94</v>
      </c>
      <c r="D144" s="34">
        <v>412172750.07828999</v>
      </c>
      <c r="E144" s="35">
        <f t="shared" si="83"/>
        <v>2.2209346295062472E-4</v>
      </c>
      <c r="F144" s="34">
        <v>1420.8432160000002</v>
      </c>
      <c r="G144" s="34">
        <v>1420.8432160000002</v>
      </c>
      <c r="H144" s="36">
        <v>12</v>
      </c>
      <c r="I144" s="58">
        <v>4.0000000000000002E-4</v>
      </c>
      <c r="J144" s="58">
        <v>2.0999999999999999E-3</v>
      </c>
      <c r="K144" s="34">
        <f>301815.81*W138</f>
        <v>409086611.740161</v>
      </c>
      <c r="L144" s="35">
        <f t="shared" si="82"/>
        <v>2.2227259126583209E-4</v>
      </c>
      <c r="M144" s="34">
        <f>1.04*W138</f>
        <v>1409.6348240000002</v>
      </c>
      <c r="N144" s="34">
        <f>1.04*W138</f>
        <v>1409.6348240000002</v>
      </c>
      <c r="O144" s="36">
        <v>12</v>
      </c>
      <c r="P144" s="58">
        <v>2.9999999999999997E-4</v>
      </c>
      <c r="Q144" s="58">
        <v>2.5000000000000001E-3</v>
      </c>
      <c r="R144" s="64">
        <f t="shared" si="84"/>
        <v>-7.4874875584152248E-3</v>
      </c>
      <c r="S144" s="64">
        <f t="shared" si="85"/>
        <v>-7.8885494710346712E-3</v>
      </c>
      <c r="T144" s="63">
        <f t="shared" si="86"/>
        <v>0</v>
      </c>
      <c r="U144" s="64">
        <f t="shared" si="87"/>
        <v>-1.0000000000000005E-4</v>
      </c>
      <c r="V144" s="65">
        <f t="shared" si="88"/>
        <v>4.0000000000000018E-4</v>
      </c>
    </row>
    <row r="145" spans="1:24">
      <c r="A145" s="181">
        <v>128</v>
      </c>
      <c r="B145" s="150" t="s">
        <v>201</v>
      </c>
      <c r="C145" s="149" t="s">
        <v>38</v>
      </c>
      <c r="D145" s="34">
        <v>124619017757.957</v>
      </c>
      <c r="E145" s="35">
        <f t="shared" si="83"/>
        <v>6.7149197025065235E-2</v>
      </c>
      <c r="F145" s="34">
        <v>100</v>
      </c>
      <c r="G145" s="34">
        <v>100</v>
      </c>
      <c r="H145" s="36">
        <v>2514</v>
      </c>
      <c r="I145" s="58">
        <v>5.0299999999999997E-2</v>
      </c>
      <c r="J145" s="58">
        <v>5.21E-2</v>
      </c>
      <c r="K145" s="34">
        <v>126697786420.284</v>
      </c>
      <c r="L145" s="35">
        <f t="shared" si="82"/>
        <v>6.8839811636682804E-2</v>
      </c>
      <c r="M145" s="34">
        <v>100</v>
      </c>
      <c r="N145" s="34">
        <v>100</v>
      </c>
      <c r="O145" s="36">
        <v>2596</v>
      </c>
      <c r="P145" s="58">
        <v>5.3600000000000002E-2</v>
      </c>
      <c r="Q145" s="58">
        <v>5.2299999999999999E-2</v>
      </c>
      <c r="R145" s="64">
        <f t="shared" si="84"/>
        <v>1.6680990588166189E-2</v>
      </c>
      <c r="S145" s="64">
        <f t="shared" si="85"/>
        <v>0</v>
      </c>
      <c r="T145" s="64">
        <f t="shared" si="86"/>
        <v>3.261734287987271E-2</v>
      </c>
      <c r="U145" s="64">
        <f t="shared" si="87"/>
        <v>3.3000000000000043E-3</v>
      </c>
      <c r="V145" s="65">
        <f t="shared" si="88"/>
        <v>1.9999999999999879E-4</v>
      </c>
    </row>
    <row r="146" spans="1:24" ht="15.6">
      <c r="A146" s="181">
        <v>129</v>
      </c>
      <c r="B146" s="150" t="s">
        <v>202</v>
      </c>
      <c r="C146" s="149" t="s">
        <v>151</v>
      </c>
      <c r="D146" s="34">
        <v>1483407765.470242</v>
      </c>
      <c r="E146" s="35">
        <f t="shared" si="83"/>
        <v>7.9931331593016762E-4</v>
      </c>
      <c r="F146" s="34">
        <v>1557.4627559999999</v>
      </c>
      <c r="G146" s="34">
        <v>1557.4627559999999</v>
      </c>
      <c r="H146" s="36">
        <v>53</v>
      </c>
      <c r="I146" s="58">
        <v>1.9E-3</v>
      </c>
      <c r="J146" s="58">
        <v>0.17560000000000001</v>
      </c>
      <c r="K146" s="34">
        <f>1103662.21*W138</f>
        <v>1495923735.720001</v>
      </c>
      <c r="L146" s="35">
        <f t="shared" si="82"/>
        <v>8.127932705012204E-4</v>
      </c>
      <c r="M146" s="34">
        <f>1.14*W138</f>
        <v>1545.1766339999999</v>
      </c>
      <c r="N146" s="34">
        <f>1.14*W138</f>
        <v>1545.1766339999999</v>
      </c>
      <c r="O146" s="36">
        <v>53</v>
      </c>
      <c r="P146" s="58">
        <v>1.9E-3</v>
      </c>
      <c r="Q146" s="58">
        <v>0.14560000000000001</v>
      </c>
      <c r="R146" s="64">
        <f t="shared" si="84"/>
        <v>8.4373093771633184E-3</v>
      </c>
      <c r="S146" s="64">
        <f t="shared" si="85"/>
        <v>-7.8885494710346574E-3</v>
      </c>
      <c r="T146" s="64">
        <f t="shared" si="86"/>
        <v>0</v>
      </c>
      <c r="U146" s="64">
        <f t="shared" si="87"/>
        <v>0</v>
      </c>
      <c r="V146" s="65">
        <f t="shared" si="88"/>
        <v>-0.03</v>
      </c>
      <c r="X146" s="86"/>
    </row>
    <row r="147" spans="1:24" ht="15.6">
      <c r="A147" s="181">
        <v>130</v>
      </c>
      <c r="B147" s="150" t="s">
        <v>329</v>
      </c>
      <c r="C147" s="149" t="s">
        <v>44</v>
      </c>
      <c r="D147" s="40">
        <v>11209516447.293301</v>
      </c>
      <c r="E147" s="35">
        <f t="shared" si="83"/>
        <v>6.0400895627099917E-3</v>
      </c>
      <c r="F147" s="34">
        <v>14618.290779999999</v>
      </c>
      <c r="G147" s="34">
        <v>14618.290779999999</v>
      </c>
      <c r="H147" s="36">
        <v>197</v>
      </c>
      <c r="I147" s="58">
        <v>5.33E-2</v>
      </c>
      <c r="J147" s="58">
        <v>7.2999999999999995E-2</v>
      </c>
      <c r="K147" s="40">
        <f>8363491.72*W138</f>
        <v>11336028056.488132</v>
      </c>
      <c r="L147" s="35">
        <f t="shared" si="82"/>
        <v>6.1593028431304875E-3</v>
      </c>
      <c r="M147" s="34">
        <f>10.72*W138</f>
        <v>14530.082032000002</v>
      </c>
      <c r="N147" s="34">
        <f>10.72*W138</f>
        <v>14530.082032000002</v>
      </c>
      <c r="O147" s="36">
        <v>180</v>
      </c>
      <c r="P147" s="58">
        <v>5.21E-2</v>
      </c>
      <c r="Q147" s="58">
        <v>7.1999999999999995E-2</v>
      </c>
      <c r="R147" s="64">
        <f t="shared" si="84"/>
        <v>1.1286089796083925E-2</v>
      </c>
      <c r="S147" s="64">
        <f t="shared" si="85"/>
        <v>-6.0341355448121203E-3</v>
      </c>
      <c r="T147" s="64">
        <f t="shared" si="86"/>
        <v>-8.6294416243654817E-2</v>
      </c>
      <c r="U147" s="64">
        <f t="shared" si="87"/>
        <v>-1.1999999999999997E-3</v>
      </c>
      <c r="V147" s="65">
        <f t="shared" si="88"/>
        <v>-1.0000000000000009E-3</v>
      </c>
      <c r="X147" s="86"/>
    </row>
    <row r="148" spans="1:24" ht="15.6">
      <c r="A148" s="181">
        <v>131</v>
      </c>
      <c r="B148" s="149" t="s">
        <v>203</v>
      </c>
      <c r="C148" s="152" t="s">
        <v>48</v>
      </c>
      <c r="D148" s="34">
        <v>27983851010.5</v>
      </c>
      <c r="E148" s="35">
        <f t="shared" si="83"/>
        <v>1.5078702744021221E-2</v>
      </c>
      <c r="F148" s="34">
        <v>1489.1529860000003</v>
      </c>
      <c r="G148" s="34">
        <v>1489.1529860000003</v>
      </c>
      <c r="H148" s="36">
        <v>728</v>
      </c>
      <c r="I148" s="58">
        <v>8.9999999999999998E-4</v>
      </c>
      <c r="J148" s="58">
        <v>2.5999999999999999E-3</v>
      </c>
      <c r="K148" s="34">
        <v>29127669266.389999</v>
      </c>
      <c r="L148" s="35">
        <f t="shared" si="82"/>
        <v>1.5826190199269844E-2</v>
      </c>
      <c r="M148" s="34">
        <f>1.09*W138</f>
        <v>1477.4057290000003</v>
      </c>
      <c r="N148" s="34">
        <f>1.09*W138</f>
        <v>1477.4057290000003</v>
      </c>
      <c r="O148" s="36">
        <v>730</v>
      </c>
      <c r="P148" s="58">
        <v>3.8E-3</v>
      </c>
      <c r="Q148" s="58">
        <v>6.4000000000000003E-3</v>
      </c>
      <c r="R148" s="64">
        <f t="shared" si="84"/>
        <v>4.087422619069906E-2</v>
      </c>
      <c r="S148" s="64">
        <f t="shared" si="85"/>
        <v>-7.8885494710346626E-3</v>
      </c>
      <c r="T148" s="64">
        <f t="shared" si="86"/>
        <v>2.7472527472527475E-3</v>
      </c>
      <c r="U148" s="64">
        <f t="shared" si="87"/>
        <v>2.8999999999999998E-3</v>
      </c>
      <c r="V148" s="65">
        <f t="shared" si="88"/>
        <v>3.8000000000000004E-3</v>
      </c>
      <c r="X148" s="86"/>
    </row>
    <row r="149" spans="1:24">
      <c r="A149" s="181">
        <v>132</v>
      </c>
      <c r="B149" s="150" t="s">
        <v>204</v>
      </c>
      <c r="C149" s="149" t="s">
        <v>106</v>
      </c>
      <c r="D149" s="40">
        <v>412891323.12349999</v>
      </c>
      <c r="E149" s="35">
        <f t="shared" si="83"/>
        <v>2.2248065588359602E-4</v>
      </c>
      <c r="F149" s="34">
        <v>1726.6157999999998</v>
      </c>
      <c r="G149" s="34">
        <v>1726.6157999999998</v>
      </c>
      <c r="H149" s="36">
        <v>2</v>
      </c>
      <c r="I149" s="58">
        <v>-5.6769E-2</v>
      </c>
      <c r="J149" s="58">
        <v>-5.5378999999999998E-2</v>
      </c>
      <c r="K149" s="40">
        <f>301307.95*1370.33</f>
        <v>412891323.12349999</v>
      </c>
      <c r="L149" s="35">
        <f t="shared" si="82"/>
        <v>2.2433983823486885E-4</v>
      </c>
      <c r="M149" s="34">
        <f>1.26*1370.33</f>
        <v>1726.6157999999998</v>
      </c>
      <c r="N149" s="34">
        <f>1.26*1370.33</f>
        <v>1726.6157999999998</v>
      </c>
      <c r="O149" s="36">
        <v>2</v>
      </c>
      <c r="P149" s="58">
        <v>-5.6769E-2</v>
      </c>
      <c r="Q149" s="58">
        <v>-5.5378999999999998E-2</v>
      </c>
      <c r="R149" s="64">
        <f t="shared" si="84"/>
        <v>0</v>
      </c>
      <c r="S149" s="64">
        <f t="shared" si="85"/>
        <v>0</v>
      </c>
      <c r="T149" s="64">
        <f t="shared" si="86"/>
        <v>0</v>
      </c>
      <c r="U149" s="64">
        <f t="shared" ref="U149" si="95">P149-I149</f>
        <v>0</v>
      </c>
      <c r="V149" s="65">
        <f t="shared" ref="V149" si="96">Q149-J149</f>
        <v>0</v>
      </c>
    </row>
    <row r="150" spans="1:24">
      <c r="A150" s="181">
        <v>133</v>
      </c>
      <c r="B150" s="150" t="s">
        <v>205</v>
      </c>
      <c r="C150" s="149" t="s">
        <v>111</v>
      </c>
      <c r="D150" s="40">
        <v>889224166.04315805</v>
      </c>
      <c r="E150" s="35">
        <f t="shared" si="83"/>
        <v>4.7914587836870334E-4</v>
      </c>
      <c r="F150" s="34">
        <v>1468.6600550000001</v>
      </c>
      <c r="G150" s="34">
        <v>1468.6600550000001</v>
      </c>
      <c r="H150" s="36">
        <v>11</v>
      </c>
      <c r="I150" s="58">
        <v>1E-3</v>
      </c>
      <c r="J150" s="58">
        <v>6.1999999999999998E-3</v>
      </c>
      <c r="K150" s="40">
        <f>652167.08*W138</f>
        <v>883959064.45614803</v>
      </c>
      <c r="L150" s="35">
        <f t="shared" si="82"/>
        <v>4.8028917640156497E-4</v>
      </c>
      <c r="M150" s="34">
        <f>1.0772*W138</f>
        <v>1460.0563773199999</v>
      </c>
      <c r="N150" s="34">
        <f>1.0772*W138</f>
        <v>1460.0563773199999</v>
      </c>
      <c r="O150" s="36">
        <v>11</v>
      </c>
      <c r="P150" s="58">
        <v>2E-3</v>
      </c>
      <c r="Q150" s="58">
        <v>8.2000000000000007E-3</v>
      </c>
      <c r="R150" s="64">
        <f t="shared" ref="R150" si="97">((K150-D150)/D150)</f>
        <v>-5.9210059601039755E-3</v>
      </c>
      <c r="S150" s="64">
        <f t="shared" ref="S150" si="98">((N150-G150)/G150)</f>
        <v>-5.8581818513475849E-3</v>
      </c>
      <c r="T150" s="64">
        <f t="shared" si="86"/>
        <v>0</v>
      </c>
      <c r="U150" s="64">
        <f t="shared" si="87"/>
        <v>1E-3</v>
      </c>
      <c r="V150" s="65">
        <f t="shared" si="88"/>
        <v>2.0000000000000009E-3</v>
      </c>
    </row>
    <row r="151" spans="1:24">
      <c r="A151" s="181">
        <v>134</v>
      </c>
      <c r="B151" s="150" t="s">
        <v>206</v>
      </c>
      <c r="C151" s="149" t="s">
        <v>50</v>
      </c>
      <c r="D151" s="40">
        <v>929541991109.77002</v>
      </c>
      <c r="E151" s="35">
        <f t="shared" si="83"/>
        <v>0.50087056877092062</v>
      </c>
      <c r="F151" s="34">
        <v>2300.65</v>
      </c>
      <c r="G151" s="34">
        <v>2300.65</v>
      </c>
      <c r="H151" s="36">
        <v>13126</v>
      </c>
      <c r="I151" s="58">
        <v>6.9999999999999999E-4</v>
      </c>
      <c r="J151" s="58">
        <v>3.5999999999999999E-3</v>
      </c>
      <c r="K151" s="40">
        <v>918165093571.64001</v>
      </c>
      <c r="L151" s="35">
        <f t="shared" si="82"/>
        <v>0.49887463608227467</v>
      </c>
      <c r="M151" s="34">
        <v>2278.7199999999998</v>
      </c>
      <c r="N151" s="34">
        <v>2278.7199999999998</v>
      </c>
      <c r="O151" s="36">
        <v>13183</v>
      </c>
      <c r="P151" s="58">
        <v>6.9999999999999999E-4</v>
      </c>
      <c r="Q151" s="58">
        <v>4.4000000000000003E-3</v>
      </c>
      <c r="R151" s="64">
        <f t="shared" si="84"/>
        <v>-1.2239250778275495E-2</v>
      </c>
      <c r="S151" s="64">
        <f t="shared" si="85"/>
        <v>-9.5320887575251739E-3</v>
      </c>
      <c r="T151" s="64">
        <f t="shared" si="86"/>
        <v>4.3425262837117175E-3</v>
      </c>
      <c r="U151" s="64">
        <f t="shared" si="87"/>
        <v>0</v>
      </c>
      <c r="V151" s="65">
        <f t="shared" si="88"/>
        <v>8.0000000000000036E-4</v>
      </c>
    </row>
    <row r="152" spans="1:24">
      <c r="A152" s="181">
        <v>135</v>
      </c>
      <c r="B152" s="150" t="s">
        <v>207</v>
      </c>
      <c r="C152" s="150" t="s">
        <v>116</v>
      </c>
      <c r="D152" s="40">
        <v>551340203.51342809</v>
      </c>
      <c r="E152" s="35">
        <f t="shared" si="83"/>
        <v>2.9708187899112911E-4</v>
      </c>
      <c r="F152" s="34">
        <v>156361.06353000001</v>
      </c>
      <c r="G152" s="34">
        <v>156361.06353000001</v>
      </c>
      <c r="H152" s="36">
        <v>30</v>
      </c>
      <c r="I152" s="58">
        <v>-1E-3</v>
      </c>
      <c r="J152" s="58">
        <v>6.6E-3</v>
      </c>
      <c r="K152" s="40">
        <f>405124.77*W138</f>
        <v>549113446.01633704</v>
      </c>
      <c r="L152" s="35">
        <f t="shared" si="82"/>
        <v>2.9835459054936269E-4</v>
      </c>
      <c r="M152" s="34">
        <f>114.89*W138</f>
        <v>155723.98550900002</v>
      </c>
      <c r="N152" s="34">
        <f>114.89*W138</f>
        <v>155723.98550900002</v>
      </c>
      <c r="O152" s="36">
        <v>30</v>
      </c>
      <c r="P152" s="58">
        <v>3.8999999999999998E-3</v>
      </c>
      <c r="Q152" s="58">
        <v>1.0500000000000001E-2</v>
      </c>
      <c r="R152" s="64">
        <f t="shared" ref="R152" si="99">((K152-D152)/D152)</f>
        <v>-4.0388084941039883E-3</v>
      </c>
      <c r="S152" s="64">
        <f t="shared" ref="S152" si="100">((N152-G152)/G152)</f>
        <v>-4.0744032217314881E-3</v>
      </c>
      <c r="T152" s="64">
        <f t="shared" ref="T152" si="101">((O152-H152)/H152)</f>
        <v>0</v>
      </c>
      <c r="U152" s="64">
        <f t="shared" ref="U152" si="102">P152-I152</f>
        <v>4.8999999999999998E-3</v>
      </c>
      <c r="V152" s="65">
        <f t="shared" ref="V152" si="103">Q152-J152</f>
        <v>3.9000000000000007E-3</v>
      </c>
    </row>
    <row r="153" spans="1:24" ht="16.5" customHeight="1">
      <c r="A153" s="181">
        <v>136</v>
      </c>
      <c r="B153" s="150" t="s">
        <v>208</v>
      </c>
      <c r="C153" s="149" t="s">
        <v>53</v>
      </c>
      <c r="D153" s="40">
        <v>188946945062.99951</v>
      </c>
      <c r="E153" s="35">
        <f t="shared" si="83"/>
        <v>0.10181139178903068</v>
      </c>
      <c r="F153" s="34">
        <v>1719.3530509999998</v>
      </c>
      <c r="G153" s="34">
        <v>1719.3530509999998</v>
      </c>
      <c r="H153" s="36">
        <v>966</v>
      </c>
      <c r="I153" s="58">
        <v>1E-3</v>
      </c>
      <c r="J153" s="58">
        <v>5.4300000000000001E-2</v>
      </c>
      <c r="K153" s="40">
        <f>137316537.23*1356.3</f>
        <v>186242419445.04898</v>
      </c>
      <c r="L153" s="35">
        <f t="shared" si="82"/>
        <v>0.10119271563930536</v>
      </c>
      <c r="M153" s="34">
        <f>1.2557*1356.3</f>
        <v>1703.10591</v>
      </c>
      <c r="N153" s="34">
        <f>1.2557*1356.3</f>
        <v>1703.10591</v>
      </c>
      <c r="O153" s="36">
        <v>970</v>
      </c>
      <c r="P153" s="58">
        <v>8.0000000000000004E-4</v>
      </c>
      <c r="Q153" s="58">
        <v>5.2299999999999999E-2</v>
      </c>
      <c r="R153" s="64">
        <f t="shared" si="84"/>
        <v>-1.4313677403192606E-2</v>
      </c>
      <c r="S153" s="64">
        <f t="shared" si="85"/>
        <v>-9.4495665044187771E-3</v>
      </c>
      <c r="T153" s="64">
        <f t="shared" si="86"/>
        <v>4.140786749482402E-3</v>
      </c>
      <c r="U153" s="64">
        <f t="shared" si="87"/>
        <v>-1.9999999999999998E-4</v>
      </c>
      <c r="V153" s="65">
        <f t="shared" si="88"/>
        <v>-2.0000000000000018E-3</v>
      </c>
    </row>
    <row r="154" spans="1:24" ht="16.5" customHeight="1">
      <c r="A154" s="181">
        <v>137</v>
      </c>
      <c r="B154" s="150" t="s">
        <v>209</v>
      </c>
      <c r="C154" s="149" t="s">
        <v>113</v>
      </c>
      <c r="D154" s="34">
        <v>1808493920.8863463</v>
      </c>
      <c r="E154" s="35">
        <f t="shared" si="83"/>
        <v>9.7448139775982196E-4</v>
      </c>
      <c r="F154" s="34">
        <v>157153.45686200002</v>
      </c>
      <c r="G154" s="34">
        <v>157153.45686200002</v>
      </c>
      <c r="H154" s="36">
        <v>32</v>
      </c>
      <c r="I154" s="58">
        <v>3.7000000000000002E-3</v>
      </c>
      <c r="J154" s="58">
        <v>5.1499999999999997E-2</v>
      </c>
      <c r="K154" s="34">
        <f>1630963.18137588*W138</f>
        <v>2210637016.4704509</v>
      </c>
      <c r="L154" s="35">
        <f t="shared" si="82"/>
        <v>1.2011246613740419E-3</v>
      </c>
      <c r="M154" s="34">
        <f>113.96*W138</f>
        <v>154463.44667599999</v>
      </c>
      <c r="N154" s="34">
        <f>113.96*W138</f>
        <v>154463.44667599999</v>
      </c>
      <c r="O154" s="36">
        <v>32</v>
      </c>
      <c r="P154" s="58">
        <v>1.4E-3</v>
      </c>
      <c r="Q154" s="58">
        <v>6.1699999999999998E-2</v>
      </c>
      <c r="R154" s="64">
        <f t="shared" si="84"/>
        <v>0.22236353185362848</v>
      </c>
      <c r="S154" s="64">
        <f t="shared" si="85"/>
        <v>-1.711709204311164E-2</v>
      </c>
      <c r="T154" s="64">
        <f t="shared" si="86"/>
        <v>0</v>
      </c>
      <c r="U154" s="64">
        <f t="shared" si="87"/>
        <v>-2.3E-3</v>
      </c>
      <c r="V154" s="65">
        <f t="shared" si="88"/>
        <v>1.0200000000000001E-2</v>
      </c>
    </row>
    <row r="155" spans="1:24" ht="16.5" customHeight="1">
      <c r="A155" s="181">
        <v>138</v>
      </c>
      <c r="B155" s="150" t="s">
        <v>210</v>
      </c>
      <c r="C155" s="149" t="s">
        <v>123</v>
      </c>
      <c r="D155" s="34">
        <v>5729651804.1621284</v>
      </c>
      <c r="E155" s="35">
        <f t="shared" si="83"/>
        <v>3.0873419226427603E-3</v>
      </c>
      <c r="F155" s="34">
        <v>1584.786664</v>
      </c>
      <c r="G155" s="34">
        <v>1584.786664</v>
      </c>
      <c r="H155" s="36">
        <v>53</v>
      </c>
      <c r="I155" s="58">
        <v>1.2699999999999999E-2</v>
      </c>
      <c r="J155" s="58">
        <v>1.9E-3</v>
      </c>
      <c r="K155" s="34">
        <f>4306561.72*W138</f>
        <v>5837191704.0551319</v>
      </c>
      <c r="L155" s="35">
        <f t="shared" si="82"/>
        <v>3.1715722014384828E-3</v>
      </c>
      <c r="M155" s="34">
        <f>1.16*W138</f>
        <v>1572.2849960000001</v>
      </c>
      <c r="N155" s="34">
        <f>1.16*W138</f>
        <v>1572.2849960000001</v>
      </c>
      <c r="O155" s="36">
        <v>55</v>
      </c>
      <c r="P155" s="58">
        <v>4.1999999999999997E-3</v>
      </c>
      <c r="Q155" s="58">
        <v>5.1000000000000004E-3</v>
      </c>
      <c r="R155" s="64">
        <f t="shared" ref="R155" si="104">((K155-D155)/D155)</f>
        <v>1.8769011376028894E-2</v>
      </c>
      <c r="S155" s="64">
        <f t="shared" ref="S155" si="105">((N155-G155)/G155)</f>
        <v>-7.8885494710345949E-3</v>
      </c>
      <c r="T155" s="64">
        <f t="shared" si="86"/>
        <v>3.7735849056603772E-2</v>
      </c>
      <c r="U155" s="64">
        <f t="shared" si="87"/>
        <v>-8.5000000000000006E-3</v>
      </c>
      <c r="V155" s="65">
        <f t="shared" si="88"/>
        <v>3.2000000000000006E-3</v>
      </c>
    </row>
    <row r="156" spans="1:24">
      <c r="A156" s="181">
        <v>139</v>
      </c>
      <c r="B156" s="150" t="s">
        <v>211</v>
      </c>
      <c r="C156" s="149" t="s">
        <v>125</v>
      </c>
      <c r="D156" s="34">
        <v>1706123122.5383599</v>
      </c>
      <c r="E156" s="35">
        <f t="shared" si="83"/>
        <v>9.1932033942734891E-4</v>
      </c>
      <c r="F156" s="34">
        <v>2049.2930999999999</v>
      </c>
      <c r="G156" s="34">
        <v>2049.2930999999999</v>
      </c>
      <c r="H156" s="36">
        <v>128</v>
      </c>
      <c r="I156" s="58">
        <v>8.9999999999999998E-4</v>
      </c>
      <c r="J156" s="58">
        <v>6.7000000000000002E-3</v>
      </c>
      <c r="K156" s="34">
        <f>1313460.69*W138</f>
        <v>1780288392.8644891</v>
      </c>
      <c r="L156" s="35">
        <f>(K156/$K$157)</f>
        <v>9.6729959604206219E-4</v>
      </c>
      <c r="M156" s="34">
        <f>1.5*W138</f>
        <v>2033.1271500000003</v>
      </c>
      <c r="N156" s="34">
        <f>1.5*W138</f>
        <v>2033.1271500000003</v>
      </c>
      <c r="O156" s="36">
        <v>131</v>
      </c>
      <c r="P156" s="58">
        <v>1.4E-3</v>
      </c>
      <c r="Q156" s="58">
        <v>8.3999999999999995E-3</v>
      </c>
      <c r="R156" s="64">
        <f t="shared" si="84"/>
        <v>4.3470057551172829E-2</v>
      </c>
      <c r="S156" s="64">
        <f t="shared" si="85"/>
        <v>-7.8885494710344822E-3</v>
      </c>
      <c r="T156" s="64">
        <f t="shared" si="86"/>
        <v>2.34375E-2</v>
      </c>
      <c r="U156" s="64">
        <f t="shared" si="87"/>
        <v>5.0000000000000001E-4</v>
      </c>
      <c r="V156" s="65">
        <f t="shared" si="88"/>
        <v>1.6999999999999993E-3</v>
      </c>
    </row>
    <row r="157" spans="1:24">
      <c r="A157" s="43"/>
      <c r="B157" s="44"/>
      <c r="C157" s="79" t="s">
        <v>56</v>
      </c>
      <c r="D157" s="67">
        <f>SUM(D119:D156)</f>
        <v>1855852687433.3228</v>
      </c>
      <c r="E157" s="47">
        <f>(D157/$D$233)</f>
        <v>0.22890291799680659</v>
      </c>
      <c r="F157" s="48"/>
      <c r="G157" s="53"/>
      <c r="H157" s="50">
        <f>SUM(H119:H156)</f>
        <v>29789</v>
      </c>
      <c r="I157" s="83"/>
      <c r="J157" s="83"/>
      <c r="K157" s="67">
        <f>SUM(K119:K156)</f>
        <v>1840472590032.0491</v>
      </c>
      <c r="L157" s="47">
        <f>(K157/$K$233)</f>
        <v>0.22509271314490836</v>
      </c>
      <c r="M157" s="48"/>
      <c r="N157" s="53"/>
      <c r="O157" s="50">
        <f>SUM(O119:O156)</f>
        <v>29999</v>
      </c>
      <c r="P157" s="83"/>
      <c r="Q157" s="83"/>
      <c r="R157" s="64">
        <f t="shared" si="84"/>
        <v>-8.2873481852401929E-3</v>
      </c>
      <c r="S157" s="64" t="e">
        <f t="shared" si="85"/>
        <v>#DIV/0!</v>
      </c>
      <c r="T157" s="64">
        <f t="shared" si="86"/>
        <v>7.0495820604921282E-3</v>
      </c>
      <c r="U157" s="64">
        <f t="shared" si="87"/>
        <v>0</v>
      </c>
      <c r="V157" s="65">
        <f t="shared" si="88"/>
        <v>0</v>
      </c>
    </row>
    <row r="158" spans="1:24" ht="6" customHeight="1">
      <c r="A158" s="43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</row>
    <row r="159" spans="1:24">
      <c r="A159" s="191" t="s">
        <v>212</v>
      </c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</row>
    <row r="160" spans="1:24">
      <c r="A160" s="181">
        <v>140</v>
      </c>
      <c r="B160" s="150" t="s">
        <v>213</v>
      </c>
      <c r="C160" s="149" t="s">
        <v>214</v>
      </c>
      <c r="D160" s="80">
        <v>2335577969.9875398</v>
      </c>
      <c r="E160" s="35">
        <f>(D160/$D$166)</f>
        <v>4.6309646102338526E-3</v>
      </c>
      <c r="F160" s="68">
        <v>110.06</v>
      </c>
      <c r="G160" s="68">
        <v>110.06</v>
      </c>
      <c r="H160" s="36">
        <v>8</v>
      </c>
      <c r="I160" s="58">
        <v>3.7000000000000002E-3</v>
      </c>
      <c r="J160" s="58">
        <v>4.7E-2</v>
      </c>
      <c r="K160" s="80">
        <v>2344219608.47649</v>
      </c>
      <c r="L160" s="35">
        <f>(K160/$K$166)</f>
        <v>4.6386152996832309E-3</v>
      </c>
      <c r="M160" s="68">
        <v>110.472177590787</v>
      </c>
      <c r="N160" s="68">
        <v>110.472177590787</v>
      </c>
      <c r="O160" s="36">
        <v>8</v>
      </c>
      <c r="P160" s="58">
        <v>3.7000000000000002E-3</v>
      </c>
      <c r="Q160" s="58">
        <v>5.0799999999999998E-2</v>
      </c>
      <c r="R160" s="64">
        <f t="shared" ref="R160:R166" si="106">((K160-D160)/D160)</f>
        <v>3.6999999999984393E-3</v>
      </c>
      <c r="S160" s="64">
        <f t="shared" ref="S160:T166" si="107">((N160-G160)/G160)</f>
        <v>3.7450262655551155E-3</v>
      </c>
      <c r="T160" s="64">
        <f t="shared" si="107"/>
        <v>0</v>
      </c>
      <c r="U160" s="64">
        <f t="shared" ref="U160:V166" si="108">P160-I160</f>
        <v>0</v>
      </c>
      <c r="V160" s="65">
        <f t="shared" si="108"/>
        <v>3.7999999999999978E-3</v>
      </c>
    </row>
    <row r="161" spans="1:22">
      <c r="A161" s="181">
        <v>141</v>
      </c>
      <c r="B161" s="150" t="s">
        <v>215</v>
      </c>
      <c r="C161" s="149" t="s">
        <v>24</v>
      </c>
      <c r="D161" s="80">
        <v>270854153081.42999</v>
      </c>
      <c r="E161" s="35">
        <v>0</v>
      </c>
      <c r="F161" s="68">
        <v>108.3417</v>
      </c>
      <c r="G161" s="68">
        <v>108.3417</v>
      </c>
      <c r="H161" s="36">
        <v>45</v>
      </c>
      <c r="I161" s="58">
        <v>0.17319999999999999</v>
      </c>
      <c r="J161" s="58">
        <v>2.1999999999999999E-2</v>
      </c>
      <c r="K161" s="80">
        <v>271351349071.54999</v>
      </c>
      <c r="L161" s="35">
        <f t="shared" ref="L161:L165" si="109">(K161/$K$166)</f>
        <v>0.53693541118829013</v>
      </c>
      <c r="M161" s="68">
        <v>108.54049999999999</v>
      </c>
      <c r="N161" s="68">
        <v>108.54049999999999</v>
      </c>
      <c r="O161" s="36">
        <v>45</v>
      </c>
      <c r="P161" s="58">
        <v>9.5699999999999993E-2</v>
      </c>
      <c r="Q161" s="58">
        <v>3.3700000000000001E-2</v>
      </c>
      <c r="R161" s="64">
        <f t="shared" ref="R161" si="110">((K161-D161)/D161)</f>
        <v>1.8356594664085412E-3</v>
      </c>
      <c r="S161" s="64">
        <f t="shared" ref="S161" si="111">((N161-G161)/G161)</f>
        <v>1.8349352096191163E-3</v>
      </c>
      <c r="T161" s="64">
        <f t="shared" ref="T161" si="112">((O161-H161)/H161)</f>
        <v>0</v>
      </c>
      <c r="U161" s="64">
        <f t="shared" ref="U161" si="113">P161-I161</f>
        <v>-7.7499999999999999E-2</v>
      </c>
      <c r="V161" s="65">
        <f t="shared" ref="V161" si="114">Q161-J161</f>
        <v>1.1700000000000002E-2</v>
      </c>
    </row>
    <row r="162" spans="1:22">
      <c r="A162" s="181">
        <v>142</v>
      </c>
      <c r="B162" s="150" t="s">
        <v>216</v>
      </c>
      <c r="C162" s="149" t="s">
        <v>48</v>
      </c>
      <c r="D162" s="40">
        <v>163627573866</v>
      </c>
      <c r="E162" s="35">
        <f>(D162/$D$166)</f>
        <v>0.32443939511722414</v>
      </c>
      <c r="F162" s="68">
        <v>103</v>
      </c>
      <c r="G162" s="68">
        <v>103</v>
      </c>
      <c r="H162" s="36">
        <v>851</v>
      </c>
      <c r="I162" s="58">
        <v>9.4E-2</v>
      </c>
      <c r="J162" s="58">
        <v>9.4E-2</v>
      </c>
      <c r="K162" s="40">
        <v>163627573866</v>
      </c>
      <c r="L162" s="35">
        <f t="shared" si="109"/>
        <v>0.32377741609206728</v>
      </c>
      <c r="M162" s="68">
        <v>103</v>
      </c>
      <c r="N162" s="68">
        <v>103</v>
      </c>
      <c r="O162" s="36">
        <v>851</v>
      </c>
      <c r="P162" s="58">
        <v>9.4E-2</v>
      </c>
      <c r="Q162" s="58">
        <v>9.4E-2</v>
      </c>
      <c r="R162" s="64">
        <f t="shared" si="106"/>
        <v>0</v>
      </c>
      <c r="S162" s="64">
        <f t="shared" si="107"/>
        <v>0</v>
      </c>
      <c r="T162" s="64">
        <f t="shared" si="107"/>
        <v>0</v>
      </c>
      <c r="U162" s="64">
        <f t="shared" si="108"/>
        <v>0</v>
      </c>
      <c r="V162" s="65">
        <f t="shared" si="108"/>
        <v>0</v>
      </c>
    </row>
    <row r="163" spans="1:22" ht="15.75" customHeight="1">
      <c r="A163" s="181">
        <v>143</v>
      </c>
      <c r="B163" s="150" t="s">
        <v>218</v>
      </c>
      <c r="C163" s="149" t="s">
        <v>161</v>
      </c>
      <c r="D163" s="40">
        <v>6497223046.6890097</v>
      </c>
      <c r="E163" s="35">
        <f>(D163/$D$166)</f>
        <v>1.2882639920675865E-2</v>
      </c>
      <c r="F163" s="68">
        <v>418.75</v>
      </c>
      <c r="G163" s="68">
        <v>418.75</v>
      </c>
      <c r="H163" s="36">
        <v>4897</v>
      </c>
      <c r="I163" s="58">
        <v>3.1899999999999998E-2</v>
      </c>
      <c r="J163" s="58">
        <v>0.16769999999999999</v>
      </c>
      <c r="K163" s="40">
        <v>6501645851.86691</v>
      </c>
      <c r="L163" s="35">
        <f t="shared" si="109"/>
        <v>1.286510607305771E-2</v>
      </c>
      <c r="M163" s="68">
        <v>418.75</v>
      </c>
      <c r="N163" s="68">
        <v>418.75</v>
      </c>
      <c r="O163" s="36">
        <v>4897</v>
      </c>
      <c r="P163" s="58">
        <v>4.6600000000000003E-2</v>
      </c>
      <c r="Q163" s="58">
        <v>0.1424</v>
      </c>
      <c r="R163" s="64">
        <f t="shared" si="106"/>
        <v>6.8072238649005278E-4</v>
      </c>
      <c r="S163" s="64">
        <f t="shared" si="107"/>
        <v>0</v>
      </c>
      <c r="T163" s="64">
        <f t="shared" si="107"/>
        <v>0</v>
      </c>
      <c r="U163" s="64">
        <f t="shared" si="108"/>
        <v>1.4700000000000005E-2</v>
      </c>
      <c r="V163" s="65">
        <f t="shared" si="108"/>
        <v>-2.5299999999999989E-2</v>
      </c>
    </row>
    <row r="164" spans="1:22">
      <c r="A164" s="181">
        <v>144</v>
      </c>
      <c r="B164" s="150" t="s">
        <v>217</v>
      </c>
      <c r="C164" s="149" t="s">
        <v>161</v>
      </c>
      <c r="D164" s="40">
        <v>27921796580.959999</v>
      </c>
      <c r="E164" s="35">
        <f>(D164/$D$166)</f>
        <v>5.5363106469643653E-2</v>
      </c>
      <c r="F164" s="68">
        <v>69.25</v>
      </c>
      <c r="G164" s="68">
        <v>69.25</v>
      </c>
      <c r="H164" s="36">
        <v>6424</v>
      </c>
      <c r="I164" s="58">
        <v>0</v>
      </c>
      <c r="J164" s="58">
        <v>3.3500000000000002E-2</v>
      </c>
      <c r="K164" s="40">
        <v>27934879746.029999</v>
      </c>
      <c r="L164" s="35">
        <f t="shared" si="109"/>
        <v>5.527603306285777E-2</v>
      </c>
      <c r="M164" s="68">
        <v>69.25</v>
      </c>
      <c r="N164" s="68">
        <v>69.25</v>
      </c>
      <c r="O164" s="36">
        <v>6424</v>
      </c>
      <c r="P164" s="58">
        <v>2.3800000000000002E-2</v>
      </c>
      <c r="Q164" s="58">
        <v>3.3599999999999998E-2</v>
      </c>
      <c r="R164" s="64">
        <f t="shared" si="106"/>
        <v>4.685645865252512E-4</v>
      </c>
      <c r="S164" s="64">
        <f t="shared" si="107"/>
        <v>0</v>
      </c>
      <c r="T164" s="64">
        <f t="shared" si="107"/>
        <v>0</v>
      </c>
      <c r="U164" s="64">
        <f t="shared" si="108"/>
        <v>2.3800000000000002E-2</v>
      </c>
      <c r="V164" s="65">
        <f t="shared" si="108"/>
        <v>9.9999999999995925E-5</v>
      </c>
    </row>
    <row r="165" spans="1:22">
      <c r="A165" s="181">
        <v>145</v>
      </c>
      <c r="B165" s="150" t="s">
        <v>325</v>
      </c>
      <c r="C165" s="149" t="s">
        <v>161</v>
      </c>
      <c r="D165" s="40">
        <v>33103087772.23</v>
      </c>
      <c r="E165" s="35">
        <f>(D165/$D$166)</f>
        <v>6.563652763152239E-2</v>
      </c>
      <c r="F165" s="68">
        <v>7.9</v>
      </c>
      <c r="G165" s="68">
        <v>7.9</v>
      </c>
      <c r="H165" s="36">
        <v>211092</v>
      </c>
      <c r="I165" s="58">
        <v>0</v>
      </c>
      <c r="J165" s="58">
        <v>0</v>
      </c>
      <c r="K165" s="40">
        <v>33610891177.212002</v>
      </c>
      <c r="L165" s="35">
        <f t="shared" si="109"/>
        <v>6.6507418284043968E-2</v>
      </c>
      <c r="M165" s="68">
        <v>8</v>
      </c>
      <c r="N165" s="68">
        <v>8</v>
      </c>
      <c r="O165" s="36">
        <v>211092</v>
      </c>
      <c r="P165" s="58">
        <v>0</v>
      </c>
      <c r="Q165" s="58">
        <v>0</v>
      </c>
      <c r="R165" s="64">
        <f t="shared" si="106"/>
        <v>1.5340061582049629E-2</v>
      </c>
      <c r="S165" s="64">
        <f t="shared" si="107"/>
        <v>1.2658227848101221E-2</v>
      </c>
      <c r="T165" s="64">
        <f t="shared" si="107"/>
        <v>0</v>
      </c>
      <c r="U165" s="64">
        <f t="shared" si="108"/>
        <v>0</v>
      </c>
      <c r="V165" s="65">
        <f t="shared" si="108"/>
        <v>0</v>
      </c>
    </row>
    <row r="166" spans="1:22">
      <c r="A166" s="43"/>
      <c r="B166" s="81"/>
      <c r="C166" s="45" t="s">
        <v>56</v>
      </c>
      <c r="D166" s="46">
        <f>SUM(D160:D165)</f>
        <v>504339412317.29657</v>
      </c>
      <c r="E166" s="47">
        <f>(D166/$D$233)</f>
        <v>6.2205779543787997E-2</v>
      </c>
      <c r="F166" s="48"/>
      <c r="G166" s="82"/>
      <c r="H166" s="50">
        <f>SUM(H160:H165)</f>
        <v>223317</v>
      </c>
      <c r="I166" s="84"/>
      <c r="J166" s="84"/>
      <c r="K166" s="46">
        <f>SUM(K160:K165)</f>
        <v>505370559321.13531</v>
      </c>
      <c r="L166" s="47">
        <f>(K166/$K$233)</f>
        <v>6.1807619932646392E-2</v>
      </c>
      <c r="M166" s="48"/>
      <c r="N166" s="82"/>
      <c r="O166" s="50">
        <f>SUM(O160:O165)</f>
        <v>223317</v>
      </c>
      <c r="P166" s="84"/>
      <c r="Q166" s="84"/>
      <c r="R166" s="64">
        <f t="shared" si="106"/>
        <v>2.0445497192077794E-3</v>
      </c>
      <c r="S166" s="64" t="e">
        <f t="shared" si="107"/>
        <v>#DIV/0!</v>
      </c>
      <c r="T166" s="64">
        <f t="shared" si="107"/>
        <v>0</v>
      </c>
      <c r="U166" s="64">
        <f t="shared" si="108"/>
        <v>0</v>
      </c>
      <c r="V166" s="65">
        <f t="shared" si="108"/>
        <v>0</v>
      </c>
    </row>
    <row r="167" spans="1:22" ht="5.25" customHeight="1">
      <c r="A167" s="43"/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</row>
    <row r="168" spans="1:22" ht="15" customHeight="1">
      <c r="A168" s="191" t="s">
        <v>219</v>
      </c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</row>
    <row r="169" spans="1:22">
      <c r="A169" s="183">
        <v>146</v>
      </c>
      <c r="B169" s="150" t="s">
        <v>220</v>
      </c>
      <c r="C169" s="149" t="s">
        <v>60</v>
      </c>
      <c r="D169" s="34">
        <v>676441347.40999997</v>
      </c>
      <c r="E169" s="35">
        <f t="shared" ref="E169:E197" si="115">(D169/$D$198)</f>
        <v>6.9447567387297699E-3</v>
      </c>
      <c r="F169" s="34">
        <v>8.32</v>
      </c>
      <c r="G169" s="34">
        <v>8.44</v>
      </c>
      <c r="H169" s="38">
        <v>11953</v>
      </c>
      <c r="I169" s="59">
        <v>2.155E-2</v>
      </c>
      <c r="J169" s="59">
        <v>6.0879999999999997E-2</v>
      </c>
      <c r="K169" s="34">
        <v>728097863.41999996</v>
      </c>
      <c r="L169" s="62">
        <f t="shared" ref="L169:L197" si="116">(K169/$K$198)</f>
        <v>6.9889206519730832E-3</v>
      </c>
      <c r="M169" s="34">
        <v>8.4600000000000009</v>
      </c>
      <c r="N169" s="34">
        <v>8.58</v>
      </c>
      <c r="O169" s="38">
        <v>11956</v>
      </c>
      <c r="P169" s="59">
        <v>1.7329000000000001E-2</v>
      </c>
      <c r="Q169" s="59">
        <v>7.8209000000000001E-2</v>
      </c>
      <c r="R169" s="64">
        <f>((K169-D169)/D169)</f>
        <v>7.6365107200773011E-2</v>
      </c>
      <c r="S169" s="64">
        <f>((N169-G169)/G169)</f>
        <v>1.6587677725118551E-2</v>
      </c>
      <c r="T169" s="64">
        <f>((O169-H169)/H169)</f>
        <v>2.509830168158621E-4</v>
      </c>
      <c r="U169" s="64">
        <f>P169-I169</f>
        <v>-4.2209999999999991E-3</v>
      </c>
      <c r="V169" s="65">
        <f>Q169-J169</f>
        <v>1.7329000000000004E-2</v>
      </c>
    </row>
    <row r="170" spans="1:22">
      <c r="A170" s="183">
        <v>147</v>
      </c>
      <c r="B170" s="150" t="s">
        <v>221</v>
      </c>
      <c r="C170" s="150" t="s">
        <v>222</v>
      </c>
      <c r="D170" s="34">
        <v>1709186540.2</v>
      </c>
      <c r="E170" s="35">
        <f t="shared" si="115"/>
        <v>1.7547544644111884E-2</v>
      </c>
      <c r="F170" s="34">
        <v>2362.2600000000002</v>
      </c>
      <c r="G170" s="34">
        <v>2386</v>
      </c>
      <c r="H170" s="38">
        <v>209</v>
      </c>
      <c r="I170" s="59">
        <v>2.4199999999999999E-2</v>
      </c>
      <c r="J170" s="59">
        <v>7.7399999999999997E-2</v>
      </c>
      <c r="K170" s="34">
        <v>1939304561.5202899</v>
      </c>
      <c r="L170" s="62">
        <f t="shared" si="116"/>
        <v>1.8615142800736936E-2</v>
      </c>
      <c r="M170" s="34">
        <v>2604</v>
      </c>
      <c r="N170" s="34">
        <v>2630.56</v>
      </c>
      <c r="O170" s="38">
        <v>218</v>
      </c>
      <c r="P170" s="59">
        <v>0.1024</v>
      </c>
      <c r="Q170" s="59">
        <v>0.18770000000000001</v>
      </c>
      <c r="R170" s="64">
        <f>((K170-D170)/D170)</f>
        <v>0.13463598964064077</v>
      </c>
      <c r="S170" s="64">
        <f>((N170-G170)/G170)</f>
        <v>0.10249790444258171</v>
      </c>
      <c r="T170" s="64">
        <f>((O170-H170)/H170)</f>
        <v>4.3062200956937802E-2</v>
      </c>
      <c r="U170" s="64">
        <f>P170-I170</f>
        <v>7.8200000000000006E-2</v>
      </c>
      <c r="V170" s="65">
        <f>Q170-J170</f>
        <v>0.11030000000000001</v>
      </c>
    </row>
    <row r="171" spans="1:22">
      <c r="A171" s="183">
        <v>148</v>
      </c>
      <c r="B171" s="150" t="s">
        <v>223</v>
      </c>
      <c r="C171" s="149" t="s">
        <v>24</v>
      </c>
      <c r="D171" s="34">
        <v>11165416914.41</v>
      </c>
      <c r="E171" s="35">
        <f t="shared" si="115"/>
        <v>0.1146309353412093</v>
      </c>
      <c r="F171" s="34">
        <v>1115.4911</v>
      </c>
      <c r="G171" s="34">
        <v>1149.124</v>
      </c>
      <c r="H171" s="38">
        <v>22495</v>
      </c>
      <c r="I171" s="59">
        <v>1.1271</v>
      </c>
      <c r="J171" s="59">
        <v>0.56469999999999998</v>
      </c>
      <c r="K171" s="34">
        <v>11613540062.690001</v>
      </c>
      <c r="L171" s="62">
        <f t="shared" si="116"/>
        <v>0.11147692372753279</v>
      </c>
      <c r="M171" s="34">
        <v>1155.9473</v>
      </c>
      <c r="N171" s="34">
        <v>1190.8</v>
      </c>
      <c r="O171" s="38">
        <v>22523</v>
      </c>
      <c r="P171" s="59">
        <v>1.8911</v>
      </c>
      <c r="Q171" s="59">
        <v>0.79290000000000005</v>
      </c>
      <c r="R171" s="64">
        <f t="shared" ref="R171:R197" si="117">((K171-D171)/D171)</f>
        <v>4.0134923014084362E-2</v>
      </c>
      <c r="S171" s="64">
        <f t="shared" ref="S171:T197" si="118">((N171-G171)/G171)</f>
        <v>3.6267626470250322E-2</v>
      </c>
      <c r="T171" s="64">
        <f t="shared" si="118"/>
        <v>1.244721049122027E-3</v>
      </c>
      <c r="U171" s="64">
        <f t="shared" ref="U171:V197" si="119">P171-I171</f>
        <v>0.76400000000000001</v>
      </c>
      <c r="V171" s="65">
        <f t="shared" si="119"/>
        <v>0.22820000000000007</v>
      </c>
    </row>
    <row r="172" spans="1:22">
      <c r="A172" s="183">
        <v>149</v>
      </c>
      <c r="B172" s="150" t="s">
        <v>224</v>
      </c>
      <c r="C172" s="149" t="s">
        <v>127</v>
      </c>
      <c r="D172" s="34">
        <v>6386294206.6899996</v>
      </c>
      <c r="E172" s="35">
        <f t="shared" si="115"/>
        <v>6.5565565879785556E-2</v>
      </c>
      <c r="F172" s="34">
        <v>36.827399999999997</v>
      </c>
      <c r="G172" s="34">
        <v>37.281100000000002</v>
      </c>
      <c r="H172" s="36">
        <v>6220</v>
      </c>
      <c r="I172" s="58">
        <v>6.1000000000000004E-3</v>
      </c>
      <c r="J172" s="58">
        <v>7.6399999999999996E-2</v>
      </c>
      <c r="K172" s="34">
        <v>6885321491.79</v>
      </c>
      <c r="L172" s="62">
        <f t="shared" si="116"/>
        <v>6.6091342918399534E-2</v>
      </c>
      <c r="M172" s="34">
        <v>38.444699999999997</v>
      </c>
      <c r="N172" s="34">
        <v>38.931199999999997</v>
      </c>
      <c r="O172" s="36">
        <v>6223</v>
      </c>
      <c r="P172" s="58">
        <v>8.1299999999999997E-2</v>
      </c>
      <c r="Q172" s="58">
        <v>0.13339999999999999</v>
      </c>
      <c r="R172" s="64">
        <f t="shared" si="117"/>
        <v>7.8140353223508152E-2</v>
      </c>
      <c r="S172" s="64">
        <f t="shared" si="118"/>
        <v>4.4261033070376002E-2</v>
      </c>
      <c r="T172" s="64">
        <f t="shared" si="118"/>
        <v>4.8231511254019291E-4</v>
      </c>
      <c r="U172" s="64">
        <f t="shared" si="119"/>
        <v>7.5200000000000003E-2</v>
      </c>
      <c r="V172" s="65">
        <f t="shared" si="119"/>
        <v>5.6999999999999995E-2</v>
      </c>
    </row>
    <row r="173" spans="1:22">
      <c r="A173" s="183">
        <v>150</v>
      </c>
      <c r="B173" s="150" t="s">
        <v>225</v>
      </c>
      <c r="C173" s="149" t="s">
        <v>135</v>
      </c>
      <c r="D173" s="40">
        <v>2760674767.5999999</v>
      </c>
      <c r="E173" s="35">
        <f t="shared" si="115"/>
        <v>2.8342759899493267E-2</v>
      </c>
      <c r="F173" s="34">
        <v>6.5839999999999996</v>
      </c>
      <c r="G173" s="34">
        <v>6.7427999999999999</v>
      </c>
      <c r="H173" s="36">
        <v>2736</v>
      </c>
      <c r="I173" s="58">
        <v>1.7537</v>
      </c>
      <c r="J173" s="58">
        <v>0.96089999999999998</v>
      </c>
      <c r="K173" s="40">
        <v>2890609495.4899998</v>
      </c>
      <c r="L173" s="62">
        <f t="shared" si="116"/>
        <v>2.7746600305797058E-2</v>
      </c>
      <c r="M173" s="34">
        <v>6.8912000000000004</v>
      </c>
      <c r="N173" s="34">
        <v>7.0629</v>
      </c>
      <c r="O173" s="36">
        <v>2736</v>
      </c>
      <c r="P173" s="58">
        <v>2.4754</v>
      </c>
      <c r="Q173" s="58">
        <v>1.2402</v>
      </c>
      <c r="R173" s="64">
        <f t="shared" si="117"/>
        <v>4.7066293145048364E-2</v>
      </c>
      <c r="S173" s="64">
        <f t="shared" si="118"/>
        <v>4.7472859939491019E-2</v>
      </c>
      <c r="T173" s="64">
        <f t="shared" si="118"/>
        <v>0</v>
      </c>
      <c r="U173" s="64">
        <f t="shared" si="119"/>
        <v>0.72170000000000001</v>
      </c>
      <c r="V173" s="65">
        <f t="shared" si="119"/>
        <v>0.27929999999999999</v>
      </c>
    </row>
    <row r="174" spans="1:22">
      <c r="A174" s="183">
        <v>151</v>
      </c>
      <c r="B174" s="150" t="s">
        <v>226</v>
      </c>
      <c r="C174" s="149" t="s">
        <v>28</v>
      </c>
      <c r="D174" s="40">
        <v>1326635199.51</v>
      </c>
      <c r="E174" s="35">
        <f t="shared" si="115"/>
        <v>1.3620040786845884E-2</v>
      </c>
      <c r="F174" s="34">
        <v>1.3579000000000001</v>
      </c>
      <c r="G174" s="34">
        <v>1.3695999999999999</v>
      </c>
      <c r="H174" s="36">
        <v>261</v>
      </c>
      <c r="I174" s="58">
        <v>3.3500000000000002E-2</v>
      </c>
      <c r="J174" s="58">
        <v>9.2399999999999996E-2</v>
      </c>
      <c r="K174" s="40">
        <v>1410127229.9300001</v>
      </c>
      <c r="L174" s="62">
        <f t="shared" si="116"/>
        <v>1.3535635543380805E-2</v>
      </c>
      <c r="M174" s="34">
        <v>1.4266000000000001</v>
      </c>
      <c r="N174" s="34">
        <v>1.4391</v>
      </c>
      <c r="O174" s="36">
        <v>267</v>
      </c>
      <c r="P174" s="58">
        <v>5.0700000000000002E-2</v>
      </c>
      <c r="Q174" s="58">
        <v>0.1477</v>
      </c>
      <c r="R174" s="64">
        <f t="shared" ref="R174" si="120">((K174-D174)/D174)</f>
        <v>6.2935184028614893E-2</v>
      </c>
      <c r="S174" s="64">
        <f t="shared" ref="S174" si="121">((N174-G174)/G174)</f>
        <v>5.0744742990654297E-2</v>
      </c>
      <c r="T174" s="64">
        <f t="shared" ref="T174" si="122">((O174-H174)/H174)</f>
        <v>2.2988505747126436E-2</v>
      </c>
      <c r="U174" s="64">
        <f t="shared" ref="U174" si="123">P174-I174</f>
        <v>1.72E-2</v>
      </c>
      <c r="V174" s="65">
        <f t="shared" ref="V174" si="124">Q174-J174</f>
        <v>5.5300000000000002E-2</v>
      </c>
    </row>
    <row r="175" spans="1:22">
      <c r="A175" s="183">
        <v>152</v>
      </c>
      <c r="B175" s="150" t="s">
        <v>227</v>
      </c>
      <c r="C175" s="149" t="s">
        <v>71</v>
      </c>
      <c r="D175" s="34">
        <v>7369901037.4063797</v>
      </c>
      <c r="E175" s="35">
        <f t="shared" si="115"/>
        <v>7.5663869586430371E-2</v>
      </c>
      <c r="F175" s="34">
        <v>12098.792700640701</v>
      </c>
      <c r="G175" s="34">
        <v>12188.8958430567</v>
      </c>
      <c r="H175" s="36">
        <v>1439</v>
      </c>
      <c r="I175" s="58">
        <v>1.3167</v>
      </c>
      <c r="J175" s="58">
        <v>0.82199999999999995</v>
      </c>
      <c r="K175" s="34">
        <v>7919871746.11728</v>
      </c>
      <c r="L175" s="62">
        <f t="shared" si="116"/>
        <v>7.6021861879146876E-2</v>
      </c>
      <c r="M175" s="34">
        <v>12676.8049059725</v>
      </c>
      <c r="N175" s="34">
        <v>12773.9718880989</v>
      </c>
      <c r="O175" s="36">
        <v>1465</v>
      </c>
      <c r="P175" s="58">
        <v>2.4910999999999999</v>
      </c>
      <c r="Q175" s="58">
        <v>1.1206</v>
      </c>
      <c r="R175" s="64">
        <f t="shared" si="117"/>
        <v>7.4623893308674111E-2</v>
      </c>
      <c r="S175" s="64">
        <f t="shared" si="118"/>
        <v>4.8000742034027953E-2</v>
      </c>
      <c r="T175" s="64">
        <f t="shared" si="118"/>
        <v>1.8068102849200834E-2</v>
      </c>
      <c r="U175" s="64">
        <f t="shared" si="119"/>
        <v>1.1743999999999999</v>
      </c>
      <c r="V175" s="65">
        <f t="shared" si="119"/>
        <v>0.29860000000000009</v>
      </c>
    </row>
    <row r="176" spans="1:22">
      <c r="A176" s="183">
        <v>153</v>
      </c>
      <c r="B176" s="150" t="s">
        <v>228</v>
      </c>
      <c r="C176" s="149" t="s">
        <v>73</v>
      </c>
      <c r="D176" s="34">
        <v>1429171627.55</v>
      </c>
      <c r="E176" s="35">
        <f t="shared" si="115"/>
        <v>1.4672741885503684E-2</v>
      </c>
      <c r="F176" s="34">
        <v>249.02</v>
      </c>
      <c r="G176" s="34">
        <v>250.93</v>
      </c>
      <c r="H176" s="36">
        <v>508</v>
      </c>
      <c r="I176" s="58">
        <v>1.8499999999999999E-2</v>
      </c>
      <c r="J176" s="58">
        <v>7.8399999999999997E-2</v>
      </c>
      <c r="K176" s="34">
        <v>1512314013.52</v>
      </c>
      <c r="L176" s="62">
        <f t="shared" si="116"/>
        <v>1.4516513744061481E-2</v>
      </c>
      <c r="M176" s="34">
        <v>262.14999999999998</v>
      </c>
      <c r="N176" s="34">
        <v>264.25</v>
      </c>
      <c r="O176" s="36">
        <v>508</v>
      </c>
      <c r="P176" s="58">
        <v>5.2900000000000003E-2</v>
      </c>
      <c r="Q176" s="58">
        <v>0.13539999999999999</v>
      </c>
      <c r="R176" s="64">
        <f t="shared" si="117"/>
        <v>5.8175228480101683E-2</v>
      </c>
      <c r="S176" s="64">
        <f t="shared" si="118"/>
        <v>5.3082532977324327E-2</v>
      </c>
      <c r="T176" s="64">
        <f t="shared" si="118"/>
        <v>0</v>
      </c>
      <c r="U176" s="64">
        <f t="shared" si="119"/>
        <v>3.44E-2</v>
      </c>
      <c r="V176" s="65">
        <f t="shared" si="119"/>
        <v>5.6999999999999995E-2</v>
      </c>
    </row>
    <row r="177" spans="1:22">
      <c r="A177" s="183">
        <v>154</v>
      </c>
      <c r="B177" s="150" t="s">
        <v>229</v>
      </c>
      <c r="C177" s="149" t="s">
        <v>230</v>
      </c>
      <c r="D177" s="34">
        <v>1490535878.0699999</v>
      </c>
      <c r="E177" s="35">
        <f t="shared" si="115"/>
        <v>1.5302744462885416E-2</v>
      </c>
      <c r="F177" s="34">
        <v>2.3083</v>
      </c>
      <c r="G177" s="34">
        <v>2.3262999999999998</v>
      </c>
      <c r="H177" s="36">
        <v>4172</v>
      </c>
      <c r="I177" s="58">
        <v>3.3599999999999998E-2</v>
      </c>
      <c r="J177" s="58">
        <v>0.57679999999999998</v>
      </c>
      <c r="K177" s="34">
        <v>3739509037.2199998</v>
      </c>
      <c r="L177" s="62">
        <f t="shared" si="116"/>
        <v>3.5895081212991974E-2</v>
      </c>
      <c r="M177" s="34">
        <v>2.4009</v>
      </c>
      <c r="N177" s="34">
        <v>2.4470999999999998</v>
      </c>
      <c r="O177" s="36">
        <v>4208</v>
      </c>
      <c r="P177" s="58">
        <v>4.0099999999999997E-2</v>
      </c>
      <c r="Q177" s="58">
        <v>0.6401</v>
      </c>
      <c r="R177" s="64">
        <f t="shared" si="117"/>
        <v>1.5088353069783547</v>
      </c>
      <c r="S177" s="64">
        <f t="shared" si="118"/>
        <v>5.1927954262133015E-2</v>
      </c>
      <c r="T177" s="64">
        <f t="shared" si="118"/>
        <v>8.6289549376797701E-3</v>
      </c>
      <c r="U177" s="64">
        <f t="shared" si="119"/>
        <v>6.4999999999999988E-3</v>
      </c>
      <c r="V177" s="65">
        <f t="shared" si="119"/>
        <v>6.3300000000000023E-2</v>
      </c>
    </row>
    <row r="178" spans="1:22">
      <c r="A178" s="183">
        <v>155</v>
      </c>
      <c r="B178" s="150" t="s">
        <v>231</v>
      </c>
      <c r="C178" s="149" t="s">
        <v>30</v>
      </c>
      <c r="D178" s="52">
        <v>505021318.47000003</v>
      </c>
      <c r="E178" s="35">
        <f t="shared" si="115"/>
        <v>5.1848548555990847E-3</v>
      </c>
      <c r="F178" s="34">
        <v>225.00980000000001</v>
      </c>
      <c r="G178" s="34">
        <v>225.63409999999999</v>
      </c>
      <c r="H178" s="36">
        <v>165</v>
      </c>
      <c r="I178" s="58">
        <v>4.058E-3</v>
      </c>
      <c r="J178" s="58">
        <v>6.6100000000000006E-2</v>
      </c>
      <c r="K178" s="52">
        <v>607930604.75</v>
      </c>
      <c r="L178" s="62">
        <f t="shared" si="116"/>
        <v>5.8354501118112355E-3</v>
      </c>
      <c r="M178" s="34">
        <v>231.6936</v>
      </c>
      <c r="N178" s="34">
        <v>232.6591</v>
      </c>
      <c r="O178" s="36">
        <v>175</v>
      </c>
      <c r="P178" s="58">
        <v>9.0670000000000004E-3</v>
      </c>
      <c r="Q178" s="58">
        <v>0.10580000000000001</v>
      </c>
      <c r="R178" s="64">
        <f t="shared" si="117"/>
        <v>0.20377216271141063</v>
      </c>
      <c r="S178" s="64">
        <f t="shared" si="118"/>
        <v>3.1134478343477365E-2</v>
      </c>
      <c r="T178" s="64">
        <f t="shared" si="118"/>
        <v>6.0606060606060608E-2</v>
      </c>
      <c r="U178" s="64">
        <f t="shared" si="119"/>
        <v>5.0090000000000004E-3</v>
      </c>
      <c r="V178" s="65">
        <f t="shared" si="119"/>
        <v>3.9699999999999999E-2</v>
      </c>
    </row>
    <row r="179" spans="1:22">
      <c r="A179" s="183">
        <v>156</v>
      </c>
      <c r="B179" s="150" t="s">
        <v>232</v>
      </c>
      <c r="C179" s="149" t="s">
        <v>79</v>
      </c>
      <c r="D179" s="52">
        <v>876817362.74000001</v>
      </c>
      <c r="E179" s="35">
        <f t="shared" si="115"/>
        <v>9.0019383230178062E-3</v>
      </c>
      <c r="F179" s="34">
        <v>177.6</v>
      </c>
      <c r="G179" s="34">
        <v>177.91</v>
      </c>
      <c r="H179" s="36">
        <v>53</v>
      </c>
      <c r="I179" s="58">
        <v>1.37E-2</v>
      </c>
      <c r="J179" s="58">
        <v>4.6399999999999997E-2</v>
      </c>
      <c r="K179" s="52">
        <v>894686871.10000002</v>
      </c>
      <c r="L179" s="62">
        <f t="shared" si="116"/>
        <v>8.5879877755842497E-3</v>
      </c>
      <c r="M179" s="34">
        <v>180.97</v>
      </c>
      <c r="N179" s="34">
        <v>181.36</v>
      </c>
      <c r="O179" s="36">
        <v>53</v>
      </c>
      <c r="P179" s="58">
        <v>0.02</v>
      </c>
      <c r="Q179" s="58">
        <v>6.6500000000000004E-2</v>
      </c>
      <c r="R179" s="64">
        <f t="shared" si="117"/>
        <v>2.0379966363985889E-2</v>
      </c>
      <c r="S179" s="64">
        <f t="shared" si="118"/>
        <v>1.939182732842458E-2</v>
      </c>
      <c r="T179" s="64">
        <f t="shared" si="118"/>
        <v>0</v>
      </c>
      <c r="U179" s="64">
        <f t="shared" si="119"/>
        <v>6.3E-3</v>
      </c>
      <c r="V179" s="65">
        <f t="shared" si="119"/>
        <v>2.0100000000000007E-2</v>
      </c>
    </row>
    <row r="180" spans="1:22" ht="15.75" customHeight="1">
      <c r="A180" s="183">
        <v>157</v>
      </c>
      <c r="B180" s="150" t="s">
        <v>233</v>
      </c>
      <c r="C180" s="149" t="s">
        <v>82</v>
      </c>
      <c r="D180" s="40">
        <v>629345885.38</v>
      </c>
      <c r="E180" s="35">
        <f t="shared" si="115"/>
        <v>6.4612461896648337E-3</v>
      </c>
      <c r="F180" s="34">
        <v>2.0099999999999998</v>
      </c>
      <c r="G180" s="34">
        <v>2.04</v>
      </c>
      <c r="H180" s="36">
        <v>128</v>
      </c>
      <c r="I180" s="58">
        <v>6.8000000000000005E-2</v>
      </c>
      <c r="J180" s="58">
        <v>6.7900000000000002E-2</v>
      </c>
      <c r="K180" s="40">
        <v>676635386.72000003</v>
      </c>
      <c r="L180" s="62">
        <f t="shared" si="116"/>
        <v>6.4949387516267543E-3</v>
      </c>
      <c r="M180" s="34">
        <v>2.1469999999999998</v>
      </c>
      <c r="N180" s="34">
        <v>2.1720999999999999</v>
      </c>
      <c r="O180" s="36">
        <v>132</v>
      </c>
      <c r="P180" s="58">
        <v>6.8000000000000005E-2</v>
      </c>
      <c r="Q180" s="58">
        <v>0.15060000000000001</v>
      </c>
      <c r="R180" s="64">
        <f t="shared" si="117"/>
        <v>7.5140717431475004E-2</v>
      </c>
      <c r="S180" s="64">
        <f t="shared" si="118"/>
        <v>6.4754901960784261E-2</v>
      </c>
      <c r="T180" s="64">
        <f t="shared" si="118"/>
        <v>3.125E-2</v>
      </c>
      <c r="U180" s="64">
        <f t="shared" si="119"/>
        <v>0</v>
      </c>
      <c r="V180" s="65">
        <f t="shared" si="119"/>
        <v>8.270000000000001E-2</v>
      </c>
    </row>
    <row r="181" spans="1:22">
      <c r="A181" s="183">
        <v>158</v>
      </c>
      <c r="B181" s="150" t="s">
        <v>234</v>
      </c>
      <c r="C181" s="149" t="s">
        <v>32</v>
      </c>
      <c r="D181" s="34">
        <v>15311155337.950001</v>
      </c>
      <c r="E181" s="35">
        <f t="shared" si="115"/>
        <v>0.15719359796395943</v>
      </c>
      <c r="F181" s="34">
        <v>466.33</v>
      </c>
      <c r="G181" s="34">
        <v>471.01</v>
      </c>
      <c r="H181" s="36">
        <v>5568</v>
      </c>
      <c r="I181" s="58">
        <v>3.0300000000000001E-2</v>
      </c>
      <c r="J181" s="58">
        <v>8.8800000000000004E-2</v>
      </c>
      <c r="K181" s="34">
        <v>14813541863.83</v>
      </c>
      <c r="L181" s="62">
        <f t="shared" si="116"/>
        <v>0.1421933422173334</v>
      </c>
      <c r="M181" s="34">
        <v>490.98</v>
      </c>
      <c r="N181" s="34">
        <v>495.93</v>
      </c>
      <c r="O181" s="36">
        <v>5146</v>
      </c>
      <c r="P181" s="58">
        <v>-5.0200000000000002E-2</v>
      </c>
      <c r="Q181" s="58">
        <v>0.14630000000000001</v>
      </c>
      <c r="R181" s="64">
        <f t="shared" si="117"/>
        <v>-3.250006045504767E-2</v>
      </c>
      <c r="S181" s="64">
        <f t="shared" si="118"/>
        <v>5.2907581580008953E-2</v>
      </c>
      <c r="T181" s="64">
        <f t="shared" si="118"/>
        <v>-7.5790229885057472E-2</v>
      </c>
      <c r="U181" s="64">
        <f t="shared" si="119"/>
        <v>-8.0500000000000002E-2</v>
      </c>
      <c r="V181" s="65">
        <f t="shared" si="119"/>
        <v>5.7500000000000009E-2</v>
      </c>
    </row>
    <row r="182" spans="1:22">
      <c r="A182" s="183">
        <v>159</v>
      </c>
      <c r="B182" s="150" t="s">
        <v>235</v>
      </c>
      <c r="C182" s="149" t="s">
        <v>92</v>
      </c>
      <c r="D182" s="34">
        <v>5723398337.2700005</v>
      </c>
      <c r="E182" s="35">
        <f t="shared" si="115"/>
        <v>5.8759875225514638E-2</v>
      </c>
      <c r="F182" s="34">
        <v>3.2654000000000001</v>
      </c>
      <c r="G182" s="34">
        <v>3.3149000000000002</v>
      </c>
      <c r="H182" s="36">
        <v>10209</v>
      </c>
      <c r="I182" s="58">
        <v>9.7999999999999997E-3</v>
      </c>
      <c r="J182" s="58">
        <v>6.4399999999999999E-2</v>
      </c>
      <c r="K182" s="34">
        <v>6050283254.6300001</v>
      </c>
      <c r="L182" s="62">
        <f t="shared" si="116"/>
        <v>5.8075914946310793E-2</v>
      </c>
      <c r="M182" s="34">
        <v>3.4449999999999998</v>
      </c>
      <c r="N182" s="34">
        <v>3.5101</v>
      </c>
      <c r="O182" s="36">
        <v>10209</v>
      </c>
      <c r="P182" s="58">
        <v>4.5900000000000003E-2</v>
      </c>
      <c r="Q182" s="58">
        <v>0.12520000000000001</v>
      </c>
      <c r="R182" s="64">
        <f t="shared" si="117"/>
        <v>5.7113780676660057E-2</v>
      </c>
      <c r="S182" s="64">
        <f t="shared" si="118"/>
        <v>5.8885637575794084E-2</v>
      </c>
      <c r="T182" s="64">
        <f t="shared" si="118"/>
        <v>0</v>
      </c>
      <c r="U182" s="64">
        <f t="shared" si="119"/>
        <v>3.6100000000000007E-2</v>
      </c>
      <c r="V182" s="65">
        <f t="shared" si="119"/>
        <v>6.0800000000000007E-2</v>
      </c>
    </row>
    <row r="183" spans="1:22">
      <c r="A183" s="183">
        <v>160</v>
      </c>
      <c r="B183" s="150" t="s">
        <v>236</v>
      </c>
      <c r="C183" s="149" t="s">
        <v>94</v>
      </c>
      <c r="D183" s="34">
        <v>317763189.64999998</v>
      </c>
      <c r="E183" s="35">
        <f t="shared" si="115"/>
        <v>3.2623494425519498E-3</v>
      </c>
      <c r="F183" s="34">
        <v>362.22550000000001</v>
      </c>
      <c r="G183" s="34">
        <v>364.82</v>
      </c>
      <c r="H183" s="36">
        <v>32</v>
      </c>
      <c r="I183" s="58">
        <v>1.11E-2</v>
      </c>
      <c r="J183" s="58">
        <v>4.2099999999999999E-2</v>
      </c>
      <c r="K183" s="34">
        <v>327965280.01999998</v>
      </c>
      <c r="L183" s="62">
        <f t="shared" si="116"/>
        <v>3.1480978503293754E-3</v>
      </c>
      <c r="M183" s="34">
        <v>373.86</v>
      </c>
      <c r="N183" s="34">
        <v>376.63</v>
      </c>
      <c r="O183" s="36">
        <v>32</v>
      </c>
      <c r="P183" s="58">
        <v>3.1800000000000002E-2</v>
      </c>
      <c r="Q183" s="58">
        <v>7.5499999999999998E-2</v>
      </c>
      <c r="R183" s="64">
        <f t="shared" si="117"/>
        <v>3.2105954063581403E-2</v>
      </c>
      <c r="S183" s="64">
        <f t="shared" si="118"/>
        <v>3.237212872101311E-2</v>
      </c>
      <c r="T183" s="64">
        <f t="shared" si="118"/>
        <v>0</v>
      </c>
      <c r="U183" s="64">
        <f t="shared" si="119"/>
        <v>2.0700000000000003E-2</v>
      </c>
      <c r="V183" s="65">
        <f t="shared" si="119"/>
        <v>3.3399999999999999E-2</v>
      </c>
    </row>
    <row r="184" spans="1:22">
      <c r="A184" s="183">
        <v>161</v>
      </c>
      <c r="B184" s="150" t="s">
        <v>237</v>
      </c>
      <c r="C184" s="150" t="s">
        <v>96</v>
      </c>
      <c r="D184" s="55">
        <v>76893278.689999998</v>
      </c>
      <c r="E184" s="35">
        <f t="shared" si="115"/>
        <v>7.8943298985201769E-4</v>
      </c>
      <c r="F184" s="34">
        <v>1.5185</v>
      </c>
      <c r="G184" s="34">
        <v>1.5185</v>
      </c>
      <c r="H184" s="36">
        <v>29</v>
      </c>
      <c r="I184" s="58">
        <v>1.41E-2</v>
      </c>
      <c r="J184" s="58">
        <v>5.8900000000000001E-2</v>
      </c>
      <c r="K184" s="55">
        <v>81137361.700000003</v>
      </c>
      <c r="L184" s="62">
        <f t="shared" si="116"/>
        <v>7.7882742323696723E-4</v>
      </c>
      <c r="M184" s="34">
        <v>1.6023000000000001</v>
      </c>
      <c r="N184" s="34">
        <v>1.6023000000000001</v>
      </c>
      <c r="O184" s="36">
        <v>29</v>
      </c>
      <c r="P184" s="58">
        <v>5.5199999999999999E-2</v>
      </c>
      <c r="Q184" s="58">
        <v>0.1174</v>
      </c>
      <c r="R184" s="64">
        <f t="shared" si="117"/>
        <v>5.5194460196063277E-2</v>
      </c>
      <c r="S184" s="64">
        <f t="shared" si="118"/>
        <v>5.5186038854132431E-2</v>
      </c>
      <c r="T184" s="64">
        <f t="shared" si="118"/>
        <v>0</v>
      </c>
      <c r="U184" s="64">
        <f t="shared" si="119"/>
        <v>4.1099999999999998E-2</v>
      </c>
      <c r="V184" s="65">
        <f t="shared" si="119"/>
        <v>5.8500000000000003E-2</v>
      </c>
    </row>
    <row r="185" spans="1:22" ht="13.5" customHeight="1">
      <c r="A185" s="183">
        <v>162</v>
      </c>
      <c r="B185" s="150" t="s">
        <v>238</v>
      </c>
      <c r="C185" s="149" t="s">
        <v>38</v>
      </c>
      <c r="D185" s="40">
        <v>8940112790.6499996</v>
      </c>
      <c r="E185" s="35">
        <f t="shared" si="115"/>
        <v>9.1784614860686661E-2</v>
      </c>
      <c r="F185" s="34">
        <v>6.8663040000000004</v>
      </c>
      <c r="G185" s="34">
        <v>6.949821</v>
      </c>
      <c r="H185" s="36">
        <v>4766</v>
      </c>
      <c r="I185" s="58">
        <v>3.1800000000000002E-2</v>
      </c>
      <c r="J185" s="58">
        <v>0.1057</v>
      </c>
      <c r="K185" s="40">
        <v>9359304740.8500004</v>
      </c>
      <c r="L185" s="62">
        <f t="shared" si="116"/>
        <v>8.9838799806646136E-2</v>
      </c>
      <c r="M185" s="34">
        <v>7.0105769999999996</v>
      </c>
      <c r="N185" s="34">
        <v>7.0949429999999998</v>
      </c>
      <c r="O185" s="36">
        <v>4861</v>
      </c>
      <c r="P185" s="58">
        <v>2.1000000000000001E-2</v>
      </c>
      <c r="Q185" s="58">
        <v>0.12889999999999999</v>
      </c>
      <c r="R185" s="64">
        <f t="shared" si="117"/>
        <v>4.6888888318994348E-2</v>
      </c>
      <c r="S185" s="64">
        <f t="shared" si="118"/>
        <v>2.0881401118100704E-2</v>
      </c>
      <c r="T185" s="64">
        <f t="shared" si="118"/>
        <v>1.9932857742341586E-2</v>
      </c>
      <c r="U185" s="64">
        <f t="shared" si="119"/>
        <v>-1.0800000000000001E-2</v>
      </c>
      <c r="V185" s="65">
        <f t="shared" si="119"/>
        <v>2.3199999999999985E-2</v>
      </c>
    </row>
    <row r="186" spans="1:22" ht="13.5" customHeight="1">
      <c r="A186" s="183">
        <v>163</v>
      </c>
      <c r="B186" s="150" t="s">
        <v>239</v>
      </c>
      <c r="C186" s="149" t="s">
        <v>240</v>
      </c>
      <c r="D186" s="40">
        <v>109761128.73999999</v>
      </c>
      <c r="E186" s="35">
        <f t="shared" si="115"/>
        <v>1.1268742536012992E-3</v>
      </c>
      <c r="F186" s="34">
        <v>2.9049999999999998</v>
      </c>
      <c r="G186" s="34">
        <v>2.9211</v>
      </c>
      <c r="H186" s="36">
        <v>112</v>
      </c>
      <c r="I186" s="58">
        <v>1.13E-4</v>
      </c>
      <c r="J186" s="58">
        <v>4.2099999999999999E-4</v>
      </c>
      <c r="K186" s="40">
        <v>111662603.43000001</v>
      </c>
      <c r="L186" s="62">
        <f t="shared" si="116"/>
        <v>1.0718354144034024E-3</v>
      </c>
      <c r="M186" s="34">
        <v>2.9394999999999998</v>
      </c>
      <c r="N186" s="34">
        <v>2.9565000000000001</v>
      </c>
      <c r="O186" s="36">
        <v>114</v>
      </c>
      <c r="P186" s="58">
        <v>1.2E-4</v>
      </c>
      <c r="Q186" s="58">
        <v>5.4620000000000005E-4</v>
      </c>
      <c r="R186" s="64">
        <f t="shared" si="117"/>
        <v>1.7323753061105888E-2</v>
      </c>
      <c r="S186" s="64">
        <f t="shared" si="118"/>
        <v>1.2118722399096265E-2</v>
      </c>
      <c r="T186" s="64">
        <f t="shared" si="118"/>
        <v>1.7857142857142856E-2</v>
      </c>
      <c r="U186" s="64">
        <f>P186-I186</f>
        <v>7.0000000000000075E-6</v>
      </c>
      <c r="V186" s="65">
        <f>Q186-J186</f>
        <v>1.2520000000000006E-4</v>
      </c>
    </row>
    <row r="187" spans="1:22">
      <c r="A187" s="183">
        <v>164</v>
      </c>
      <c r="B187" s="150" t="s">
        <v>241</v>
      </c>
      <c r="C187" s="149" t="s">
        <v>151</v>
      </c>
      <c r="D187" s="40">
        <v>1103405276.9000001</v>
      </c>
      <c r="E187" s="35">
        <f t="shared" si="115"/>
        <v>1.1328227142887365E-2</v>
      </c>
      <c r="F187" s="34">
        <v>381.33</v>
      </c>
      <c r="G187" s="34">
        <v>386.56</v>
      </c>
      <c r="H187" s="36">
        <v>158</v>
      </c>
      <c r="I187" s="58">
        <v>1.37E-2</v>
      </c>
      <c r="J187" s="58">
        <v>0.75990000000000002</v>
      </c>
      <c r="K187" s="40">
        <v>1146696459.27</v>
      </c>
      <c r="L187" s="62">
        <f t="shared" si="116"/>
        <v>1.1006996405802631E-2</v>
      </c>
      <c r="M187" s="34">
        <v>395.05</v>
      </c>
      <c r="N187" s="34">
        <v>400.55</v>
      </c>
      <c r="O187" s="36">
        <v>158</v>
      </c>
      <c r="P187" s="58">
        <v>1.37E-2</v>
      </c>
      <c r="Q187" s="58">
        <v>0.93430000000000002</v>
      </c>
      <c r="R187" s="64">
        <f t="shared" si="117"/>
        <v>3.9234162892192961E-2</v>
      </c>
      <c r="S187" s="64">
        <f t="shared" si="118"/>
        <v>3.6191018211920556E-2</v>
      </c>
      <c r="T187" s="64">
        <f t="shared" si="118"/>
        <v>0</v>
      </c>
      <c r="U187" s="64">
        <f t="shared" si="119"/>
        <v>0</v>
      </c>
      <c r="V187" s="65">
        <f t="shared" si="119"/>
        <v>0.1744</v>
      </c>
    </row>
    <row r="188" spans="1:22">
      <c r="A188" s="183">
        <v>165</v>
      </c>
      <c r="B188" s="150" t="s">
        <v>242</v>
      </c>
      <c r="C188" s="149" t="s">
        <v>34</v>
      </c>
      <c r="D188" s="40">
        <v>2407242983.4699998</v>
      </c>
      <c r="E188" s="35">
        <f t="shared" si="115"/>
        <v>2.4714215053859519E-2</v>
      </c>
      <c r="F188" s="34">
        <v>552.22</v>
      </c>
      <c r="G188" s="34">
        <v>552.22</v>
      </c>
      <c r="H188" s="36">
        <v>823</v>
      </c>
      <c r="I188" s="58">
        <v>4.4900000000000002E-2</v>
      </c>
      <c r="J188" s="58">
        <v>9.6699999999999994E-2</v>
      </c>
      <c r="K188" s="40">
        <v>2546130280.8099999</v>
      </c>
      <c r="L188" s="62">
        <f t="shared" si="116"/>
        <v>2.4439987254710898E-2</v>
      </c>
      <c r="M188" s="34">
        <v>552.22</v>
      </c>
      <c r="N188" s="34">
        <v>552.22</v>
      </c>
      <c r="O188" s="36">
        <v>823</v>
      </c>
      <c r="P188" s="58">
        <v>5.79E-2</v>
      </c>
      <c r="Q188" s="58">
        <v>0.15989999999999999</v>
      </c>
      <c r="R188" s="64">
        <f t="shared" si="117"/>
        <v>5.7695587148330361E-2</v>
      </c>
      <c r="S188" s="64">
        <f t="shared" si="118"/>
        <v>0</v>
      </c>
      <c r="T188" s="64">
        <f t="shared" si="118"/>
        <v>0</v>
      </c>
      <c r="U188" s="64">
        <f t="shared" si="119"/>
        <v>1.2999999999999998E-2</v>
      </c>
      <c r="V188" s="65">
        <f t="shared" si="119"/>
        <v>6.3199999999999992E-2</v>
      </c>
    </row>
    <row r="189" spans="1:22">
      <c r="A189" s="183">
        <v>166</v>
      </c>
      <c r="B189" s="150" t="s">
        <v>243</v>
      </c>
      <c r="C189" s="149" t="s">
        <v>106</v>
      </c>
      <c r="D189" s="34">
        <v>49455704.109999999</v>
      </c>
      <c r="E189" s="35">
        <f t="shared" si="115"/>
        <v>5.0774222436520246E-4</v>
      </c>
      <c r="F189" s="34">
        <v>2.85</v>
      </c>
      <c r="G189" s="34">
        <v>2.85</v>
      </c>
      <c r="H189" s="36">
        <v>8</v>
      </c>
      <c r="I189" s="58">
        <v>2.4656999999999998E-2</v>
      </c>
      <c r="J189" s="58">
        <v>8.4527000000000005E-2</v>
      </c>
      <c r="K189" s="34">
        <v>49455704.109999999</v>
      </c>
      <c r="L189" s="62">
        <f t="shared" si="116"/>
        <v>4.7471914034839991E-4</v>
      </c>
      <c r="M189" s="34">
        <v>2.85</v>
      </c>
      <c r="N189" s="34">
        <v>2.85</v>
      </c>
      <c r="O189" s="36">
        <v>8</v>
      </c>
      <c r="P189" s="58">
        <v>2.4656999999999998E-2</v>
      </c>
      <c r="Q189" s="58">
        <v>8.4527000000000005E-2</v>
      </c>
      <c r="R189" s="64">
        <f t="shared" si="117"/>
        <v>0</v>
      </c>
      <c r="S189" s="64">
        <f t="shared" si="118"/>
        <v>0</v>
      </c>
      <c r="T189" s="64">
        <f t="shared" si="118"/>
        <v>0</v>
      </c>
      <c r="U189" s="64">
        <f t="shared" si="119"/>
        <v>0</v>
      </c>
      <c r="V189" s="65">
        <f t="shared" si="119"/>
        <v>0</v>
      </c>
    </row>
    <row r="190" spans="1:22">
      <c r="A190" s="183">
        <v>167</v>
      </c>
      <c r="B190" s="150" t="s">
        <v>244</v>
      </c>
      <c r="C190" s="149" t="s">
        <v>46</v>
      </c>
      <c r="D190" s="34">
        <v>474134587.16000003</v>
      </c>
      <c r="E190" s="35">
        <f t="shared" si="115"/>
        <v>4.8677529572249655E-3</v>
      </c>
      <c r="F190" s="34">
        <v>3.84</v>
      </c>
      <c r="G190" s="34">
        <v>3.91</v>
      </c>
      <c r="H190" s="36">
        <v>138</v>
      </c>
      <c r="I190" s="58">
        <v>2.6100000000000002E-2</v>
      </c>
      <c r="J190" s="58">
        <v>0.13689999999999999</v>
      </c>
      <c r="K190" s="34">
        <v>493695417.36000001</v>
      </c>
      <c r="L190" s="62">
        <f t="shared" si="116"/>
        <v>4.7389207845833607E-3</v>
      </c>
      <c r="M190" s="34">
        <v>4.0199999999999996</v>
      </c>
      <c r="N190" s="34">
        <v>4.08</v>
      </c>
      <c r="O190" s="36">
        <v>138</v>
      </c>
      <c r="P190" s="58">
        <v>4.36E-2</v>
      </c>
      <c r="Q190" s="58">
        <v>0.1399</v>
      </c>
      <c r="R190" s="64">
        <f t="shared" si="117"/>
        <v>4.1255860107499494E-2</v>
      </c>
      <c r="S190" s="64">
        <f t="shared" si="118"/>
        <v>4.3478260869565195E-2</v>
      </c>
      <c r="T190" s="64">
        <f t="shared" si="118"/>
        <v>0</v>
      </c>
      <c r="U190" s="64">
        <f t="shared" si="119"/>
        <v>1.7499999999999998E-2</v>
      </c>
      <c r="V190" s="65">
        <f t="shared" si="119"/>
        <v>3.0000000000000027E-3</v>
      </c>
    </row>
    <row r="191" spans="1:22">
      <c r="A191" s="183">
        <v>168</v>
      </c>
      <c r="B191" s="150" t="s">
        <v>326</v>
      </c>
      <c r="C191" s="149" t="s">
        <v>327</v>
      </c>
      <c r="D191" s="34">
        <v>213035498.49974599</v>
      </c>
      <c r="E191" s="35">
        <f t="shared" si="115"/>
        <v>2.1871515090842526E-3</v>
      </c>
      <c r="F191" s="34">
        <v>120.463434697045</v>
      </c>
      <c r="G191" s="34">
        <v>121.142387564877</v>
      </c>
      <c r="H191" s="36">
        <v>108</v>
      </c>
      <c r="I191" s="58">
        <v>2.1999999999999999E-2</v>
      </c>
      <c r="J191" s="58">
        <v>4.5499999999999999E-2</v>
      </c>
      <c r="K191" s="34">
        <v>211492324.78194699</v>
      </c>
      <c r="L191" s="35">
        <f t="shared" si="116"/>
        <v>2.0300884684092404E-3</v>
      </c>
      <c r="M191" s="34">
        <v>120.16824138548</v>
      </c>
      <c r="N191" s="34">
        <v>120.84113338904601</v>
      </c>
      <c r="O191" s="36">
        <v>108</v>
      </c>
      <c r="P191" s="58">
        <v>-2.5000000000000001E-3</v>
      </c>
      <c r="Q191" s="58">
        <v>4.2500000000000003E-2</v>
      </c>
      <c r="R191" s="64">
        <f t="shared" ref="R191" si="125">((K191-D191)/D191)</f>
        <v>-7.2437397929756191E-3</v>
      </c>
      <c r="S191" s="64">
        <f t="shared" ref="S191" si="126">((N191-G191)/G191)</f>
        <v>-2.4867776001992374E-3</v>
      </c>
      <c r="T191" s="64">
        <f t="shared" ref="T191" si="127">((O191-H191)/H191)</f>
        <v>0</v>
      </c>
      <c r="U191" s="64">
        <f t="shared" ref="U191" si="128">P191-I191</f>
        <v>-2.4499999999999997E-2</v>
      </c>
      <c r="V191" s="65">
        <f t="shared" ref="V191" si="129">Q191-J191</f>
        <v>-2.9999999999999957E-3</v>
      </c>
    </row>
    <row r="192" spans="1:22">
      <c r="A192" s="183">
        <v>169</v>
      </c>
      <c r="B192" s="150" t="s">
        <v>245</v>
      </c>
      <c r="C192" s="149" t="s">
        <v>50</v>
      </c>
      <c r="D192" s="40">
        <v>6633537190.3000002</v>
      </c>
      <c r="E192" s="35">
        <f t="shared" si="115"/>
        <v>6.8103912157853164E-2</v>
      </c>
      <c r="F192" s="34">
        <v>10515.72</v>
      </c>
      <c r="G192" s="34">
        <v>10605.93</v>
      </c>
      <c r="H192" s="36">
        <v>4574</v>
      </c>
      <c r="I192" s="58">
        <v>3.15E-2</v>
      </c>
      <c r="J192" s="58">
        <v>8.9899999999999994E-2</v>
      </c>
      <c r="K192" s="40">
        <v>7306875807.9099998</v>
      </c>
      <c r="L192" s="35">
        <f t="shared" si="116"/>
        <v>7.0137790262744984E-2</v>
      </c>
      <c r="M192" s="34">
        <v>11050.8</v>
      </c>
      <c r="N192" s="34">
        <v>11151.27</v>
      </c>
      <c r="O192" s="36">
        <v>4810</v>
      </c>
      <c r="P192" s="58">
        <v>5.1400000000000001E-2</v>
      </c>
      <c r="Q192" s="58">
        <v>0.1459</v>
      </c>
      <c r="R192" s="64">
        <f t="shared" si="117"/>
        <v>0.10150521483388986</v>
      </c>
      <c r="S192" s="64">
        <f t="shared" si="118"/>
        <v>5.1418404609496773E-2</v>
      </c>
      <c r="T192" s="64">
        <f t="shared" si="118"/>
        <v>5.159597726278968E-2</v>
      </c>
      <c r="U192" s="64">
        <f t="shared" si="119"/>
        <v>1.9900000000000001E-2</v>
      </c>
      <c r="V192" s="65">
        <f t="shared" si="119"/>
        <v>5.6000000000000008E-2</v>
      </c>
    </row>
    <row r="193" spans="1:22">
      <c r="A193" s="183">
        <v>170</v>
      </c>
      <c r="B193" s="150" t="s">
        <v>246</v>
      </c>
      <c r="C193" s="150" t="s">
        <v>116</v>
      </c>
      <c r="D193" s="40">
        <v>169661312.86000001</v>
      </c>
      <c r="E193" s="35">
        <f t="shared" si="115"/>
        <v>1.7418458382202767E-3</v>
      </c>
      <c r="F193" s="34">
        <v>1518.6134999999999</v>
      </c>
      <c r="G193" s="34">
        <v>1543.1581000000001</v>
      </c>
      <c r="H193" s="36">
        <v>64</v>
      </c>
      <c r="I193" s="58">
        <v>1.32E-2</v>
      </c>
      <c r="J193" s="58">
        <v>5.3100000000000001E-2</v>
      </c>
      <c r="K193" s="40">
        <v>176049305.13</v>
      </c>
      <c r="L193" s="35">
        <f t="shared" si="116"/>
        <v>1.6898753398467538E-3</v>
      </c>
      <c r="M193" s="34">
        <v>1574.2829999999999</v>
      </c>
      <c r="N193" s="34">
        <v>1600.7009</v>
      </c>
      <c r="O193" s="36">
        <v>65</v>
      </c>
      <c r="P193" s="58">
        <v>3.6700000000000003E-2</v>
      </c>
      <c r="Q193" s="58">
        <v>9.1899999999999996E-2</v>
      </c>
      <c r="R193" s="64">
        <f t="shared" si="117"/>
        <v>3.7651437221113464E-2</v>
      </c>
      <c r="S193" s="64">
        <f t="shared" si="118"/>
        <v>3.7288985490209939E-2</v>
      </c>
      <c r="T193" s="64">
        <f t="shared" si="118"/>
        <v>1.5625E-2</v>
      </c>
      <c r="U193" s="64">
        <f t="shared" si="119"/>
        <v>2.3500000000000004E-2</v>
      </c>
      <c r="V193" s="65">
        <f t="shared" si="119"/>
        <v>3.8799999999999994E-2</v>
      </c>
    </row>
    <row r="194" spans="1:22">
      <c r="A194" s="183">
        <v>171</v>
      </c>
      <c r="B194" s="150" t="s">
        <v>247</v>
      </c>
      <c r="C194" s="150" t="s">
        <v>96</v>
      </c>
      <c r="D194" s="40">
        <v>813893322.72000003</v>
      </c>
      <c r="E194" s="35">
        <f t="shared" si="115"/>
        <v>8.3559220015286192E-3</v>
      </c>
      <c r="F194" s="34">
        <v>1.5506</v>
      </c>
      <c r="G194" s="34">
        <v>1.5506</v>
      </c>
      <c r="H194" s="36">
        <v>46</v>
      </c>
      <c r="I194" s="58">
        <v>2.8E-3</v>
      </c>
      <c r="J194" s="58">
        <v>1.4200000000000001E-2</v>
      </c>
      <c r="K194" s="40">
        <v>817395809.76999998</v>
      </c>
      <c r="L194" s="35">
        <f t="shared" si="116"/>
        <v>7.8460805102547881E-3</v>
      </c>
      <c r="M194" s="34">
        <v>1.5548999999999999</v>
      </c>
      <c r="N194" s="34">
        <v>1.5548999999999999</v>
      </c>
      <c r="O194" s="36">
        <v>47</v>
      </c>
      <c r="P194" s="58">
        <v>4.3E-3</v>
      </c>
      <c r="Q194" s="58">
        <v>1.8599999999999998E-2</v>
      </c>
      <c r="R194" s="64">
        <f t="shared" si="117"/>
        <v>4.3033736144864488E-3</v>
      </c>
      <c r="S194" s="64">
        <f t="shared" si="118"/>
        <v>2.7731200825486719E-3</v>
      </c>
      <c r="T194" s="64">
        <f t="shared" si="118"/>
        <v>2.1739130434782608E-2</v>
      </c>
      <c r="U194" s="64">
        <f t="shared" si="119"/>
        <v>1.5E-3</v>
      </c>
      <c r="V194" s="65">
        <f t="shared" si="119"/>
        <v>4.3999999999999977E-3</v>
      </c>
    </row>
    <row r="195" spans="1:22">
      <c r="A195" s="183">
        <v>172</v>
      </c>
      <c r="B195" s="150" t="s">
        <v>248</v>
      </c>
      <c r="C195" s="149" t="s">
        <v>53</v>
      </c>
      <c r="D195" s="34">
        <v>4375088668.6300001</v>
      </c>
      <c r="E195" s="35">
        <f t="shared" si="115"/>
        <v>4.4917311205685886E-2</v>
      </c>
      <c r="F195" s="34">
        <v>2.4245000000000001</v>
      </c>
      <c r="G195" s="34">
        <v>2.4424999999999999</v>
      </c>
      <c r="H195" s="36">
        <v>3051</v>
      </c>
      <c r="I195" s="58">
        <v>2.9000000000000001E-2</v>
      </c>
      <c r="J195" s="58">
        <v>9.1600000000000001E-2</v>
      </c>
      <c r="K195" s="34">
        <v>4624098712.4200001</v>
      </c>
      <c r="L195" s="62">
        <f t="shared" si="116"/>
        <v>4.4386147263492381E-2</v>
      </c>
      <c r="M195" s="34">
        <v>2.5659000000000001</v>
      </c>
      <c r="N195" s="34">
        <v>2.5857999999999999</v>
      </c>
      <c r="O195" s="36">
        <v>3072</v>
      </c>
      <c r="P195" s="58">
        <v>5.8299999999999998E-2</v>
      </c>
      <c r="Q195" s="58">
        <v>0.1552</v>
      </c>
      <c r="R195" s="64">
        <f t="shared" si="117"/>
        <v>5.6915427926166828E-2</v>
      </c>
      <c r="S195" s="64">
        <f t="shared" si="118"/>
        <v>5.866939611054247E-2</v>
      </c>
      <c r="T195" s="64">
        <f t="shared" si="118"/>
        <v>6.8829891838741398E-3</v>
      </c>
      <c r="U195" s="64">
        <f t="shared" si="119"/>
        <v>2.9299999999999996E-2</v>
      </c>
      <c r="V195" s="65">
        <f t="shared" si="119"/>
        <v>6.3600000000000004E-2</v>
      </c>
    </row>
    <row r="196" spans="1:22">
      <c r="A196" s="183">
        <v>173</v>
      </c>
      <c r="B196" s="150" t="s">
        <v>249</v>
      </c>
      <c r="C196" s="149" t="s">
        <v>53</v>
      </c>
      <c r="D196" s="34">
        <v>2877979695.04</v>
      </c>
      <c r="E196" s="35">
        <f t="shared" si="115"/>
        <v>2.9547083361452453E-2</v>
      </c>
      <c r="F196" s="34">
        <v>1.9258</v>
      </c>
      <c r="G196" s="34">
        <v>1.9396</v>
      </c>
      <c r="H196" s="36">
        <v>1554</v>
      </c>
      <c r="I196" s="58">
        <v>2.3900000000000001E-2</v>
      </c>
      <c r="J196" s="58">
        <v>7.7299999999999994E-2</v>
      </c>
      <c r="K196" s="34">
        <v>3026380969.77</v>
      </c>
      <c r="L196" s="62">
        <f t="shared" si="116"/>
        <v>2.9049853766928226E-2</v>
      </c>
      <c r="M196" s="34">
        <v>2.0249000000000001</v>
      </c>
      <c r="N196" s="34">
        <v>2.04</v>
      </c>
      <c r="O196" s="36">
        <v>1564</v>
      </c>
      <c r="P196" s="58">
        <v>5.1499999999999997E-2</v>
      </c>
      <c r="Q196" s="58">
        <v>0.13270000000000001</v>
      </c>
      <c r="R196" s="64">
        <f t="shared" si="117"/>
        <v>5.1564392544450333E-2</v>
      </c>
      <c r="S196" s="64">
        <f t="shared" si="118"/>
        <v>5.1763250154671092E-2</v>
      </c>
      <c r="T196" s="64">
        <f t="shared" si="118"/>
        <v>6.4350064350064346E-3</v>
      </c>
      <c r="U196" s="64">
        <f t="shared" si="119"/>
        <v>2.7599999999999996E-2</v>
      </c>
      <c r="V196" s="65">
        <f t="shared" si="119"/>
        <v>5.5400000000000019E-2</v>
      </c>
    </row>
    <row r="197" spans="1:22">
      <c r="A197" s="183">
        <v>174</v>
      </c>
      <c r="B197" s="150" t="s">
        <v>250</v>
      </c>
      <c r="C197" s="149" t="s">
        <v>121</v>
      </c>
      <c r="D197" s="40">
        <v>11481213381.51</v>
      </c>
      <c r="E197" s="35">
        <f t="shared" si="115"/>
        <v>0.11787309321839549</v>
      </c>
      <c r="F197" s="34">
        <v>728.88</v>
      </c>
      <c r="G197" s="34">
        <v>737.34</v>
      </c>
      <c r="H197" s="36">
        <v>38</v>
      </c>
      <c r="I197" s="58">
        <v>2.12E-2</v>
      </c>
      <c r="J197" s="58">
        <v>6.0299999999999999E-2</v>
      </c>
      <c r="K197" s="40">
        <v>12218756795.58</v>
      </c>
      <c r="L197" s="62">
        <f t="shared" si="116"/>
        <v>0.11728632372157541</v>
      </c>
      <c r="M197" s="34">
        <v>773.52</v>
      </c>
      <c r="N197" s="34">
        <v>782.8</v>
      </c>
      <c r="O197" s="36">
        <v>40</v>
      </c>
      <c r="P197" s="58">
        <v>6.1499999999999999E-2</v>
      </c>
      <c r="Q197" s="58">
        <v>0.12559999999999999</v>
      </c>
      <c r="R197" s="64">
        <f t="shared" si="117"/>
        <v>6.4239152218682885E-2</v>
      </c>
      <c r="S197" s="64">
        <f t="shared" si="118"/>
        <v>6.16540537608158E-2</v>
      </c>
      <c r="T197" s="64">
        <f t="shared" si="118"/>
        <v>5.2631578947368418E-2</v>
      </c>
      <c r="U197" s="64">
        <f t="shared" si="119"/>
        <v>4.0300000000000002E-2</v>
      </c>
      <c r="V197" s="65">
        <f t="shared" si="119"/>
        <v>6.5299999999999997E-2</v>
      </c>
    </row>
    <row r="198" spans="1:22">
      <c r="A198" s="43"/>
      <c r="B198" s="44"/>
      <c r="C198" s="45" t="s">
        <v>56</v>
      </c>
      <c r="D198" s="87">
        <f>SUM(D169:D197)</f>
        <v>97403173769.586121</v>
      </c>
      <c r="E198" s="47">
        <f>(D198/$D$233)</f>
        <v>1.2013814915904699E-2</v>
      </c>
      <c r="F198" s="48"/>
      <c r="G198" s="88"/>
      <c r="H198" s="50">
        <f>SUM(H169:H197)</f>
        <v>81617</v>
      </c>
      <c r="I198" s="106"/>
      <c r="J198" s="106"/>
      <c r="K198" s="87">
        <f>SUM(K169:K197)</f>
        <v>104178871055.63953</v>
      </c>
      <c r="L198" s="47">
        <f>(K198/$K$233)</f>
        <v>1.2741240953704788E-2</v>
      </c>
      <c r="M198" s="48"/>
      <c r="N198" s="88"/>
      <c r="O198" s="50">
        <f>SUM(O169:O197)</f>
        <v>81688</v>
      </c>
      <c r="P198" s="106"/>
      <c r="Q198" s="106"/>
      <c r="R198" s="64">
        <f t="shared" ref="R198" si="130">((K198-D198)/D198)</f>
        <v>6.9563413837846616E-2</v>
      </c>
      <c r="S198" s="64" t="e">
        <f t="shared" ref="S198" si="131">((N198-G198)/G198)</f>
        <v>#DIV/0!</v>
      </c>
      <c r="T198" s="64">
        <f t="shared" ref="T198" si="132">((O198-H198)/H198)</f>
        <v>8.6991680654765547E-4</v>
      </c>
      <c r="U198" s="64">
        <f t="shared" ref="U198" si="133">P198-I198</f>
        <v>0</v>
      </c>
      <c r="V198" s="65">
        <f t="shared" ref="V198" si="134">Q198-J198</f>
        <v>0</v>
      </c>
    </row>
    <row r="199" spans="1:22" ht="5.25" customHeight="1">
      <c r="A199" s="43"/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</row>
    <row r="200" spans="1:22" ht="15" customHeight="1">
      <c r="A200" s="191" t="s">
        <v>251</v>
      </c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</row>
    <row r="201" spans="1:22" ht="15" customHeight="1">
      <c r="A201" s="181">
        <v>175</v>
      </c>
      <c r="B201" s="150" t="s">
        <v>332</v>
      </c>
      <c r="C201" s="149" t="s">
        <v>137</v>
      </c>
      <c r="D201" s="89">
        <v>572157596.23015904</v>
      </c>
      <c r="E201" s="35">
        <v>0</v>
      </c>
      <c r="F201" s="90">
        <v>1000</v>
      </c>
      <c r="G201" s="90">
        <v>1000</v>
      </c>
      <c r="H201" s="36">
        <v>22</v>
      </c>
      <c r="I201" s="58">
        <v>3.2000000000000002E-3</v>
      </c>
      <c r="J201" s="58">
        <v>2.3900000000000001E-2</v>
      </c>
      <c r="K201" s="89">
        <v>575962142.05649197</v>
      </c>
      <c r="L201" s="62">
        <f>(K201/$K$204)</f>
        <v>4.7065405653313228E-2</v>
      </c>
      <c r="M201" s="90">
        <v>1000</v>
      </c>
      <c r="N201" s="90">
        <v>1000</v>
      </c>
      <c r="O201" s="36">
        <v>24</v>
      </c>
      <c r="P201" s="58">
        <v>2.8E-3</v>
      </c>
      <c r="Q201" s="58">
        <v>8.2000000000000007E-3</v>
      </c>
      <c r="R201" s="64">
        <f>((K201-D201)/D201)</f>
        <v>6.6494718437723772E-3</v>
      </c>
      <c r="S201" s="64">
        <f t="shared" ref="S201" si="135">((N201-G201)/G201)</f>
        <v>0</v>
      </c>
      <c r="T201" s="64">
        <f t="shared" ref="T201" si="136">((O201-H201)/H201)</f>
        <v>9.0909090909090912E-2</v>
      </c>
      <c r="U201" s="64">
        <f t="shared" ref="U201" si="137">P201-I201</f>
        <v>-4.0000000000000018E-4</v>
      </c>
      <c r="V201" s="65">
        <f t="shared" ref="V201" si="138">Q201-J201</f>
        <v>-1.5699999999999999E-2</v>
      </c>
    </row>
    <row r="202" spans="1:22">
      <c r="A202" s="181">
        <v>176</v>
      </c>
      <c r="B202" s="150" t="s">
        <v>252</v>
      </c>
      <c r="C202" s="149" t="s">
        <v>253</v>
      </c>
      <c r="D202" s="89">
        <v>1643155615.0799999</v>
      </c>
      <c r="E202" s="35">
        <f>(D202/$D$204)</f>
        <v>0.1520132079258705</v>
      </c>
      <c r="F202" s="90">
        <v>45.25</v>
      </c>
      <c r="G202" s="90">
        <v>45.671399999999998</v>
      </c>
      <c r="H202" s="36">
        <v>1510</v>
      </c>
      <c r="I202" s="58">
        <v>1.8700000000000001E-2</v>
      </c>
      <c r="J202" s="58">
        <v>5.8599999999999999E-2</v>
      </c>
      <c r="K202" s="89">
        <v>1817190969.4300001</v>
      </c>
      <c r="L202" s="62">
        <f>(K202/$K$204)</f>
        <v>0.14849383992563137</v>
      </c>
      <c r="M202" s="90">
        <v>46.453600000000002</v>
      </c>
      <c r="N202" s="90">
        <v>46.900300000000001</v>
      </c>
      <c r="O202" s="36">
        <v>1513</v>
      </c>
      <c r="P202" s="58">
        <v>4.7999999999999996E-3</v>
      </c>
      <c r="Q202" s="58">
        <v>0.16170000000000001</v>
      </c>
      <c r="R202" s="64">
        <f>((K202-D202)/D202)</f>
        <v>0.10591532095487312</v>
      </c>
      <c r="S202" s="64">
        <f t="shared" ref="S202:T204" si="139">((N202-G202)/G202)</f>
        <v>2.6907430032799586E-2</v>
      </c>
      <c r="T202" s="64">
        <f t="shared" si="139"/>
        <v>1.9867549668874172E-3</v>
      </c>
      <c r="U202" s="64">
        <f t="shared" ref="U202:V204" si="140">P202-I202</f>
        <v>-1.3900000000000003E-2</v>
      </c>
      <c r="V202" s="65">
        <f t="shared" si="140"/>
        <v>0.10310000000000001</v>
      </c>
    </row>
    <row r="203" spans="1:22">
      <c r="A203" s="181">
        <v>177</v>
      </c>
      <c r="B203" s="150" t="s">
        <v>254</v>
      </c>
      <c r="C203" s="149" t="s">
        <v>50</v>
      </c>
      <c r="D203" s="52">
        <v>8593981832.8500004</v>
      </c>
      <c r="E203" s="35">
        <f>(D203/$D$204)</f>
        <v>0.79505479291112446</v>
      </c>
      <c r="F203" s="90">
        <v>5.04</v>
      </c>
      <c r="G203" s="90">
        <v>5.0999999999999996</v>
      </c>
      <c r="H203" s="36">
        <v>12445</v>
      </c>
      <c r="I203" s="58">
        <v>3.8699999999999998E-2</v>
      </c>
      <c r="J203" s="58">
        <v>0.1258</v>
      </c>
      <c r="K203" s="52">
        <v>9844330748.7199993</v>
      </c>
      <c r="L203" s="62">
        <f>(K203/$K$204)</f>
        <v>0.80444075442105545</v>
      </c>
      <c r="M203" s="90">
        <v>5.43</v>
      </c>
      <c r="N203" s="90">
        <v>5.5</v>
      </c>
      <c r="O203" s="36">
        <v>12654</v>
      </c>
      <c r="P203" s="58">
        <v>7.8399999999999997E-2</v>
      </c>
      <c r="Q203" s="58">
        <v>0.21410000000000001</v>
      </c>
      <c r="R203" s="64">
        <f>((K203-D203)/D203)</f>
        <v>0.14549122166986811</v>
      </c>
      <c r="S203" s="64">
        <f t="shared" si="139"/>
        <v>7.8431372549019676E-2</v>
      </c>
      <c r="T203" s="64">
        <f t="shared" si="139"/>
        <v>1.6793893129770993E-2</v>
      </c>
      <c r="U203" s="64">
        <f t="shared" si="140"/>
        <v>3.9699999999999999E-2</v>
      </c>
      <c r="V203" s="65">
        <f t="shared" si="140"/>
        <v>8.8300000000000017E-2</v>
      </c>
    </row>
    <row r="204" spans="1:22">
      <c r="A204" s="43"/>
      <c r="B204" s="44"/>
      <c r="C204" s="79" t="s">
        <v>56</v>
      </c>
      <c r="D204" s="87">
        <f>SUM(D201:D203)</f>
        <v>10809295044.16016</v>
      </c>
      <c r="E204" s="47">
        <f>(D204/$D$233)</f>
        <v>1.333230376446879E-3</v>
      </c>
      <c r="F204" s="48"/>
      <c r="G204" s="88"/>
      <c r="H204" s="50">
        <f>SUM(H201:H203)</f>
        <v>13977</v>
      </c>
      <c r="I204" s="106"/>
      <c r="J204" s="106"/>
      <c r="K204" s="87">
        <f>SUM(K201:K203)</f>
        <v>12237483860.206491</v>
      </c>
      <c r="L204" s="47">
        <f>(K204/$K$233)</f>
        <v>1.4966636607790715E-3</v>
      </c>
      <c r="M204" s="48"/>
      <c r="N204" s="88"/>
      <c r="O204" s="50">
        <f>SUM(O201:O203)</f>
        <v>14191</v>
      </c>
      <c r="P204" s="106"/>
      <c r="Q204" s="106"/>
      <c r="R204" s="64">
        <f>((K204-D204)/D204)</f>
        <v>0.13212599066004088</v>
      </c>
      <c r="S204" s="64" t="e">
        <f t="shared" si="139"/>
        <v>#DIV/0!</v>
      </c>
      <c r="T204" s="64">
        <f t="shared" si="139"/>
        <v>1.5310867854332118E-2</v>
      </c>
      <c r="U204" s="64">
        <f t="shared" si="140"/>
        <v>0</v>
      </c>
      <c r="V204" s="65">
        <f t="shared" si="140"/>
        <v>0</v>
      </c>
    </row>
    <row r="205" spans="1:22" ht="6" customHeight="1">
      <c r="A205" s="43"/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</row>
    <row r="206" spans="1:22" ht="15" customHeight="1">
      <c r="A206" s="187" t="s">
        <v>255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</row>
    <row r="207" spans="1:22">
      <c r="A207" s="190" t="s">
        <v>256</v>
      </c>
      <c r="B207" s="190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</row>
    <row r="208" spans="1:22">
      <c r="A208" s="181">
        <v>178</v>
      </c>
      <c r="B208" s="150" t="s">
        <v>257</v>
      </c>
      <c r="C208" s="149" t="s">
        <v>258</v>
      </c>
      <c r="D208" s="56">
        <v>10231797067.85</v>
      </c>
      <c r="E208" s="35">
        <f>(D208/$D$232)</f>
        <v>0.11404976854959779</v>
      </c>
      <c r="F208" s="91">
        <v>3.18</v>
      </c>
      <c r="G208" s="91">
        <v>3.24</v>
      </c>
      <c r="H208" s="54">
        <v>15728</v>
      </c>
      <c r="I208" s="61">
        <v>2.86E-2</v>
      </c>
      <c r="J208" s="61">
        <v>7.8E-2</v>
      </c>
      <c r="K208" s="56">
        <v>10824464565.709999</v>
      </c>
      <c r="L208" s="35">
        <f>(K208/$K$232)</f>
        <v>0.11462180878638342</v>
      </c>
      <c r="M208" s="91">
        <v>3.33</v>
      </c>
      <c r="N208" s="91">
        <v>3.39</v>
      </c>
      <c r="O208" s="54">
        <v>15765</v>
      </c>
      <c r="P208" s="61">
        <v>4.6300000000000001E-2</v>
      </c>
      <c r="Q208" s="61">
        <v>0.1278</v>
      </c>
      <c r="R208" s="63">
        <f>((K208-D208)/D208)</f>
        <v>5.79240864463837E-2</v>
      </c>
      <c r="S208" s="63">
        <f>((N208-G208)/G208)</f>
        <v>4.6296296296296266E-2</v>
      </c>
      <c r="T208" s="63">
        <f>((O208-H208)/H208)</f>
        <v>2.3524923702950154E-3</v>
      </c>
      <c r="U208" s="63">
        <f>P208-I208</f>
        <v>1.77E-2</v>
      </c>
      <c r="V208" s="110">
        <f>Q208-J208</f>
        <v>4.9799999999999997E-2</v>
      </c>
    </row>
    <row r="209" spans="1:24">
      <c r="A209" s="181">
        <v>179</v>
      </c>
      <c r="B209" s="150" t="s">
        <v>259</v>
      </c>
      <c r="C209" s="149" t="s">
        <v>50</v>
      </c>
      <c r="D209" s="56">
        <v>9334953504.7800007</v>
      </c>
      <c r="E209" s="35">
        <f>(D209/$D$232)</f>
        <v>0.10405301039313221</v>
      </c>
      <c r="F209" s="91">
        <v>1050.46</v>
      </c>
      <c r="G209" s="91">
        <v>1061.3699999999999</v>
      </c>
      <c r="H209" s="54">
        <v>3542</v>
      </c>
      <c r="I209" s="61">
        <v>4.0500000000000001E-2</v>
      </c>
      <c r="J209" s="61">
        <v>0.1163</v>
      </c>
      <c r="K209" s="56">
        <v>12297482311.4</v>
      </c>
      <c r="L209" s="35">
        <f>(K209/$K$232)</f>
        <v>0.13021980509931738</v>
      </c>
      <c r="M209" s="91">
        <v>1114.42</v>
      </c>
      <c r="N209" s="91">
        <v>1126.03</v>
      </c>
      <c r="O209" s="54">
        <v>3837</v>
      </c>
      <c r="P209" s="61">
        <v>6.0900000000000003E-2</v>
      </c>
      <c r="Q209" s="61">
        <v>0.18429999999999999</v>
      </c>
      <c r="R209" s="63">
        <f>((K209-D209)/D209)</f>
        <v>0.31735871047488606</v>
      </c>
      <c r="S209" s="63">
        <f>((N209-G209)/G209)</f>
        <v>6.0921262142325572E-2</v>
      </c>
      <c r="T209" s="63">
        <f>((O209-H209)/H209)</f>
        <v>8.3286278938452848E-2</v>
      </c>
      <c r="U209" s="63">
        <f>P209-I209</f>
        <v>2.0400000000000001E-2</v>
      </c>
      <c r="V209" s="110">
        <f>Q209-J209</f>
        <v>6.7999999999999991E-2</v>
      </c>
    </row>
    <row r="210" spans="1:24" ht="6" customHeight="1">
      <c r="A210" s="78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</row>
    <row r="211" spans="1:24" ht="15" customHeight="1">
      <c r="A211" s="190" t="s">
        <v>193</v>
      </c>
      <c r="B211" s="190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</row>
    <row r="212" spans="1:24">
      <c r="A212" s="181">
        <v>180</v>
      </c>
      <c r="B212" s="150" t="s">
        <v>260</v>
      </c>
      <c r="C212" s="149" t="s">
        <v>24</v>
      </c>
      <c r="D212" s="40">
        <v>1424873713.72</v>
      </c>
      <c r="E212" s="35">
        <f>(D212/$D$232)</f>
        <v>1.5882500032452191E-2</v>
      </c>
      <c r="F212" s="90">
        <v>1.1507000000000001</v>
      </c>
      <c r="G212" s="90">
        <v>1.1507000000000001</v>
      </c>
      <c r="H212" s="36">
        <v>881</v>
      </c>
      <c r="I212" s="58">
        <v>0.13170000000000001</v>
      </c>
      <c r="J212" s="58">
        <v>0.1391</v>
      </c>
      <c r="K212" s="40">
        <v>1438540158.1400001</v>
      </c>
      <c r="L212" s="35">
        <f t="shared" ref="L212:L225" si="141">(K212/$K$232)</f>
        <v>1.523290819022987E-2</v>
      </c>
      <c r="M212" s="90">
        <v>1.1536</v>
      </c>
      <c r="N212" s="90">
        <v>1.1536</v>
      </c>
      <c r="O212" s="36">
        <v>898</v>
      </c>
      <c r="P212" s="58">
        <v>0.13139999999999999</v>
      </c>
      <c r="Q212" s="58">
        <v>0.13819999999999999</v>
      </c>
      <c r="R212" s="64">
        <f>((K212-D212)/D212)</f>
        <v>9.5913373153051588E-3</v>
      </c>
      <c r="S212" s="64">
        <f>((N212-G212)/G212)</f>
        <v>2.5202050925522746E-3</v>
      </c>
      <c r="T212" s="64">
        <f>((O212-H212)/H212)</f>
        <v>1.9296254256526674E-2</v>
      </c>
      <c r="U212" s="64">
        <f>P212-I212</f>
        <v>-3.0000000000002247E-4</v>
      </c>
      <c r="V212" s="65">
        <f>Q212-J212</f>
        <v>-9.000000000000119E-4</v>
      </c>
      <c r="X212" s="111"/>
    </row>
    <row r="213" spans="1:24">
      <c r="A213" s="181">
        <v>181</v>
      </c>
      <c r="B213" s="150" t="s">
        <v>261</v>
      </c>
      <c r="C213" s="149" t="s">
        <v>262</v>
      </c>
      <c r="D213" s="40">
        <v>372289582.61000001</v>
      </c>
      <c r="E213" s="35">
        <f>(D213/$D$232)</f>
        <v>4.1497637656938849E-3</v>
      </c>
      <c r="F213" s="90">
        <v>1128.58</v>
      </c>
      <c r="G213" s="90">
        <v>1128.58</v>
      </c>
      <c r="H213" s="36">
        <v>19</v>
      </c>
      <c r="I213" s="58">
        <v>4.0000000000000002E-4</v>
      </c>
      <c r="J213" s="58">
        <v>1.12E-2</v>
      </c>
      <c r="K213" s="40">
        <v>373037323.89999998</v>
      </c>
      <c r="L213" s="35">
        <f t="shared" si="141"/>
        <v>3.9501457601607819E-3</v>
      </c>
      <c r="M213" s="90">
        <v>1130.8399999999999</v>
      </c>
      <c r="N213" s="90">
        <v>1130.8399999999999</v>
      </c>
      <c r="O213" s="36">
        <v>19</v>
      </c>
      <c r="P213" s="58">
        <v>2.3999999999999998E-3</v>
      </c>
      <c r="Q213" s="58">
        <v>1.4500000000000001E-2</v>
      </c>
      <c r="R213" s="64">
        <f>((K213-D213)/D213)</f>
        <v>2.0084937235089772E-3</v>
      </c>
      <c r="S213" s="64">
        <f>((N213-G213)/G213)</f>
        <v>2.0025164365840178E-3</v>
      </c>
      <c r="T213" s="64">
        <f>((O213-H213)/H213)</f>
        <v>0</v>
      </c>
      <c r="U213" s="64">
        <f>P213-I213</f>
        <v>1.9999999999999996E-3</v>
      </c>
      <c r="V213" s="65">
        <f>Q213-J213</f>
        <v>3.3000000000000008E-3</v>
      </c>
      <c r="X213" s="111"/>
    </row>
    <row r="214" spans="1:24">
      <c r="A214" s="181">
        <v>182</v>
      </c>
      <c r="B214" s="150" t="s">
        <v>263</v>
      </c>
      <c r="C214" s="149" t="s">
        <v>73</v>
      </c>
      <c r="D214" s="40">
        <v>321635292.60000002</v>
      </c>
      <c r="E214" s="35">
        <f>(D214/$D$232)</f>
        <v>3.5851405608575285E-3</v>
      </c>
      <c r="F214" s="90">
        <v>124.1</v>
      </c>
      <c r="G214" s="90">
        <v>124.1</v>
      </c>
      <c r="H214" s="36">
        <v>80</v>
      </c>
      <c r="I214" s="58">
        <v>2.0999999999999999E-3</v>
      </c>
      <c r="J214" s="58">
        <v>0.1331</v>
      </c>
      <c r="K214" s="40">
        <v>322474059.56</v>
      </c>
      <c r="L214" s="35">
        <f t="shared" si="141"/>
        <v>3.4147240973512938E-3</v>
      </c>
      <c r="M214" s="90">
        <v>124.38</v>
      </c>
      <c r="N214" s="90">
        <v>124.38</v>
      </c>
      <c r="O214" s="36">
        <v>79</v>
      </c>
      <c r="P214" s="58">
        <v>2.3E-3</v>
      </c>
      <c r="Q214" s="58">
        <v>0.1331</v>
      </c>
      <c r="R214" s="64">
        <f t="shared" ref="R214:R233" si="142">((K214-D214)/D214)</f>
        <v>2.6078200349832457E-3</v>
      </c>
      <c r="S214" s="64">
        <f t="shared" ref="S214:S232" si="143">((N214-G214)/G214)</f>
        <v>2.2562449637389295E-3</v>
      </c>
      <c r="T214" s="64">
        <f t="shared" ref="T214:T232" si="144">((O214-H214)/H214)</f>
        <v>-1.2500000000000001E-2</v>
      </c>
      <c r="U214" s="64">
        <f t="shared" ref="U214:U232" si="145">P214-I214</f>
        <v>2.0000000000000009E-4</v>
      </c>
      <c r="V214" s="65">
        <f t="shared" ref="V214:V232" si="146">Q214-J214</f>
        <v>0</v>
      </c>
    </row>
    <row r="215" spans="1:24">
      <c r="A215" s="181">
        <v>183</v>
      </c>
      <c r="B215" s="186" t="s">
        <v>264</v>
      </c>
      <c r="C215" s="149" t="s">
        <v>265</v>
      </c>
      <c r="D215" s="40">
        <v>55824672.057668999</v>
      </c>
      <c r="E215" s="35">
        <v>0</v>
      </c>
      <c r="F215" s="90">
        <v>107.48</v>
      </c>
      <c r="G215" s="90">
        <v>107.48</v>
      </c>
      <c r="H215" s="36">
        <v>14</v>
      </c>
      <c r="I215" s="58">
        <v>3.0000000000000001E-3</v>
      </c>
      <c r="J215" s="58">
        <v>7.4800000000000005E-2</v>
      </c>
      <c r="K215" s="40">
        <v>55108968.401872598</v>
      </c>
      <c r="L215" s="35">
        <f t="shared" si="141"/>
        <v>5.8355677550873508E-4</v>
      </c>
      <c r="M215" s="90">
        <v>107.78</v>
      </c>
      <c r="N215" s="90">
        <v>107.78</v>
      </c>
      <c r="O215" s="36">
        <v>14</v>
      </c>
      <c r="P215" s="58">
        <v>3.0000000000000001E-3</v>
      </c>
      <c r="Q215" s="58">
        <v>7.7799999999999994E-2</v>
      </c>
      <c r="R215" s="64">
        <f t="shared" si="142"/>
        <v>-1.2820561759091969E-2</v>
      </c>
      <c r="S215" s="64">
        <f t="shared" si="143"/>
        <v>2.7912169705991549E-3</v>
      </c>
      <c r="T215" s="64">
        <f t="shared" si="144"/>
        <v>0</v>
      </c>
      <c r="U215" s="64">
        <f t="shared" si="145"/>
        <v>0</v>
      </c>
      <c r="V215" s="65">
        <f t="shared" si="146"/>
        <v>2.9999999999999888E-3</v>
      </c>
    </row>
    <row r="216" spans="1:24">
      <c r="A216" s="181">
        <v>184</v>
      </c>
      <c r="B216" s="186" t="s">
        <v>266</v>
      </c>
      <c r="C216" s="149" t="s">
        <v>79</v>
      </c>
      <c r="D216" s="52">
        <v>69569481.510000005</v>
      </c>
      <c r="E216" s="35">
        <f>(D216/$D$232)</f>
        <v>7.7546331418770688E-4</v>
      </c>
      <c r="F216" s="90">
        <v>101.93</v>
      </c>
      <c r="G216" s="90">
        <v>101.93</v>
      </c>
      <c r="H216" s="36">
        <v>15</v>
      </c>
      <c r="I216" s="58">
        <v>-3.7000000000000002E-3</v>
      </c>
      <c r="J216" s="58">
        <v>3.2800000000000003E-2</v>
      </c>
      <c r="K216" s="52">
        <v>70940387.709999993</v>
      </c>
      <c r="L216" s="35">
        <f t="shared" si="141"/>
        <v>7.5119794664819744E-4</v>
      </c>
      <c r="M216" s="90">
        <v>103.93</v>
      </c>
      <c r="N216" s="90">
        <v>103.93</v>
      </c>
      <c r="O216" s="36">
        <v>15</v>
      </c>
      <c r="P216" s="58">
        <v>2.0400000000000001E-2</v>
      </c>
      <c r="Q216" s="58">
        <v>5.3199999999999997E-2</v>
      </c>
      <c r="R216" s="64">
        <f t="shared" si="142"/>
        <v>1.970556873854137E-2</v>
      </c>
      <c r="S216" s="64">
        <f t="shared" si="143"/>
        <v>1.9621308741293041E-2</v>
      </c>
      <c r="T216" s="64">
        <f t="shared" si="144"/>
        <v>0</v>
      </c>
      <c r="U216" s="64">
        <f t="shared" si="145"/>
        <v>2.4100000000000003E-2</v>
      </c>
      <c r="V216" s="65">
        <f t="shared" si="146"/>
        <v>2.0399999999999995E-2</v>
      </c>
    </row>
    <row r="217" spans="1:24">
      <c r="A217" s="181">
        <v>185</v>
      </c>
      <c r="B217" s="150" t="s">
        <v>267</v>
      </c>
      <c r="C217" s="149" t="s">
        <v>82</v>
      </c>
      <c r="D217" s="52">
        <v>272130830.26999998</v>
      </c>
      <c r="E217" s="35">
        <v>0</v>
      </c>
      <c r="F217" s="90">
        <v>1.19</v>
      </c>
      <c r="G217" s="90">
        <v>1.19</v>
      </c>
      <c r="H217" s="36">
        <v>62</v>
      </c>
      <c r="I217" s="58">
        <v>0.14050000000000001</v>
      </c>
      <c r="J217" s="58">
        <v>0.13969999999999999</v>
      </c>
      <c r="K217" s="52">
        <v>272173113.69</v>
      </c>
      <c r="L217" s="35">
        <f t="shared" si="141"/>
        <v>2.8820801624679254E-3</v>
      </c>
      <c r="M217" s="90">
        <v>1.19</v>
      </c>
      <c r="N217" s="90">
        <v>1.19</v>
      </c>
      <c r="O217" s="36">
        <v>61</v>
      </c>
      <c r="P217" s="58">
        <v>0.14050000000000001</v>
      </c>
      <c r="Q217" s="58">
        <v>0.13969999999999999</v>
      </c>
      <c r="R217" s="64">
        <f t="shared" ref="R217:R218" si="147">((K217-D217)/D217)</f>
        <v>1.5537901368273621E-4</v>
      </c>
      <c r="S217" s="64">
        <f t="shared" ref="S217:S218" si="148">((N217-G217)/G217)</f>
        <v>0</v>
      </c>
      <c r="T217" s="64">
        <f t="shared" ref="T217" si="149">((O217-H217)/H217)</f>
        <v>-1.6129032258064516E-2</v>
      </c>
      <c r="U217" s="64">
        <f t="shared" ref="U217" si="150">P217-I217</f>
        <v>0</v>
      </c>
      <c r="V217" s="65">
        <f t="shared" ref="V217" si="151">Q217-J217</f>
        <v>0</v>
      </c>
    </row>
    <row r="218" spans="1:24">
      <c r="A218" s="181">
        <v>186</v>
      </c>
      <c r="B218" s="150" t="s">
        <v>268</v>
      </c>
      <c r="C218" s="149" t="s">
        <v>32</v>
      </c>
      <c r="D218" s="40">
        <v>5219309428.0600004</v>
      </c>
      <c r="E218" s="35">
        <f t="shared" ref="E218:E225" si="152">(D218/$D$232)</f>
        <v>5.8177564342962326E-2</v>
      </c>
      <c r="F218" s="90">
        <v>144.25</v>
      </c>
      <c r="G218" s="90">
        <v>144.25</v>
      </c>
      <c r="H218" s="36">
        <v>779</v>
      </c>
      <c r="I218" s="58">
        <v>2.5000000000000001E-3</v>
      </c>
      <c r="J218" s="58">
        <v>1.38E-2</v>
      </c>
      <c r="K218" s="40">
        <v>5303291102.5900002</v>
      </c>
      <c r="L218" s="35">
        <f t="shared" si="141"/>
        <v>5.6157310600399926E-2</v>
      </c>
      <c r="M218" s="90">
        <v>144.63</v>
      </c>
      <c r="N218" s="90">
        <v>144.63</v>
      </c>
      <c r="O218" s="36">
        <v>783</v>
      </c>
      <c r="P218" s="58">
        <v>-2.5999999999999999E-3</v>
      </c>
      <c r="Q218" s="58">
        <v>1.6400000000000001E-2</v>
      </c>
      <c r="R218" s="64">
        <f t="shared" si="147"/>
        <v>1.6090572074247654E-2</v>
      </c>
      <c r="S218" s="64">
        <f t="shared" si="148"/>
        <v>2.6343154246100207E-3</v>
      </c>
      <c r="T218" s="64">
        <f t="shared" si="144"/>
        <v>5.1347881899871627E-3</v>
      </c>
      <c r="U218" s="64">
        <f t="shared" si="145"/>
        <v>-5.1000000000000004E-3</v>
      </c>
      <c r="V218" s="65">
        <f t="shared" si="146"/>
        <v>2.6000000000000016E-3</v>
      </c>
    </row>
    <row r="219" spans="1:24">
      <c r="A219" s="181">
        <v>187</v>
      </c>
      <c r="B219" s="150" t="s">
        <v>269</v>
      </c>
      <c r="C219" s="149" t="s">
        <v>71</v>
      </c>
      <c r="D219" s="40">
        <v>1042577580.17396</v>
      </c>
      <c r="E219" s="35">
        <f t="shared" si="152"/>
        <v>1.1621197227167587E-2</v>
      </c>
      <c r="F219" s="39">
        <v>1340.4723980415899</v>
      </c>
      <c r="G219" s="39">
        <v>1340.4723980415899</v>
      </c>
      <c r="H219" s="36">
        <v>325</v>
      </c>
      <c r="I219" s="58">
        <v>0.1166</v>
      </c>
      <c r="J219" s="58">
        <v>0.1163</v>
      </c>
      <c r="K219" s="40">
        <v>1058265345.22351</v>
      </c>
      <c r="L219" s="35">
        <f t="shared" si="141"/>
        <v>1.1206123620167154E-2</v>
      </c>
      <c r="M219" s="39">
        <v>1343.4535492571599</v>
      </c>
      <c r="N219" s="39">
        <v>1343.4535492571599</v>
      </c>
      <c r="O219" s="36">
        <v>327</v>
      </c>
      <c r="P219" s="58">
        <v>0.11600000000000001</v>
      </c>
      <c r="Q219" s="58">
        <v>0.1164</v>
      </c>
      <c r="R219" s="64">
        <f t="shared" si="142"/>
        <v>1.5047096108600824E-2</v>
      </c>
      <c r="S219" s="64">
        <f t="shared" si="143"/>
        <v>2.2239556889984435E-3</v>
      </c>
      <c r="T219" s="64">
        <f t="shared" si="144"/>
        <v>6.1538461538461538E-3</v>
      </c>
      <c r="U219" s="64">
        <f t="shared" si="145"/>
        <v>-5.9999999999998943E-4</v>
      </c>
      <c r="V219" s="65">
        <f t="shared" si="146"/>
        <v>1.0000000000000286E-4</v>
      </c>
    </row>
    <row r="220" spans="1:24">
      <c r="A220" s="181">
        <v>188</v>
      </c>
      <c r="B220" s="150" t="s">
        <v>270</v>
      </c>
      <c r="C220" s="149" t="s">
        <v>258</v>
      </c>
      <c r="D220" s="40">
        <v>41952291144.389999</v>
      </c>
      <c r="E220" s="35">
        <f t="shared" si="152"/>
        <v>0.46762548782140917</v>
      </c>
      <c r="F220" s="39">
        <v>1279.26</v>
      </c>
      <c r="G220" s="39">
        <v>1279.26</v>
      </c>
      <c r="H220" s="36">
        <v>12179</v>
      </c>
      <c r="I220" s="58">
        <v>2.8E-3</v>
      </c>
      <c r="J220" s="58">
        <v>1.5299999999999999E-2</v>
      </c>
      <c r="K220" s="40">
        <v>42615861716.620003</v>
      </c>
      <c r="L220" s="35">
        <f t="shared" si="141"/>
        <v>0.4512654758391717</v>
      </c>
      <c r="M220" s="39">
        <v>1283.08</v>
      </c>
      <c r="N220" s="39">
        <v>1283.08</v>
      </c>
      <c r="O220" s="36">
        <v>12258</v>
      </c>
      <c r="P220" s="58">
        <v>3.0000000000000001E-3</v>
      </c>
      <c r="Q220" s="58">
        <v>1.8200000000000001E-2</v>
      </c>
      <c r="R220" s="64">
        <f t="shared" si="142"/>
        <v>1.581726656945024E-2</v>
      </c>
      <c r="S220" s="64">
        <f t="shared" si="143"/>
        <v>2.9861013398370436E-3</v>
      </c>
      <c r="T220" s="64">
        <f t="shared" si="144"/>
        <v>6.4865752524837835E-3</v>
      </c>
      <c r="U220" s="64">
        <f t="shared" si="145"/>
        <v>2.0000000000000009E-4</v>
      </c>
      <c r="V220" s="65">
        <f t="shared" si="146"/>
        <v>2.9000000000000015E-3</v>
      </c>
    </row>
    <row r="221" spans="1:24">
      <c r="A221" s="181">
        <v>189</v>
      </c>
      <c r="B221" s="150" t="s">
        <v>271</v>
      </c>
      <c r="C221" s="149" t="s">
        <v>272</v>
      </c>
      <c r="D221" s="40">
        <v>352017722.08999997</v>
      </c>
      <c r="E221" s="35">
        <f t="shared" si="152"/>
        <v>3.9238014068781078E-3</v>
      </c>
      <c r="F221" s="91">
        <v>124.97</v>
      </c>
      <c r="G221" s="91">
        <v>125.74</v>
      </c>
      <c r="H221" s="54">
        <v>133</v>
      </c>
      <c r="I221" s="58">
        <v>6.6E-3</v>
      </c>
      <c r="J221" s="58">
        <v>2.8500000000000001E-2</v>
      </c>
      <c r="K221" s="40">
        <v>361524428.11000001</v>
      </c>
      <c r="L221" s="35">
        <f t="shared" si="141"/>
        <v>3.828234054338465E-3</v>
      </c>
      <c r="M221" s="91">
        <v>128.59</v>
      </c>
      <c r="N221" s="91">
        <v>129.38999999999999</v>
      </c>
      <c r="O221" s="54">
        <v>129</v>
      </c>
      <c r="P221" s="58">
        <v>2.9000000000000001E-2</v>
      </c>
      <c r="Q221" s="58">
        <v>6.0600000000000001E-2</v>
      </c>
      <c r="R221" s="64">
        <f t="shared" si="142"/>
        <v>2.7006327873371875E-2</v>
      </c>
      <c r="S221" s="64">
        <f t="shared" si="143"/>
        <v>2.9028153332272877E-2</v>
      </c>
      <c r="T221" s="64">
        <f t="shared" si="144"/>
        <v>-3.007518796992481E-2</v>
      </c>
      <c r="U221" s="64">
        <f t="shared" si="145"/>
        <v>2.2400000000000003E-2</v>
      </c>
      <c r="V221" s="65">
        <f t="shared" si="146"/>
        <v>3.2100000000000004E-2</v>
      </c>
    </row>
    <row r="222" spans="1:24">
      <c r="A222" s="181">
        <v>190</v>
      </c>
      <c r="B222" s="150" t="s">
        <v>273</v>
      </c>
      <c r="C222" s="149" t="s">
        <v>272</v>
      </c>
      <c r="D222" s="40">
        <v>830605652.98000002</v>
      </c>
      <c r="E222" s="35">
        <f t="shared" si="152"/>
        <v>9.2584305425696019E-3</v>
      </c>
      <c r="F222" s="91">
        <v>137.35</v>
      </c>
      <c r="G222" s="91">
        <v>137.35</v>
      </c>
      <c r="H222" s="54">
        <v>149</v>
      </c>
      <c r="I222" s="58">
        <v>8.0000000000000004E-4</v>
      </c>
      <c r="J222" s="58">
        <v>1.37E-2</v>
      </c>
      <c r="K222" s="40">
        <v>828973409.48000002</v>
      </c>
      <c r="L222" s="35">
        <f t="shared" si="141"/>
        <v>8.7781184051740156E-3</v>
      </c>
      <c r="M222" s="91">
        <v>137.59</v>
      </c>
      <c r="N222" s="91">
        <v>137.59</v>
      </c>
      <c r="O222" s="54">
        <v>148</v>
      </c>
      <c r="P222" s="58">
        <v>1.6999999999999999E-3</v>
      </c>
      <c r="Q222" s="58">
        <v>1.4500000000000001E-2</v>
      </c>
      <c r="R222" s="64">
        <f t="shared" si="142"/>
        <v>-1.9651244777156634E-3</v>
      </c>
      <c r="S222" s="64">
        <f t="shared" si="143"/>
        <v>1.7473607571897277E-3</v>
      </c>
      <c r="T222" s="64">
        <f t="shared" si="144"/>
        <v>-6.7114093959731542E-3</v>
      </c>
      <c r="U222" s="64">
        <f t="shared" si="145"/>
        <v>8.9999999999999987E-4</v>
      </c>
      <c r="V222" s="65">
        <f t="shared" si="146"/>
        <v>8.0000000000000036E-4</v>
      </c>
    </row>
    <row r="223" spans="1:24" ht="13.5" customHeight="1">
      <c r="A223" s="181">
        <v>191</v>
      </c>
      <c r="B223" s="150" t="s">
        <v>274</v>
      </c>
      <c r="C223" s="149" t="s">
        <v>104</v>
      </c>
      <c r="D223" s="40">
        <v>2682228676</v>
      </c>
      <c r="E223" s="35">
        <f t="shared" si="152"/>
        <v>2.9897735233247177E-2</v>
      </c>
      <c r="F223" s="68">
        <v>105.6</v>
      </c>
      <c r="G223" s="68">
        <v>105.6</v>
      </c>
      <c r="H223" s="36">
        <v>808</v>
      </c>
      <c r="I223" s="58">
        <v>3.0999999999999999E-3</v>
      </c>
      <c r="J223" s="58">
        <v>0.16309999999999999</v>
      </c>
      <c r="K223" s="40">
        <v>2735408673</v>
      </c>
      <c r="L223" s="35">
        <f t="shared" si="141"/>
        <v>2.8965635017407926E-2</v>
      </c>
      <c r="M223" s="68">
        <v>105.93</v>
      </c>
      <c r="N223" s="68">
        <v>105.93</v>
      </c>
      <c r="O223" s="36">
        <v>812</v>
      </c>
      <c r="P223" s="58">
        <v>3.2000000000000002E-3</v>
      </c>
      <c r="Q223" s="58">
        <v>0.16309999999999999</v>
      </c>
      <c r="R223" s="64">
        <f t="shared" si="142"/>
        <v>1.9826794589082979E-2</v>
      </c>
      <c r="S223" s="64">
        <f t="shared" si="143"/>
        <v>3.1250000000001186E-3</v>
      </c>
      <c r="T223" s="64">
        <f t="shared" si="144"/>
        <v>4.9504950495049506E-3</v>
      </c>
      <c r="U223" s="64">
        <f t="shared" si="145"/>
        <v>1.0000000000000026E-4</v>
      </c>
      <c r="V223" s="65">
        <f t="shared" si="146"/>
        <v>0</v>
      </c>
    </row>
    <row r="224" spans="1:24" ht="15.75" customHeight="1">
      <c r="A224" s="181">
        <v>192</v>
      </c>
      <c r="B224" s="150" t="s">
        <v>275</v>
      </c>
      <c r="C224" s="149" t="s">
        <v>50</v>
      </c>
      <c r="D224" s="40">
        <v>3919980697.3400002</v>
      </c>
      <c r="E224" s="35">
        <f t="shared" si="152"/>
        <v>4.3694464255482054E-2</v>
      </c>
      <c r="F224" s="68">
        <v>146.29</v>
      </c>
      <c r="G224" s="68">
        <v>146.29</v>
      </c>
      <c r="H224" s="36">
        <v>2139</v>
      </c>
      <c r="I224" s="58">
        <v>2.3999999999999998E-3</v>
      </c>
      <c r="J224" s="58">
        <v>1.29E-2</v>
      </c>
      <c r="K224" s="40">
        <v>3683411671.3200002</v>
      </c>
      <c r="L224" s="35">
        <f t="shared" si="141"/>
        <v>3.9004174821637573E-2</v>
      </c>
      <c r="M224" s="68">
        <v>146.63999999999999</v>
      </c>
      <c r="N224" s="68">
        <v>146.63999999999999</v>
      </c>
      <c r="O224" s="36">
        <v>2202</v>
      </c>
      <c r="P224" s="58">
        <v>2.3999999999999998E-3</v>
      </c>
      <c r="Q224" s="58">
        <v>1.54E-2</v>
      </c>
      <c r="R224" s="64">
        <f t="shared" si="142"/>
        <v>-6.0349538501689497E-2</v>
      </c>
      <c r="S224" s="64">
        <f t="shared" si="143"/>
        <v>2.3925080319912116E-3</v>
      </c>
      <c r="T224" s="64">
        <f t="shared" si="144"/>
        <v>2.9453015427769985E-2</v>
      </c>
      <c r="U224" s="64">
        <f t="shared" si="145"/>
        <v>0</v>
      </c>
      <c r="V224" s="65">
        <f t="shared" si="146"/>
        <v>2.5000000000000005E-3</v>
      </c>
    </row>
    <row r="225" spans="1:22">
      <c r="A225" s="181">
        <v>193</v>
      </c>
      <c r="B225" s="150" t="s">
        <v>276</v>
      </c>
      <c r="C225" s="149" t="s">
        <v>53</v>
      </c>
      <c r="D225" s="40">
        <v>4086289345.8800001</v>
      </c>
      <c r="E225" s="35">
        <f t="shared" si="152"/>
        <v>4.5548240551865252E-2</v>
      </c>
      <c r="F225" s="68">
        <v>1.2345999999999999</v>
      </c>
      <c r="G225" s="68">
        <v>1.2345999999999999</v>
      </c>
      <c r="H225" s="36">
        <v>2109</v>
      </c>
      <c r="I225" s="58">
        <v>2.2000000000000001E-3</v>
      </c>
      <c r="J225" s="58">
        <v>3.5000000000000003E-2</v>
      </c>
      <c r="K225" s="40">
        <v>4094368822.4499998</v>
      </c>
      <c r="L225" s="35">
        <f t="shared" si="141"/>
        <v>4.335585907449558E-2</v>
      </c>
      <c r="M225" s="68">
        <v>1.2370000000000001</v>
      </c>
      <c r="N225" s="68">
        <v>1.2370000000000001</v>
      </c>
      <c r="O225" s="36">
        <v>2114</v>
      </c>
      <c r="P225" s="58">
        <v>1.9E-3</v>
      </c>
      <c r="Q225" s="58">
        <v>4.6100000000000002E-2</v>
      </c>
      <c r="R225" s="64">
        <f t="shared" si="142"/>
        <v>1.9772159742299758E-3</v>
      </c>
      <c r="S225" s="64">
        <f t="shared" si="143"/>
        <v>1.9439494573142556E-3</v>
      </c>
      <c r="T225" s="64">
        <f t="shared" si="144"/>
        <v>2.3707918444760552E-3</v>
      </c>
      <c r="U225" s="64">
        <f t="shared" si="145"/>
        <v>-3.0000000000000014E-4</v>
      </c>
      <c r="V225" s="65">
        <f t="shared" si="146"/>
        <v>1.1099999999999999E-2</v>
      </c>
    </row>
    <row r="226" spans="1:22" ht="6" customHeight="1">
      <c r="A226" s="43"/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</row>
    <row r="227" spans="1:22">
      <c r="A227" s="190" t="s">
        <v>277</v>
      </c>
      <c r="B227" s="190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</row>
    <row r="228" spans="1:22">
      <c r="A228" s="181">
        <v>194</v>
      </c>
      <c r="B228" s="150" t="s">
        <v>278</v>
      </c>
      <c r="C228" s="149" t="s">
        <v>20</v>
      </c>
      <c r="D228" s="89">
        <v>394006747.22000003</v>
      </c>
      <c r="E228" s="35">
        <f>(D228/$D$204)</f>
        <v>3.6450734817611116E-2</v>
      </c>
      <c r="F228" s="90">
        <v>108.7812</v>
      </c>
      <c r="G228" s="90">
        <v>108.7812</v>
      </c>
      <c r="H228" s="38">
        <v>112</v>
      </c>
      <c r="I228" s="59">
        <v>1.01E-2</v>
      </c>
      <c r="J228" s="59">
        <v>3.7199999999999997E-2</v>
      </c>
      <c r="K228" s="89">
        <v>406410326.89999998</v>
      </c>
      <c r="L228" s="62">
        <f>(K228/K229)</f>
        <v>5.6245733548738651E-2</v>
      </c>
      <c r="M228" s="90">
        <v>110.5958</v>
      </c>
      <c r="N228" s="90">
        <v>110.5958</v>
      </c>
      <c r="O228" s="38">
        <v>110</v>
      </c>
      <c r="P228" s="59">
        <v>1.67E-2</v>
      </c>
      <c r="Q228" s="59">
        <v>5.45E-2</v>
      </c>
      <c r="R228" s="64">
        <f>((K228-D228)/D228)</f>
        <v>3.1480627597156877E-2</v>
      </c>
      <c r="S228" s="64">
        <f t="shared" ref="S228" si="153">((N228-G228)/G228)</f>
        <v>1.6681191235250196E-2</v>
      </c>
      <c r="T228" s="64">
        <f t="shared" ref="T228" si="154">((O228-H228)/H228)</f>
        <v>-1.7857142857142856E-2</v>
      </c>
      <c r="U228" s="64">
        <f t="shared" ref="U228" si="155">P228-I228</f>
        <v>6.6E-3</v>
      </c>
      <c r="V228" s="65">
        <f t="shared" ref="V228" si="156">Q228-J228</f>
        <v>1.7300000000000003E-2</v>
      </c>
    </row>
    <row r="229" spans="1:22">
      <c r="A229" s="181">
        <v>195</v>
      </c>
      <c r="B229" s="150" t="s">
        <v>279</v>
      </c>
      <c r="C229" s="149" t="s">
        <v>24</v>
      </c>
      <c r="D229" s="89">
        <v>6690049720.1400003</v>
      </c>
      <c r="E229" s="35">
        <f>(D229/$D$204)</f>
        <v>0.61891637639721686</v>
      </c>
      <c r="F229" s="90">
        <v>114.6902</v>
      </c>
      <c r="G229" s="90">
        <v>118.1482</v>
      </c>
      <c r="H229" s="38">
        <v>4015</v>
      </c>
      <c r="I229" s="59">
        <v>1.6328</v>
      </c>
      <c r="J229" s="59">
        <v>1.0001</v>
      </c>
      <c r="K229" s="89">
        <v>7225620527.25</v>
      </c>
      <c r="L229" s="62">
        <f>(K229/$K$204)</f>
        <v>0.59044985143932005</v>
      </c>
      <c r="M229" s="90">
        <v>120.1276</v>
      </c>
      <c r="N229" s="90">
        <v>123.7496</v>
      </c>
      <c r="O229" s="38">
        <v>4082</v>
      </c>
      <c r="P229" s="59">
        <v>2.4721000000000002</v>
      </c>
      <c r="Q229" s="59">
        <v>1.2742</v>
      </c>
      <c r="R229" s="64">
        <f>((K229-D229)/D229)</f>
        <v>8.0054832103518644E-2</v>
      </c>
      <c r="S229" s="64">
        <f t="shared" ref="S229" si="157">((N229-G229)/G229)</f>
        <v>4.740994784516394E-2</v>
      </c>
      <c r="T229" s="64">
        <f t="shared" ref="T229" si="158">((O229-H229)/H229)</f>
        <v>1.6687422166874223E-2</v>
      </c>
      <c r="U229" s="64">
        <f t="shared" ref="U229" si="159">P229-I229</f>
        <v>0.83930000000000016</v>
      </c>
      <c r="V229" s="65">
        <f t="shared" ref="V229" si="160">Q229-J229</f>
        <v>0.27410000000000001</v>
      </c>
    </row>
    <row r="230" spans="1:22">
      <c r="A230" s="181">
        <v>196</v>
      </c>
      <c r="B230" s="150" t="s">
        <v>280</v>
      </c>
      <c r="C230" s="149" t="s">
        <v>258</v>
      </c>
      <c r="D230" s="40">
        <v>307827332.89999998</v>
      </c>
      <c r="E230" s="35">
        <f t="shared" ref="E230" si="161">(D230/$D$232)</f>
        <v>3.431228731148215E-3</v>
      </c>
      <c r="F230" s="39">
        <v>1341.17</v>
      </c>
      <c r="G230" s="39">
        <v>1341.17</v>
      </c>
      <c r="H230" s="36">
        <v>135</v>
      </c>
      <c r="I230" s="58">
        <v>3.4299999999999997E-2</v>
      </c>
      <c r="J230" s="58">
        <v>7.46E-2</v>
      </c>
      <c r="K230" s="40">
        <v>316270899.83999997</v>
      </c>
      <c r="L230" s="35">
        <f t="shared" ref="L230" si="162">(K230/$K$232)</f>
        <v>3.3490379488142459E-3</v>
      </c>
      <c r="M230" s="39">
        <v>1376.3</v>
      </c>
      <c r="N230" s="39">
        <v>1376.3</v>
      </c>
      <c r="O230" s="36">
        <v>135</v>
      </c>
      <c r="P230" s="58">
        <v>2.6200000000000001E-2</v>
      </c>
      <c r="Q230" s="58">
        <v>0.1028</v>
      </c>
      <c r="R230" s="64">
        <f t="shared" ref="R230" si="163">((K230-D230)/D230)</f>
        <v>2.74295555903184E-2</v>
      </c>
      <c r="S230" s="64">
        <f t="shared" ref="S230" si="164">((N230-G230)/G230)</f>
        <v>2.6193547425009418E-2</v>
      </c>
      <c r="T230" s="64">
        <f t="shared" ref="T230" si="165">((O230-H230)/H230)</f>
        <v>0</v>
      </c>
      <c r="U230" s="64">
        <f t="shared" ref="U230" si="166">P230-I230</f>
        <v>-8.0999999999999961E-3</v>
      </c>
      <c r="V230" s="65">
        <f t="shared" ref="V230" si="167">Q230-J230</f>
        <v>2.8200000000000003E-2</v>
      </c>
    </row>
    <row r="231" spans="1:22">
      <c r="A231" s="181">
        <v>197</v>
      </c>
      <c r="B231" s="150" t="s">
        <v>281</v>
      </c>
      <c r="C231" s="149" t="s">
        <v>282</v>
      </c>
      <c r="D231" s="40">
        <v>153181807.97</v>
      </c>
      <c r="E231" s="35">
        <f t="shared" ref="E231" si="168">(D231/$D$232)</f>
        <v>1.7074566304566539E-3</v>
      </c>
      <c r="F231" s="39">
        <v>112.09</v>
      </c>
      <c r="G231" s="39">
        <v>114.4</v>
      </c>
      <c r="H231" s="36">
        <v>308</v>
      </c>
      <c r="I231" s="58">
        <v>-5.3600000000000002E-2</v>
      </c>
      <c r="J231" s="58">
        <v>4.9000000000000002E-2</v>
      </c>
      <c r="K231" s="40">
        <v>152716199.66999999</v>
      </c>
      <c r="L231" s="35">
        <f t="shared" ref="L231" si="169">(K231/$K$232)</f>
        <v>1.6171337557526317E-3</v>
      </c>
      <c r="M231" s="39">
        <v>111.92</v>
      </c>
      <c r="N231" s="39">
        <v>114.22</v>
      </c>
      <c r="O231" s="36">
        <v>310</v>
      </c>
      <c r="P231" s="58">
        <v>6.4000000000000003E-3</v>
      </c>
      <c r="Q231" s="58">
        <v>4.7100000000000003E-2</v>
      </c>
      <c r="R231" s="64">
        <f t="shared" ref="R231" si="170">((K231-D231)/D231)</f>
        <v>-3.0395796091608955E-3</v>
      </c>
      <c r="S231" s="64">
        <f t="shared" ref="S231" si="171">((N231-G231)/G231)</f>
        <v>-1.5734265734266329E-3</v>
      </c>
      <c r="T231" s="64">
        <f t="shared" ref="T231" si="172">((O231-H231)/H231)</f>
        <v>6.4935064935064939E-3</v>
      </c>
      <c r="U231" s="64">
        <f t="shared" ref="U231" si="173">P231-I231</f>
        <v>6.0000000000000005E-2</v>
      </c>
      <c r="V231" s="65">
        <f t="shared" ref="V231" si="174">Q231-J231</f>
        <v>-1.8999999999999989E-3</v>
      </c>
    </row>
    <row r="232" spans="1:22">
      <c r="A232" s="43"/>
      <c r="B232" s="44"/>
      <c r="C232" s="79" t="s">
        <v>56</v>
      </c>
      <c r="D232" s="67">
        <f>SUM(D208:D231)</f>
        <v>89713440000.541626</v>
      </c>
      <c r="E232" s="47">
        <f>(D232/$D$233)</f>
        <v>1.1065354668886248E-2</v>
      </c>
      <c r="F232" s="48"/>
      <c r="G232" s="82"/>
      <c r="H232" s="92">
        <f>SUM(H208:H231)</f>
        <v>43532</v>
      </c>
      <c r="I232" s="84"/>
      <c r="J232" s="84"/>
      <c r="K232" s="67">
        <f>SUM(K208:K231)</f>
        <v>94436344010.965378</v>
      </c>
      <c r="L232" s="47">
        <f>(K232/$K$233)</f>
        <v>1.1549714463579138E-2</v>
      </c>
      <c r="M232" s="48"/>
      <c r="N232" s="82"/>
      <c r="O232" s="50">
        <f>SUM(O208:O231)</f>
        <v>44098</v>
      </c>
      <c r="P232" s="84"/>
      <c r="Q232" s="84"/>
      <c r="R232" s="64">
        <f t="shared" si="142"/>
        <v>5.2644330775803917E-2</v>
      </c>
      <c r="S232" s="64" t="e">
        <f t="shared" si="143"/>
        <v>#DIV/0!</v>
      </c>
      <c r="T232" s="64">
        <f t="shared" si="144"/>
        <v>1.3001929614995866E-2</v>
      </c>
      <c r="U232" s="64">
        <f t="shared" si="145"/>
        <v>0</v>
      </c>
      <c r="V232" s="65">
        <f t="shared" si="146"/>
        <v>0</v>
      </c>
    </row>
    <row r="233" spans="1:22">
      <c r="A233" s="93"/>
      <c r="B233" s="93"/>
      <c r="C233" s="94" t="s">
        <v>283</v>
      </c>
      <c r="D233" s="95">
        <f>SUM(D26,D73,D115,D157,D166,D198,D204,D232)</f>
        <v>8107597332853.6318</v>
      </c>
      <c r="E233" s="96"/>
      <c r="F233" s="96"/>
      <c r="G233" s="97"/>
      <c r="H233" s="95">
        <f>SUM(H26,H73,H115,H157,H166,H198,H204,H232)</f>
        <v>1182898</v>
      </c>
      <c r="I233" s="107"/>
      <c r="J233" s="107"/>
      <c r="K233" s="95">
        <f>SUM(K26,K73,K115,K157,K166,K198,K204,K232)</f>
        <v>8176508978534.5674</v>
      </c>
      <c r="L233" s="96"/>
      <c r="M233" s="96"/>
      <c r="N233" s="97"/>
      <c r="O233" s="95">
        <f>SUM(O26,O73,O115,O157,O166,O198,O204,O232)</f>
        <v>1193095</v>
      </c>
      <c r="P233" s="108"/>
      <c r="Q233" s="95"/>
      <c r="R233" s="112">
        <f t="shared" si="142"/>
        <v>8.4996384072617368E-3</v>
      </c>
      <c r="S233" s="112"/>
      <c r="T233" s="112"/>
      <c r="U233" s="112"/>
      <c r="V233" s="112"/>
    </row>
    <row r="234" spans="1:22" ht="6.75" customHeight="1">
      <c r="A234" s="43"/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44"/>
    </row>
    <row r="235" spans="1:22" ht="14.4" customHeight="1">
      <c r="A235" s="187" t="s">
        <v>284</v>
      </c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</row>
    <row r="236" spans="1:22" ht="14.4" customHeight="1">
      <c r="A236" s="181">
        <v>1</v>
      </c>
      <c r="B236" s="150" t="s">
        <v>285</v>
      </c>
      <c r="C236" s="149" t="s">
        <v>24</v>
      </c>
      <c r="D236" s="40">
        <v>1843230285.0005281</v>
      </c>
      <c r="E236" s="35">
        <f t="shared" ref="E236:E239" si="175">(D236/$D$232)</f>
        <v>2.0545754181195149E-2</v>
      </c>
      <c r="F236" s="39">
        <v>1423.0291286400002</v>
      </c>
      <c r="G236" s="39">
        <v>1423.0291286400002</v>
      </c>
      <c r="H236" s="36">
        <v>53</v>
      </c>
      <c r="I236" s="58">
        <v>4.5100000000000001E-2</v>
      </c>
      <c r="J236" s="58">
        <v>4.7600000000000003E-2</v>
      </c>
      <c r="K236" s="40">
        <f>1456847.92*W138</f>
        <v>1974638039.7153521</v>
      </c>
      <c r="L236" s="35">
        <f>(K236/$K$241)</f>
        <v>9.52308882763339E-2</v>
      </c>
      <c r="M236" s="39">
        <f>1.0433*W138</f>
        <v>1414.1077037299999</v>
      </c>
      <c r="N236" s="39">
        <f>1.0433*W138</f>
        <v>1414.1077037299999</v>
      </c>
      <c r="O236" s="36">
        <v>55</v>
      </c>
      <c r="P236" s="58">
        <v>8.5099999999999995E-2</v>
      </c>
      <c r="Q236" s="58">
        <v>5.3600000000000002E-2</v>
      </c>
      <c r="R236" s="64">
        <f t="shared" ref="R236" si="176">((K236-D236)/D236)</f>
        <v>7.1292098325514613E-2</v>
      </c>
      <c r="S236" s="64">
        <f t="shared" ref="S236" si="177">((N236-G236)/G236)</f>
        <v>-6.2693199530824383E-3</v>
      </c>
      <c r="T236" s="64">
        <f t="shared" ref="T236" si="178">((O236-H236)/H236)</f>
        <v>3.7735849056603772E-2</v>
      </c>
      <c r="U236" s="64">
        <f t="shared" ref="U236" si="179">P236-I236</f>
        <v>3.9999999999999994E-2</v>
      </c>
      <c r="V236" s="65">
        <f t="shared" ref="V236" si="180">Q236-J236</f>
        <v>5.9999999999999984E-3</v>
      </c>
    </row>
    <row r="237" spans="1:22" ht="14.4" customHeight="1">
      <c r="A237" s="181">
        <v>2</v>
      </c>
      <c r="B237" s="150" t="s">
        <v>286</v>
      </c>
      <c r="C237" s="149" t="s">
        <v>214</v>
      </c>
      <c r="D237" s="40">
        <v>4219222857.27</v>
      </c>
      <c r="E237" s="35">
        <f t="shared" ref="E237" si="181">(D237/$D$232)</f>
        <v>4.70299974813643E-2</v>
      </c>
      <c r="F237" s="39">
        <v>123.2</v>
      </c>
      <c r="G237" s="39">
        <v>123.2</v>
      </c>
      <c r="H237" s="36">
        <v>9</v>
      </c>
      <c r="I237" s="58">
        <v>5.4999999999999997E-3</v>
      </c>
      <c r="J237" s="58">
        <v>2.5700000000000001E-2</v>
      </c>
      <c r="K237" s="40">
        <v>4241740966.9699998</v>
      </c>
      <c r="L237" s="35">
        <f>(K237/$K$241)</f>
        <v>0.20456648357736387</v>
      </c>
      <c r="M237" s="39">
        <v>123.2</v>
      </c>
      <c r="N237" s="39">
        <v>123.2</v>
      </c>
      <c r="O237" s="36">
        <v>9</v>
      </c>
      <c r="P237" s="58">
        <v>5.3E-3</v>
      </c>
      <c r="Q237" s="58">
        <v>3.1199999999999999E-2</v>
      </c>
      <c r="R237" s="64">
        <f t="shared" ref="R237" si="182">((K237-D237)/D237)</f>
        <v>5.3370278038761612E-3</v>
      </c>
      <c r="S237" s="64">
        <f t="shared" ref="S237" si="183">((N237-G237)/G237)</f>
        <v>0</v>
      </c>
      <c r="T237" s="64">
        <f t="shared" ref="T237" si="184">((O237-H237)/H237)</f>
        <v>0</v>
      </c>
      <c r="U237" s="64">
        <f t="shared" ref="U237" si="185">P237-I237</f>
        <v>-1.9999999999999966E-4</v>
      </c>
      <c r="V237" s="65">
        <f t="shared" ref="V237" si="186">Q237-J237</f>
        <v>5.4999999999999979E-3</v>
      </c>
    </row>
    <row r="238" spans="1:22" ht="14.4" customHeight="1">
      <c r="A238" s="181">
        <v>3</v>
      </c>
      <c r="B238" s="150" t="s">
        <v>287</v>
      </c>
      <c r="C238" s="149" t="s">
        <v>32</v>
      </c>
      <c r="D238" s="40">
        <v>1183751084.1746941</v>
      </c>
      <c r="E238" s="35">
        <f>(D238/$D$232)</f>
        <v>1.3194802073887117E-2</v>
      </c>
      <c r="F238" s="39">
        <v>153136.842386</v>
      </c>
      <c r="G238" s="39">
        <v>153136.842386</v>
      </c>
      <c r="H238" s="36">
        <v>13</v>
      </c>
      <c r="I238" s="58">
        <v>1.1000000000000001E-3</v>
      </c>
      <c r="J238" s="58">
        <v>2.7000000000000001E-3</v>
      </c>
      <c r="K238" s="40">
        <f>870217.06*W138</f>
        <v>1179507954.0527861</v>
      </c>
      <c r="L238" s="35">
        <f>(K238/$K$241)</f>
        <v>5.68841417689087E-2</v>
      </c>
      <c r="M238" s="39">
        <f>112.57*W138</f>
        <v>152579.41551700002</v>
      </c>
      <c r="N238" s="39">
        <f>112.57*W138</f>
        <v>152579.41551700002</v>
      </c>
      <c r="O238" s="36">
        <v>14</v>
      </c>
      <c r="P238" s="58">
        <v>-4.3E-3</v>
      </c>
      <c r="Q238" s="58">
        <v>7.0000000000000001E-3</v>
      </c>
      <c r="R238" s="64">
        <f t="shared" ref="R238:R239" si="187">((K238-D238)/D238)</f>
        <v>-3.5844783406185775E-3</v>
      </c>
      <c r="S238" s="64">
        <f t="shared" ref="S238:S239" si="188">((N238-G238)/G238)</f>
        <v>-3.6400572214681428E-3</v>
      </c>
      <c r="T238" s="64">
        <f t="shared" ref="T238:T239" si="189">((O238-H238)/H238)</f>
        <v>7.6923076923076927E-2</v>
      </c>
      <c r="U238" s="64">
        <f t="shared" ref="U238:U239" si="190">P238-I238</f>
        <v>-5.4000000000000003E-3</v>
      </c>
      <c r="V238" s="65">
        <f t="shared" ref="V238:V239" si="191">Q238-J238</f>
        <v>4.3E-3</v>
      </c>
    </row>
    <row r="239" spans="1:22" ht="14.4" customHeight="1">
      <c r="A239" s="181">
        <v>4</v>
      </c>
      <c r="B239" s="150" t="s">
        <v>288</v>
      </c>
      <c r="C239" s="149" t="s">
        <v>42</v>
      </c>
      <c r="D239" s="40">
        <v>12052244247.860001</v>
      </c>
      <c r="E239" s="35">
        <f t="shared" si="175"/>
        <v>0.13434156852961204</v>
      </c>
      <c r="F239" s="39">
        <v>1.1599999999999999</v>
      </c>
      <c r="G239" s="39">
        <v>1.1599999999999999</v>
      </c>
      <c r="H239" s="36">
        <v>16</v>
      </c>
      <c r="I239" s="58">
        <v>8.0000000000000002E-3</v>
      </c>
      <c r="J239" s="58">
        <v>-0.9506</v>
      </c>
      <c r="K239" s="40">
        <v>13139019974.58</v>
      </c>
      <c r="L239" s="35">
        <f>(K239/$K$241)</f>
        <v>0.63365564629764559</v>
      </c>
      <c r="M239" s="39">
        <v>1.26</v>
      </c>
      <c r="N239" s="39">
        <v>1.26</v>
      </c>
      <c r="O239" s="36">
        <v>16</v>
      </c>
      <c r="P239" s="58">
        <v>9.8900000000000002E-2</v>
      </c>
      <c r="Q239" s="58">
        <v>-0.1234</v>
      </c>
      <c r="R239" s="64">
        <f t="shared" si="187"/>
        <v>9.0172062926202931E-2</v>
      </c>
      <c r="S239" s="64">
        <f t="shared" si="188"/>
        <v>8.6206896551724227E-2</v>
      </c>
      <c r="T239" s="64">
        <f t="shared" si="189"/>
        <v>0</v>
      </c>
      <c r="U239" s="64">
        <f t="shared" si="190"/>
        <v>9.0900000000000009E-2</v>
      </c>
      <c r="V239" s="65">
        <f t="shared" si="191"/>
        <v>0.82720000000000005</v>
      </c>
    </row>
    <row r="240" spans="1:22" ht="14.4" customHeight="1">
      <c r="A240" s="181">
        <v>5</v>
      </c>
      <c r="B240" s="150" t="s">
        <v>289</v>
      </c>
      <c r="C240" s="149" t="s">
        <v>53</v>
      </c>
      <c r="D240" s="40">
        <v>191738149.08000001</v>
      </c>
      <c r="E240" s="35">
        <f t="shared" ref="E240" si="192">(D240/$D$232)</f>
        <v>2.1372288152014061E-3</v>
      </c>
      <c r="F240" s="39">
        <v>1.2229000000000001</v>
      </c>
      <c r="G240" s="39">
        <v>1.2229000000000001</v>
      </c>
      <c r="H240" s="36">
        <v>20</v>
      </c>
      <c r="I240" s="58">
        <v>2.81E-2</v>
      </c>
      <c r="J240" s="58">
        <v>9.7000000000000003E-2</v>
      </c>
      <c r="K240" s="40">
        <v>200361583.71000001</v>
      </c>
      <c r="L240" s="35">
        <f>(K240/$K$241)</f>
        <v>9.6628400797479017E-3</v>
      </c>
      <c r="M240" s="39">
        <v>1.2779</v>
      </c>
      <c r="N240" s="39">
        <v>1.2779</v>
      </c>
      <c r="O240" s="36">
        <v>20</v>
      </c>
      <c r="P240" s="58">
        <v>4.4699999999999997E-2</v>
      </c>
      <c r="Q240" s="58">
        <v>0.14599999999999999</v>
      </c>
      <c r="R240" s="64">
        <f t="shared" ref="R240:R241" si="193">((K240-D240)/D240)</f>
        <v>4.4975059326362796E-2</v>
      </c>
      <c r="S240" s="64">
        <f t="shared" ref="S240" si="194">((N240-G240)/G240)</f>
        <v>4.4975059285305367E-2</v>
      </c>
      <c r="T240" s="64">
        <f t="shared" ref="T240" si="195">((O240-H240)/H240)</f>
        <v>0</v>
      </c>
      <c r="U240" s="64">
        <f t="shared" ref="U240" si="196">P240-I240</f>
        <v>1.6599999999999997E-2</v>
      </c>
      <c r="V240" s="65">
        <f t="shared" ref="V240" si="197">Q240-J240</f>
        <v>4.8999999999999988E-2</v>
      </c>
    </row>
    <row r="241" spans="1:22" ht="14.4" customHeight="1">
      <c r="A241" s="98"/>
      <c r="B241" s="98"/>
      <c r="C241" s="98" t="s">
        <v>56</v>
      </c>
      <c r="D241" s="98">
        <f>SUM(D236:D240)</f>
        <v>19490186623.385223</v>
      </c>
      <c r="E241" s="98"/>
      <c r="F241" s="98"/>
      <c r="G241" s="98"/>
      <c r="H241" s="98">
        <f>SUM(H236:H240)</f>
        <v>111</v>
      </c>
      <c r="I241" s="98"/>
      <c r="J241" s="98"/>
      <c r="K241" s="98">
        <f>SUM(K236:K240)</f>
        <v>20735268519.028137</v>
      </c>
      <c r="L241" s="47"/>
      <c r="M241" s="98"/>
      <c r="N241" s="98"/>
      <c r="O241" s="98">
        <f>SUM(O236:O240)</f>
        <v>114</v>
      </c>
      <c r="P241" s="98"/>
      <c r="Q241" s="98"/>
      <c r="R241" s="112">
        <f t="shared" si="193"/>
        <v>6.3882502497385391E-2</v>
      </c>
      <c r="S241" s="98"/>
      <c r="T241" s="98"/>
      <c r="U241" s="98"/>
      <c r="V241" s="98"/>
    </row>
    <row r="242" spans="1:22" ht="6" customHeight="1">
      <c r="A242" s="43"/>
      <c r="B242" s="51"/>
      <c r="C242" s="79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44"/>
    </row>
    <row r="243" spans="1:22" ht="15.6">
      <c r="A243" s="187" t="s">
        <v>290</v>
      </c>
      <c r="B243" s="187"/>
      <c r="C243" s="187"/>
      <c r="D243" s="187"/>
      <c r="E243" s="187"/>
      <c r="F243" s="187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</row>
    <row r="244" spans="1:22">
      <c r="A244" s="181">
        <v>1</v>
      </c>
      <c r="B244" s="150" t="s">
        <v>291</v>
      </c>
      <c r="C244" s="149" t="s">
        <v>292</v>
      </c>
      <c r="D244" s="40">
        <v>130673357691</v>
      </c>
      <c r="E244" s="35">
        <f>(D244/$D$246)</f>
        <v>0.89390452493899908</v>
      </c>
      <c r="F244" s="68">
        <v>108.35</v>
      </c>
      <c r="G244" s="68">
        <v>108.35</v>
      </c>
      <c r="H244" s="36">
        <v>0</v>
      </c>
      <c r="I244" s="58">
        <v>0.20979999999999999</v>
      </c>
      <c r="J244" s="58">
        <v>0.20979999999999999</v>
      </c>
      <c r="K244" s="40">
        <v>132461478140</v>
      </c>
      <c r="L244" s="35">
        <f>(K244/$K$246)</f>
        <v>0.89495924043508146</v>
      </c>
      <c r="M244" s="68">
        <v>108.35</v>
      </c>
      <c r="N244" s="68">
        <v>108.35</v>
      </c>
      <c r="O244" s="36">
        <v>0</v>
      </c>
      <c r="P244" s="58">
        <v>0.20979999999999999</v>
      </c>
      <c r="Q244" s="58">
        <v>0.20979999999999999</v>
      </c>
      <c r="R244" s="64">
        <f>((K244-D244)/D244)</f>
        <v>1.3683894564248693E-2</v>
      </c>
      <c r="S244" s="64">
        <f>((N244-G244)/G244)</f>
        <v>0</v>
      </c>
      <c r="T244" s="64" t="e">
        <f>((O244-H244)/H244)</f>
        <v>#DIV/0!</v>
      </c>
      <c r="U244" s="64">
        <f>P244-I244</f>
        <v>0</v>
      </c>
      <c r="V244" s="65">
        <f>Q244-J244</f>
        <v>0</v>
      </c>
    </row>
    <row r="245" spans="1:22" ht="14.4" customHeight="1">
      <c r="A245" s="181">
        <v>2</v>
      </c>
      <c r="B245" s="150" t="s">
        <v>293</v>
      </c>
      <c r="C245" s="149" t="s">
        <v>53</v>
      </c>
      <c r="D245" s="40">
        <v>15509320710.719999</v>
      </c>
      <c r="E245" s="35">
        <f>(D245/$D$246)</f>
        <v>0.10609547506100089</v>
      </c>
      <c r="F245" s="99">
        <v>1000000</v>
      </c>
      <c r="G245" s="99">
        <v>1000000</v>
      </c>
      <c r="H245" s="36">
        <v>26</v>
      </c>
      <c r="I245" s="58">
        <v>2E-3</v>
      </c>
      <c r="J245" s="58">
        <v>0.2014</v>
      </c>
      <c r="K245" s="40">
        <v>15546913924.43</v>
      </c>
      <c r="L245" s="35">
        <f>(K245/$K$246)</f>
        <v>0.10504075956491862</v>
      </c>
      <c r="M245" s="99">
        <v>1000000</v>
      </c>
      <c r="N245" s="99">
        <v>1000000</v>
      </c>
      <c r="O245" s="36">
        <v>26</v>
      </c>
      <c r="P245" s="58">
        <v>2.006E-3</v>
      </c>
      <c r="Q245" s="58">
        <v>0.2006</v>
      </c>
      <c r="R245" s="64">
        <f>((K245-D245)/D245)</f>
        <v>2.4239110410565349E-3</v>
      </c>
      <c r="S245" s="64">
        <f>((N245-G245)/G245)</f>
        <v>0</v>
      </c>
      <c r="T245" s="64">
        <f>((O245-H245)/H245)</f>
        <v>0</v>
      </c>
      <c r="U245" s="64">
        <f>P245-I245</f>
        <v>5.999999999999929E-6</v>
      </c>
      <c r="V245" s="65">
        <f>Q245-J245</f>
        <v>-7.9999999999999516E-4</v>
      </c>
    </row>
    <row r="246" spans="1:22" ht="15" customHeight="1">
      <c r="A246" s="93"/>
      <c r="B246" s="93"/>
      <c r="C246" s="94" t="s">
        <v>294</v>
      </c>
      <c r="D246" s="98">
        <f>SUM(D244:D245)</f>
        <v>146182678401.72</v>
      </c>
      <c r="E246" s="100"/>
      <c r="F246" s="101"/>
      <c r="G246" s="101"/>
      <c r="H246" s="98">
        <f>SUM(H244:H245)</f>
        <v>26</v>
      </c>
      <c r="I246" s="109"/>
      <c r="J246" s="109"/>
      <c r="K246" s="98">
        <f>SUM(K244:K245)</f>
        <v>148008392064.42999</v>
      </c>
      <c r="L246" s="100"/>
      <c r="M246" s="101"/>
      <c r="N246" s="101"/>
      <c r="O246" s="98">
        <f>SUM(O244:O245)</f>
        <v>26</v>
      </c>
      <c r="P246" s="109"/>
      <c r="Q246" s="98"/>
      <c r="R246" s="112">
        <f>((K246-D246)/D246)</f>
        <v>1.2489261263176513E-2</v>
      </c>
      <c r="S246" s="113"/>
      <c r="T246" s="113"/>
      <c r="U246" s="112"/>
      <c r="V246" s="114"/>
    </row>
    <row r="247" spans="1:22" ht="4.5" customHeight="1">
      <c r="A247" s="43"/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</row>
    <row r="248" spans="1:22" ht="15.6">
      <c r="A248" s="187" t="s">
        <v>295</v>
      </c>
      <c r="B248" s="187"/>
      <c r="C248" s="187"/>
      <c r="D248" s="187"/>
      <c r="E248" s="187"/>
      <c r="F248" s="187"/>
      <c r="G248" s="187"/>
      <c r="H248" s="187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</row>
    <row r="249" spans="1:22">
      <c r="A249" s="181">
        <v>1</v>
      </c>
      <c r="B249" s="150" t="s">
        <v>296</v>
      </c>
      <c r="C249" s="149" t="s">
        <v>94</v>
      </c>
      <c r="D249" s="102">
        <v>1606282090.25</v>
      </c>
      <c r="E249" s="103">
        <f t="shared" ref="E249:E260" si="198">(D249/$D$261)</f>
        <v>7.8694034083132025E-2</v>
      </c>
      <c r="F249" s="99">
        <v>379.32871939</v>
      </c>
      <c r="G249" s="99">
        <v>379.32871939</v>
      </c>
      <c r="H249" s="104">
        <v>266</v>
      </c>
      <c r="I249" s="60">
        <v>3.4799999999999998E-2</v>
      </c>
      <c r="J249" s="60">
        <v>0.1118</v>
      </c>
      <c r="K249" s="102">
        <v>1706298946.5799999</v>
      </c>
      <c r="L249" s="103">
        <f t="shared" ref="L249:L260" si="199">(K249/$K$261)</f>
        <v>7.9500027096592943E-2</v>
      </c>
      <c r="M249" s="99">
        <v>416.92123807000002</v>
      </c>
      <c r="N249" s="99">
        <v>416.92123807000002</v>
      </c>
      <c r="O249" s="104">
        <v>266</v>
      </c>
      <c r="P249" s="60">
        <v>6.2399999999999997E-2</v>
      </c>
      <c r="Q249" s="60">
        <v>0.18110000000000001</v>
      </c>
      <c r="R249" s="64">
        <f>((K249-D249)/D249)</f>
        <v>6.2266059577638325E-2</v>
      </c>
      <c r="S249" s="64">
        <f>((N249-G249)/G249)</f>
        <v>9.9102748509136585E-2</v>
      </c>
      <c r="T249" s="64">
        <f>((O249-H249)/H249)</f>
        <v>0</v>
      </c>
      <c r="U249" s="64">
        <f>P249-I249</f>
        <v>2.76E-2</v>
      </c>
      <c r="V249" s="65">
        <f>Q249-J249</f>
        <v>6.9300000000000014E-2</v>
      </c>
    </row>
    <row r="250" spans="1:22">
      <c r="A250" s="181">
        <v>2</v>
      </c>
      <c r="B250" s="150" t="s">
        <v>297</v>
      </c>
      <c r="C250" s="149" t="s">
        <v>258</v>
      </c>
      <c r="D250" s="102">
        <v>2484927682.79</v>
      </c>
      <c r="E250" s="103">
        <f t="shared" si="198"/>
        <v>0.12174012581635615</v>
      </c>
      <c r="F250" s="99">
        <v>70.680000000000007</v>
      </c>
      <c r="G250" s="99">
        <v>78.12</v>
      </c>
      <c r="H250" s="104">
        <v>615</v>
      </c>
      <c r="I250" s="60">
        <v>5.8000000000000003E-2</v>
      </c>
      <c r="J250" s="60">
        <v>0.2054</v>
      </c>
      <c r="K250" s="102">
        <v>2508726748.5999999</v>
      </c>
      <c r="L250" s="103">
        <f t="shared" si="199"/>
        <v>0.11688681217989404</v>
      </c>
      <c r="M250" s="99">
        <v>71.36</v>
      </c>
      <c r="N250" s="99">
        <v>78.87</v>
      </c>
      <c r="O250" s="104">
        <v>615</v>
      </c>
      <c r="P250" s="60">
        <v>3.7400000000000003E-2</v>
      </c>
      <c r="Q250" s="60">
        <v>0.25040000000000001</v>
      </c>
      <c r="R250" s="64">
        <f t="shared" ref="R250:R261" si="200">((K250-D250)/D250)</f>
        <v>9.5773675728378083E-3</v>
      </c>
      <c r="S250" s="64">
        <f t="shared" ref="S250:S261" si="201">((N250-G250)/G250)</f>
        <v>9.6006144393241157E-3</v>
      </c>
      <c r="T250" s="64">
        <f t="shared" ref="T250:T261" si="202">((O250-H250)/H250)</f>
        <v>0</v>
      </c>
      <c r="U250" s="64">
        <f t="shared" ref="U250:U261" si="203">P250-I250</f>
        <v>-2.06E-2</v>
      </c>
      <c r="V250" s="65">
        <f t="shared" ref="V250:V261" si="204">Q250-J250</f>
        <v>4.5000000000000012E-2</v>
      </c>
    </row>
    <row r="251" spans="1:22">
      <c r="A251" s="181">
        <v>3</v>
      </c>
      <c r="B251" s="150" t="s">
        <v>298</v>
      </c>
      <c r="C251" s="149" t="s">
        <v>44</v>
      </c>
      <c r="D251" s="102">
        <v>550084646.75</v>
      </c>
      <c r="E251" s="103">
        <f t="shared" si="198"/>
        <v>2.6949425759465941E-2</v>
      </c>
      <c r="F251" s="99">
        <v>45.830950000000001</v>
      </c>
      <c r="G251" s="99">
        <v>45.955064</v>
      </c>
      <c r="H251" s="104">
        <v>218</v>
      </c>
      <c r="I251" s="60">
        <v>3.5700000000000003E-2</v>
      </c>
      <c r="J251" s="60">
        <v>0.1336</v>
      </c>
      <c r="K251" s="102">
        <v>587400206.32000005</v>
      </c>
      <c r="L251" s="103">
        <f t="shared" si="199"/>
        <v>2.7368200872762382E-2</v>
      </c>
      <c r="M251" s="99">
        <v>48.94</v>
      </c>
      <c r="N251" s="99">
        <v>49.07</v>
      </c>
      <c r="O251" s="104">
        <v>218</v>
      </c>
      <c r="P251" s="60">
        <v>6.7799999999999999E-2</v>
      </c>
      <c r="Q251" s="60">
        <v>0.21049999999999999</v>
      </c>
      <c r="R251" s="64">
        <f t="shared" si="200"/>
        <v>6.7836031764324192E-2</v>
      </c>
      <c r="S251" s="64">
        <f t="shared" si="201"/>
        <v>6.7782214382293107E-2</v>
      </c>
      <c r="T251" s="64">
        <f t="shared" si="202"/>
        <v>0</v>
      </c>
      <c r="U251" s="64">
        <f t="shared" si="203"/>
        <v>3.2099999999999997E-2</v>
      </c>
      <c r="V251" s="65">
        <f t="shared" si="204"/>
        <v>7.6899999999999996E-2</v>
      </c>
    </row>
    <row r="252" spans="1:22">
      <c r="A252" s="181">
        <v>4</v>
      </c>
      <c r="B252" s="150" t="s">
        <v>299</v>
      </c>
      <c r="C252" s="149" t="s">
        <v>44</v>
      </c>
      <c r="D252" s="102">
        <v>1085443340.01</v>
      </c>
      <c r="E252" s="103">
        <f t="shared" si="198"/>
        <v>5.3177406205631828E-2</v>
      </c>
      <c r="F252" s="99">
        <v>92.173413999999994</v>
      </c>
      <c r="G252" s="99">
        <v>92.422539</v>
      </c>
      <c r="H252" s="104">
        <v>261</v>
      </c>
      <c r="I252" s="60">
        <v>5.0799999999999998E-2</v>
      </c>
      <c r="J252" s="60">
        <v>0.1065</v>
      </c>
      <c r="K252" s="102">
        <v>1156361738.8800001</v>
      </c>
      <c r="L252" s="103">
        <f t="shared" si="199"/>
        <v>5.3877305473746979E-2</v>
      </c>
      <c r="M252" s="99">
        <v>98.2</v>
      </c>
      <c r="N252" s="99">
        <v>98.46</v>
      </c>
      <c r="O252" s="104">
        <v>261</v>
      </c>
      <c r="P252" s="60">
        <v>6.5299999999999997E-2</v>
      </c>
      <c r="Q252" s="60">
        <v>0.1787</v>
      </c>
      <c r="R252" s="64">
        <f t="shared" si="200"/>
        <v>6.5335882819407928E-2</v>
      </c>
      <c r="S252" s="64">
        <f t="shared" si="201"/>
        <v>6.5324552488219279E-2</v>
      </c>
      <c r="T252" s="64">
        <f t="shared" si="202"/>
        <v>0</v>
      </c>
      <c r="U252" s="64">
        <f t="shared" si="203"/>
        <v>1.4499999999999999E-2</v>
      </c>
      <c r="V252" s="65">
        <f t="shared" si="204"/>
        <v>7.22E-2</v>
      </c>
    </row>
    <row r="253" spans="1:22">
      <c r="A253" s="181">
        <v>5</v>
      </c>
      <c r="B253" s="150" t="s">
        <v>300</v>
      </c>
      <c r="C253" s="149" t="s">
        <v>301</v>
      </c>
      <c r="D253" s="102">
        <v>2108114397.52</v>
      </c>
      <c r="E253" s="103">
        <f t="shared" si="198"/>
        <v>0.10327950940657027</v>
      </c>
      <c r="F253" s="99">
        <v>61650</v>
      </c>
      <c r="G253" s="99">
        <v>70000</v>
      </c>
      <c r="H253" s="104">
        <v>326</v>
      </c>
      <c r="I253" s="60">
        <v>-2.1999999999999999E-2</v>
      </c>
      <c r="J253" s="60">
        <v>7.0000000000000007E-2</v>
      </c>
      <c r="K253" s="102">
        <v>2103448745.5</v>
      </c>
      <c r="L253" s="103">
        <f t="shared" si="199"/>
        <v>9.8004064644544461E-2</v>
      </c>
      <c r="M253" s="99">
        <v>62250</v>
      </c>
      <c r="N253" s="99">
        <v>69900</v>
      </c>
      <c r="O253" s="104">
        <v>326</v>
      </c>
      <c r="P253" s="60">
        <v>-2E-3</v>
      </c>
      <c r="Q253" s="60">
        <v>7.0000000000000007E-2</v>
      </c>
      <c r="R253" s="64">
        <f t="shared" si="200"/>
        <v>-2.2131873040138078E-3</v>
      </c>
      <c r="S253" s="64">
        <f t="shared" si="201"/>
        <v>-1.4285714285714286E-3</v>
      </c>
      <c r="T253" s="64">
        <f t="shared" si="202"/>
        <v>0</v>
      </c>
      <c r="U253" s="64">
        <f t="shared" si="203"/>
        <v>1.9999999999999997E-2</v>
      </c>
      <c r="V253" s="65">
        <f t="shared" si="204"/>
        <v>0</v>
      </c>
    </row>
    <row r="254" spans="1:22">
      <c r="A254" s="181">
        <v>6</v>
      </c>
      <c r="B254" s="150" t="s">
        <v>302</v>
      </c>
      <c r="C254" s="149" t="s">
        <v>303</v>
      </c>
      <c r="D254" s="102">
        <v>1063520481.25</v>
      </c>
      <c r="E254" s="103">
        <f t="shared" si="198"/>
        <v>5.2103374312397789E-2</v>
      </c>
      <c r="F254" s="99">
        <v>11200</v>
      </c>
      <c r="G254" s="99">
        <v>11200</v>
      </c>
      <c r="H254" s="104">
        <v>396</v>
      </c>
      <c r="I254" s="60">
        <v>5.0299999999999997E-2</v>
      </c>
      <c r="J254" s="60">
        <v>0.125</v>
      </c>
      <c r="K254" s="102">
        <v>1175418461.1600001</v>
      </c>
      <c r="L254" s="103">
        <f t="shared" si="199"/>
        <v>5.4765197915261313E-2</v>
      </c>
      <c r="M254" s="99">
        <v>14310</v>
      </c>
      <c r="N254" s="99">
        <v>14310</v>
      </c>
      <c r="O254" s="104">
        <v>396</v>
      </c>
      <c r="P254" s="60">
        <v>0.1052</v>
      </c>
      <c r="Q254" s="60">
        <v>0.20399999999999999</v>
      </c>
      <c r="R254" s="64">
        <f t="shared" si="200"/>
        <v>0.10521469203722501</v>
      </c>
      <c r="S254" s="64">
        <f t="shared" si="201"/>
        <v>0.27767857142857144</v>
      </c>
      <c r="T254" s="64">
        <f t="shared" si="202"/>
        <v>0</v>
      </c>
      <c r="U254" s="64">
        <f t="shared" si="203"/>
        <v>5.4900000000000004E-2</v>
      </c>
      <c r="V254" s="65">
        <f t="shared" si="204"/>
        <v>7.8999999999999987E-2</v>
      </c>
    </row>
    <row r="255" spans="1:22">
      <c r="A255" s="181">
        <v>7</v>
      </c>
      <c r="B255" s="150" t="s">
        <v>304</v>
      </c>
      <c r="C255" s="149" t="s">
        <v>303</v>
      </c>
      <c r="D255" s="102">
        <v>1153990974.4300001</v>
      </c>
      <c r="E255" s="103">
        <f t="shared" si="198"/>
        <v>5.653565187873523E-2</v>
      </c>
      <c r="F255" s="99">
        <v>5262.19</v>
      </c>
      <c r="G255" s="99">
        <v>5262.19</v>
      </c>
      <c r="H255" s="104">
        <v>3283</v>
      </c>
      <c r="I255" s="60">
        <v>3.4700000000000002E-2</v>
      </c>
      <c r="J255" s="60">
        <v>8.2500000000000004E-2</v>
      </c>
      <c r="K255" s="102">
        <v>1238304875.1700001</v>
      </c>
      <c r="L255" s="103">
        <f t="shared" si="199"/>
        <v>5.7695207118996207E-2</v>
      </c>
      <c r="M255" s="99">
        <v>5610.87</v>
      </c>
      <c r="N255" s="99">
        <v>5610.87</v>
      </c>
      <c r="O255" s="104">
        <v>3283</v>
      </c>
      <c r="P255" s="60">
        <v>7.3099999999999998E-2</v>
      </c>
      <c r="Q255" s="60">
        <v>0.1447</v>
      </c>
      <c r="R255" s="64">
        <f t="shared" si="200"/>
        <v>7.3062877100616708E-2</v>
      </c>
      <c r="S255" s="64">
        <f t="shared" si="201"/>
        <v>6.6261385468787765E-2</v>
      </c>
      <c r="T255" s="64">
        <f t="shared" si="202"/>
        <v>0</v>
      </c>
      <c r="U255" s="64">
        <f t="shared" si="203"/>
        <v>3.8399999999999997E-2</v>
      </c>
      <c r="V255" s="65">
        <f t="shared" si="204"/>
        <v>6.2199999999999991E-2</v>
      </c>
    </row>
    <row r="256" spans="1:22">
      <c r="A256" s="181">
        <v>8</v>
      </c>
      <c r="B256" s="150" t="s">
        <v>305</v>
      </c>
      <c r="C256" s="149" t="s">
        <v>306</v>
      </c>
      <c r="D256" s="102">
        <v>234840701.72</v>
      </c>
      <c r="E256" s="103">
        <f t="shared" si="198"/>
        <v>1.1505178509700016E-2</v>
      </c>
      <c r="F256" s="99">
        <v>41.4</v>
      </c>
      <c r="G256" s="99">
        <v>41.5</v>
      </c>
      <c r="H256" s="104">
        <v>549</v>
      </c>
      <c r="I256" s="60">
        <v>0.57720000000000005</v>
      </c>
      <c r="J256" s="60">
        <v>1.2897000000000001</v>
      </c>
      <c r="K256" s="102">
        <v>240435509.49000001</v>
      </c>
      <c r="L256" s="103">
        <f t="shared" si="199"/>
        <v>1.1202391912478356E-2</v>
      </c>
      <c r="M256" s="99">
        <v>42.62</v>
      </c>
      <c r="N256" s="99">
        <v>42.72</v>
      </c>
      <c r="O256" s="104">
        <v>549</v>
      </c>
      <c r="P256" s="60">
        <v>0.25819999999999999</v>
      </c>
      <c r="Q256" s="60">
        <v>0.69850000000000001</v>
      </c>
      <c r="R256" s="64">
        <f t="shared" si="200"/>
        <v>2.3823841987453635E-2</v>
      </c>
      <c r="S256" s="64">
        <f t="shared" si="201"/>
        <v>2.9397590361445756E-2</v>
      </c>
      <c r="T256" s="64">
        <f t="shared" si="202"/>
        <v>0</v>
      </c>
      <c r="U256" s="64">
        <f t="shared" si="203"/>
        <v>-0.31900000000000006</v>
      </c>
      <c r="V256" s="65">
        <f t="shared" si="204"/>
        <v>-0.59120000000000006</v>
      </c>
    </row>
    <row r="257" spans="1:26">
      <c r="A257" s="181">
        <v>9</v>
      </c>
      <c r="B257" s="150" t="s">
        <v>307</v>
      </c>
      <c r="C257" s="149" t="s">
        <v>306</v>
      </c>
      <c r="D257" s="105">
        <v>1056354469.15</v>
      </c>
      <c r="E257" s="103">
        <f t="shared" si="198"/>
        <v>5.1752301232606573E-2</v>
      </c>
      <c r="F257" s="99">
        <v>16.75</v>
      </c>
      <c r="G257" s="99">
        <v>16.86</v>
      </c>
      <c r="H257" s="104">
        <v>774</v>
      </c>
      <c r="I257" s="60">
        <v>0.3306</v>
      </c>
      <c r="J257" s="60">
        <v>1.3787</v>
      </c>
      <c r="K257" s="105">
        <v>1133891823.8099999</v>
      </c>
      <c r="L257" s="103">
        <f t="shared" si="199"/>
        <v>5.2830385260554787E-2</v>
      </c>
      <c r="M257" s="99">
        <v>17.73</v>
      </c>
      <c r="N257" s="99">
        <v>16.86</v>
      </c>
      <c r="O257" s="104">
        <v>774</v>
      </c>
      <c r="P257" s="60">
        <v>0.18679999999999999</v>
      </c>
      <c r="Q257" s="60">
        <v>0.95069999999999999</v>
      </c>
      <c r="R257" s="64">
        <f t="shared" si="200"/>
        <v>7.3400886657289124E-2</v>
      </c>
      <c r="S257" s="64">
        <f t="shared" si="201"/>
        <v>0</v>
      </c>
      <c r="T257" s="64">
        <f t="shared" si="202"/>
        <v>0</v>
      </c>
      <c r="U257" s="64">
        <f t="shared" si="203"/>
        <v>-0.14380000000000001</v>
      </c>
      <c r="V257" s="65">
        <f t="shared" si="204"/>
        <v>-0.42800000000000005</v>
      </c>
    </row>
    <row r="258" spans="1:26" ht="15" customHeight="1">
      <c r="A258" s="181">
        <v>10</v>
      </c>
      <c r="B258" s="150" t="s">
        <v>308</v>
      </c>
      <c r="C258" s="149" t="s">
        <v>306</v>
      </c>
      <c r="D258" s="102">
        <v>189351920.40000001</v>
      </c>
      <c r="E258" s="103">
        <f t="shared" si="198"/>
        <v>9.276618701105575E-3</v>
      </c>
      <c r="F258" s="99">
        <v>147.38</v>
      </c>
      <c r="G258" s="99">
        <v>149.38</v>
      </c>
      <c r="H258" s="104">
        <v>506</v>
      </c>
      <c r="I258" s="60">
        <v>0.14940000000000001</v>
      </c>
      <c r="J258" s="60">
        <v>2.1871</v>
      </c>
      <c r="K258" s="102">
        <v>190074435.74000001</v>
      </c>
      <c r="L258" s="103">
        <f t="shared" si="199"/>
        <v>8.8559644381115132E-3</v>
      </c>
      <c r="M258" s="99">
        <v>147.94999999999999</v>
      </c>
      <c r="N258" s="99">
        <v>149.94999999999999</v>
      </c>
      <c r="O258" s="104">
        <v>771</v>
      </c>
      <c r="P258" s="60">
        <v>8.9999999999999998E-4</v>
      </c>
      <c r="Q258" s="60">
        <v>2.1842999999999999</v>
      </c>
      <c r="R258" s="64">
        <f t="shared" si="200"/>
        <v>3.8157275536139933E-3</v>
      </c>
      <c r="S258" s="64">
        <f t="shared" si="201"/>
        <v>3.8157718570089247E-3</v>
      </c>
      <c r="T258" s="64">
        <f t="shared" si="202"/>
        <v>0.52371541501976282</v>
      </c>
      <c r="U258" s="64">
        <f t="shared" si="203"/>
        <v>-0.14849999999999999</v>
      </c>
      <c r="V258" s="65">
        <f t="shared" si="204"/>
        <v>-2.8000000000001357E-3</v>
      </c>
    </row>
    <row r="259" spans="1:26">
      <c r="A259" s="181">
        <v>11</v>
      </c>
      <c r="B259" s="150" t="s">
        <v>309</v>
      </c>
      <c r="C259" s="149" t="s">
        <v>306</v>
      </c>
      <c r="D259" s="102">
        <v>8707054929.1800003</v>
      </c>
      <c r="E259" s="103">
        <f t="shared" si="198"/>
        <v>0.42657095009628787</v>
      </c>
      <c r="F259" s="99">
        <v>62.32</v>
      </c>
      <c r="G259" s="99">
        <v>62.52</v>
      </c>
      <c r="H259" s="104">
        <v>1341</v>
      </c>
      <c r="I259" s="60">
        <v>0.20830000000000001</v>
      </c>
      <c r="J259" s="60">
        <v>0.65100000000000002</v>
      </c>
      <c r="K259" s="102">
        <v>9242245425.6800003</v>
      </c>
      <c r="L259" s="103">
        <f t="shared" si="199"/>
        <v>0.43061549281714506</v>
      </c>
      <c r="M259" s="99">
        <v>66.2</v>
      </c>
      <c r="N259" s="99">
        <v>66.400000000000006</v>
      </c>
      <c r="O259" s="104">
        <v>1341</v>
      </c>
      <c r="P259" s="60">
        <v>0.1046</v>
      </c>
      <c r="Q259" s="60">
        <v>0.47820000000000001</v>
      </c>
      <c r="R259" s="64">
        <f t="shared" si="200"/>
        <v>6.1466305295308658E-2</v>
      </c>
      <c r="S259" s="64">
        <f t="shared" si="201"/>
        <v>6.206014075495845E-2</v>
      </c>
      <c r="T259" s="64">
        <f t="shared" si="202"/>
        <v>0</v>
      </c>
      <c r="U259" s="64">
        <f t="shared" si="203"/>
        <v>-0.10370000000000001</v>
      </c>
      <c r="V259" s="65">
        <f t="shared" si="204"/>
        <v>-0.17280000000000001</v>
      </c>
    </row>
    <row r="260" spans="1:26">
      <c r="A260" s="181">
        <v>12</v>
      </c>
      <c r="B260" s="150" t="s">
        <v>310</v>
      </c>
      <c r="C260" s="149" t="s">
        <v>306</v>
      </c>
      <c r="D260" s="105">
        <v>171773438.83000001</v>
      </c>
      <c r="E260" s="103">
        <f t="shared" si="198"/>
        <v>8.4154239980108094E-3</v>
      </c>
      <c r="F260" s="99">
        <v>62.37</v>
      </c>
      <c r="G260" s="99">
        <v>62.57</v>
      </c>
      <c r="H260" s="104">
        <v>843</v>
      </c>
      <c r="I260" s="60">
        <v>0.61029999999999995</v>
      </c>
      <c r="J260" s="60">
        <v>2.8504999999999998</v>
      </c>
      <c r="K260" s="105">
        <v>180265598.91</v>
      </c>
      <c r="L260" s="103">
        <f t="shared" si="199"/>
        <v>8.398950269911944E-3</v>
      </c>
      <c r="M260" s="99">
        <v>66.8</v>
      </c>
      <c r="N260" s="99">
        <v>67</v>
      </c>
      <c r="O260" s="104">
        <v>719</v>
      </c>
      <c r="P260" s="60">
        <v>0.1118</v>
      </c>
      <c r="Q260" s="60">
        <v>2.42</v>
      </c>
      <c r="R260" s="64">
        <f t="shared" si="200"/>
        <v>4.9438144440971853E-2</v>
      </c>
      <c r="S260" s="64">
        <f t="shared" si="201"/>
        <v>7.0800703212402102E-2</v>
      </c>
      <c r="T260" s="64">
        <f t="shared" si="202"/>
        <v>-0.14709371293001186</v>
      </c>
      <c r="U260" s="64">
        <f t="shared" si="203"/>
        <v>-0.49849999999999994</v>
      </c>
      <c r="V260" s="65">
        <f t="shared" si="204"/>
        <v>-0.43049999999999988</v>
      </c>
    </row>
    <row r="261" spans="1:26">
      <c r="A261" s="115"/>
      <c r="B261" s="115"/>
      <c r="C261" s="116" t="s">
        <v>311</v>
      </c>
      <c r="D261" s="98">
        <f>SUM(D249:D260)</f>
        <v>20411739072.279999</v>
      </c>
      <c r="E261" s="100"/>
      <c r="F261" s="100"/>
      <c r="G261" s="101"/>
      <c r="H261" s="98">
        <f>SUM(H249:H260)</f>
        <v>9378</v>
      </c>
      <c r="I261" s="109"/>
      <c r="J261" s="109"/>
      <c r="K261" s="98">
        <f>SUM(K249:K260)</f>
        <v>21462872515.84</v>
      </c>
      <c r="L261" s="100"/>
      <c r="M261" s="100"/>
      <c r="N261" s="101"/>
      <c r="O261" s="98">
        <f>SUM(O249:O260)</f>
        <v>9519</v>
      </c>
      <c r="P261" s="109"/>
      <c r="Q261" s="109"/>
      <c r="R261" s="64">
        <f t="shared" si="200"/>
        <v>5.149651579602469E-2</v>
      </c>
      <c r="S261" s="64" t="e">
        <f t="shared" si="201"/>
        <v>#DIV/0!</v>
      </c>
      <c r="T261" s="64">
        <f t="shared" si="202"/>
        <v>1.5035188739603326E-2</v>
      </c>
      <c r="U261" s="64">
        <f t="shared" si="203"/>
        <v>0</v>
      </c>
      <c r="V261" s="65">
        <f t="shared" si="204"/>
        <v>0</v>
      </c>
      <c r="Z261" s="73"/>
    </row>
    <row r="262" spans="1:26">
      <c r="A262" s="117"/>
      <c r="B262" s="117"/>
      <c r="C262" s="118" t="s">
        <v>312</v>
      </c>
      <c r="D262" s="119">
        <f>SUM(D233,D241,D246,D261)</f>
        <v>8293681936951.0166</v>
      </c>
      <c r="E262" s="120"/>
      <c r="F262" s="120"/>
      <c r="G262" s="121"/>
      <c r="H262" s="119">
        <f>SUM(H233,H241,H246,H261)</f>
        <v>1192413</v>
      </c>
      <c r="I262" s="132"/>
      <c r="J262" s="132"/>
      <c r="K262" s="119">
        <f>SUM(K233,K241,K246,K261)</f>
        <v>8366715511633.8652</v>
      </c>
      <c r="L262" s="120"/>
      <c r="M262" s="120"/>
      <c r="N262" s="119"/>
      <c r="O262" s="119">
        <f>SUM(O233,O241,O246,O261)</f>
        <v>1202754</v>
      </c>
      <c r="P262" s="133"/>
      <c r="Q262" s="119"/>
      <c r="R262" s="137"/>
      <c r="S262" s="138"/>
      <c r="T262" s="138"/>
      <c r="U262" s="139"/>
      <c r="V262" s="139"/>
      <c r="Z262" s="73"/>
    </row>
    <row r="263" spans="1:26">
      <c r="A263" s="122" t="s">
        <v>313</v>
      </c>
      <c r="B263" s="123" t="s">
        <v>336</v>
      </c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</row>
    <row r="264" spans="1:26">
      <c r="B264" s="125"/>
    </row>
    <row r="265" spans="1:26">
      <c r="B265" s="125"/>
      <c r="C265" s="126"/>
      <c r="D265" s="127"/>
      <c r="K265" s="127"/>
    </row>
    <row r="266" spans="1:26" ht="15">
      <c r="B266" s="128"/>
      <c r="C266" s="129"/>
      <c r="D266" s="130"/>
      <c r="F266" s="131"/>
      <c r="G266" s="131"/>
      <c r="I266" s="134"/>
      <c r="J266" s="135"/>
    </row>
    <row r="267" spans="1:26">
      <c r="C267" s="125"/>
    </row>
    <row r="268" spans="1:26">
      <c r="K268" s="111"/>
    </row>
    <row r="269" spans="1:26">
      <c r="B269" s="126"/>
    </row>
    <row r="270" spans="1:26">
      <c r="K270" s="136"/>
    </row>
  </sheetData>
  <sheetProtection algorithmName="SHA-512" hashValue="hupdGM/VgHK6bhfo06Byjz/P28kmQ1IYW8NaLbMHmch0aL4C7zI+Wj1iiDQSDAgo7ny7PLRRTOdg9yenqTcbtg==" saltValue="Ho13xjXungPyILtmDcuNj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4:V74"/>
    <mergeCell ref="A75:V75"/>
    <mergeCell ref="B116:V116"/>
    <mergeCell ref="A117:V117"/>
    <mergeCell ref="A118:V118"/>
    <mergeCell ref="B136:V136"/>
    <mergeCell ref="A137:V137"/>
    <mergeCell ref="B158:V158"/>
    <mergeCell ref="A159:V159"/>
    <mergeCell ref="B167:V167"/>
    <mergeCell ref="A168:V168"/>
    <mergeCell ref="B199:V199"/>
    <mergeCell ref="A200:V200"/>
    <mergeCell ref="B205:V205"/>
    <mergeCell ref="A206:V206"/>
    <mergeCell ref="A207:V207"/>
    <mergeCell ref="A235:V235"/>
    <mergeCell ref="A243:V243"/>
    <mergeCell ref="B247:V247"/>
    <mergeCell ref="A248:V248"/>
    <mergeCell ref="B210:V210"/>
    <mergeCell ref="A211:V211"/>
    <mergeCell ref="B226:V226"/>
    <mergeCell ref="A227:V227"/>
    <mergeCell ref="B234:U234"/>
  </mergeCells>
  <pageMargins left="0.7" right="0.7" top="0.75" bottom="0.75" header="0.3" footer="0.3"/>
  <pageSetup paperSize="9" orientation="portrait" horizontalDpi="300" verticalDpi="300" r:id="rId1"/>
  <ignoredErrors>
    <ignoredError sqref="E100 E80 L51 L35 E35 L142 E142" formula="1"/>
    <ignoredError sqref="S166 S26 S73 S115 S157 S198 S204 S232 S261 T244:T245 R52:T52 R142 R130:T130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D8" sqref="D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F1" s="20"/>
      <c r="G1" s="20"/>
      <c r="H1" s="20"/>
    </row>
    <row r="2" spans="1:8" ht="27.6">
      <c r="A2" s="165" t="s">
        <v>314</v>
      </c>
      <c r="B2" s="166" t="s">
        <v>333</v>
      </c>
      <c r="C2" s="166" t="s">
        <v>338</v>
      </c>
      <c r="D2" s="167"/>
      <c r="F2" s="20"/>
      <c r="G2" s="20"/>
      <c r="H2" s="20"/>
    </row>
    <row r="3" spans="1:8">
      <c r="A3" s="168" t="s">
        <v>18</v>
      </c>
      <c r="B3" s="169">
        <f t="shared" ref="B3:C10" si="0">B13</f>
        <v>106.63592937109199</v>
      </c>
      <c r="C3" s="169">
        <f t="shared" si="0"/>
        <v>119.8491439427295</v>
      </c>
      <c r="D3" s="167"/>
      <c r="F3" s="20"/>
      <c r="G3" s="20"/>
      <c r="H3" s="20"/>
    </row>
    <row r="4" spans="1:8" ht="15.6" customHeight="1">
      <c r="A4" s="165" t="s">
        <v>57</v>
      </c>
      <c r="B4" s="170">
        <f t="shared" si="0"/>
        <v>5200.7457520310072</v>
      </c>
      <c r="C4" s="170">
        <f t="shared" si="0"/>
        <v>5255.3168160080068</v>
      </c>
      <c r="D4" s="167"/>
      <c r="F4" s="20"/>
      <c r="G4" s="20"/>
      <c r="H4" s="20"/>
    </row>
    <row r="5" spans="1:8" ht="16.2" customHeight="1">
      <c r="A5" s="165" t="s">
        <v>315</v>
      </c>
      <c r="B5" s="169">
        <f t="shared" si="0"/>
        <v>242.09764288662512</v>
      </c>
      <c r="C5" s="169">
        <f t="shared" si="0"/>
        <v>244.64717030383531</v>
      </c>
      <c r="D5" s="167"/>
      <c r="F5" s="20"/>
      <c r="G5" s="20"/>
      <c r="H5" s="20"/>
    </row>
    <row r="6" spans="1:8">
      <c r="A6" s="165" t="s">
        <v>174</v>
      </c>
      <c r="B6" s="170">
        <f t="shared" si="0"/>
        <v>1855.8526874333227</v>
      </c>
      <c r="C6" s="170">
        <f t="shared" si="0"/>
        <v>1840.4725900320491</v>
      </c>
      <c r="D6" s="167"/>
      <c r="F6" s="20"/>
      <c r="G6" s="20"/>
      <c r="H6" s="20"/>
    </row>
    <row r="7" spans="1:8">
      <c r="A7" s="165" t="s">
        <v>316</v>
      </c>
      <c r="B7" s="169">
        <f t="shared" si="0"/>
        <v>504.33941231729659</v>
      </c>
      <c r="C7" s="169">
        <f t="shared" si="0"/>
        <v>505.37055932113532</v>
      </c>
      <c r="D7" s="167"/>
      <c r="F7" s="20"/>
      <c r="G7" s="20"/>
      <c r="H7" s="20"/>
    </row>
    <row r="8" spans="1:8">
      <c r="A8" s="165" t="s">
        <v>219</v>
      </c>
      <c r="B8" s="171">
        <f t="shared" si="0"/>
        <v>97.403173769586118</v>
      </c>
      <c r="C8" s="171">
        <f t="shared" si="0"/>
        <v>104.17887105563953</v>
      </c>
      <c r="D8" s="167"/>
      <c r="F8" s="20"/>
      <c r="G8" s="20"/>
      <c r="H8" s="20"/>
    </row>
    <row r="9" spans="1:8">
      <c r="A9" s="165" t="s">
        <v>251</v>
      </c>
      <c r="B9" s="169">
        <f t="shared" si="0"/>
        <v>10.809295044160161</v>
      </c>
      <c r="C9" s="169">
        <f t="shared" si="0"/>
        <v>12.237483860206492</v>
      </c>
      <c r="D9" s="167"/>
      <c r="F9" s="20"/>
      <c r="G9" s="20"/>
      <c r="H9" s="20"/>
    </row>
    <row r="10" spans="1:8">
      <c r="A10" s="165" t="s">
        <v>317</v>
      </c>
      <c r="B10" s="169">
        <f t="shared" si="0"/>
        <v>89.713440000541624</v>
      </c>
      <c r="C10" s="169">
        <f t="shared" si="0"/>
        <v>94.436344010965371</v>
      </c>
      <c r="D10" s="167"/>
      <c r="F10" s="20"/>
      <c r="G10" s="20"/>
      <c r="H10" s="20"/>
    </row>
    <row r="11" spans="1:8">
      <c r="A11" s="165" t="s">
        <v>284</v>
      </c>
      <c r="B11" s="169">
        <f>B21</f>
        <v>19.490186623385224</v>
      </c>
      <c r="C11" s="169">
        <f>C21</f>
        <v>20.735268519028136</v>
      </c>
      <c r="D11" s="167"/>
      <c r="F11" s="20"/>
      <c r="G11" s="20"/>
      <c r="H11" s="20"/>
    </row>
    <row r="12" spans="1:8">
      <c r="F12" s="20"/>
      <c r="G12" s="20"/>
      <c r="H12" s="20"/>
    </row>
    <row r="13" spans="1:8">
      <c r="A13" s="172" t="s">
        <v>18</v>
      </c>
      <c r="B13" s="173">
        <f>'Weekly Valuation'!D26/1000000000</f>
        <v>106.63592937109199</v>
      </c>
      <c r="C13" s="174">
        <f>'Weekly Valuation'!K26/1000000000</f>
        <v>119.8491439427295</v>
      </c>
      <c r="F13" s="20"/>
      <c r="G13" s="20"/>
      <c r="H13" s="20"/>
    </row>
    <row r="14" spans="1:8">
      <c r="A14" s="175" t="s">
        <v>57</v>
      </c>
      <c r="B14" s="173">
        <f>'Weekly Valuation'!D73/1000000000</f>
        <v>5200.7457520310072</v>
      </c>
      <c r="C14" s="176">
        <f>'Weekly Valuation'!K73/1000000000</f>
        <v>5255.3168160080068</v>
      </c>
      <c r="F14" s="20"/>
      <c r="G14" s="20"/>
      <c r="H14" s="20"/>
    </row>
    <row r="15" spans="1:8">
      <c r="A15" s="175" t="s">
        <v>315</v>
      </c>
      <c r="B15" s="173">
        <f>'Weekly Valuation'!D115/1000000000</f>
        <v>242.09764288662512</v>
      </c>
      <c r="C15" s="174">
        <f>'Weekly Valuation'!K115/1000000000</f>
        <v>244.64717030383531</v>
      </c>
      <c r="F15" s="20"/>
      <c r="G15" s="20"/>
      <c r="H15" s="20"/>
    </row>
    <row r="16" spans="1:8">
      <c r="A16" s="175" t="s">
        <v>174</v>
      </c>
      <c r="B16" s="173">
        <f>'Weekly Valuation'!D157/1000000000</f>
        <v>1855.8526874333227</v>
      </c>
      <c r="C16" s="176">
        <f>'Weekly Valuation'!K157/1000000000</f>
        <v>1840.4725900320491</v>
      </c>
      <c r="F16" s="20"/>
      <c r="G16" s="20"/>
      <c r="H16" s="20"/>
    </row>
    <row r="17" spans="1:8">
      <c r="A17" s="175" t="s">
        <v>316</v>
      </c>
      <c r="B17" s="173">
        <f>'Weekly Valuation'!D166/1000000000</f>
        <v>504.33941231729659</v>
      </c>
      <c r="C17" s="174">
        <f>'Weekly Valuation'!K166/1000000000</f>
        <v>505.37055932113532</v>
      </c>
      <c r="F17" s="20"/>
      <c r="G17" s="20"/>
      <c r="H17" s="20"/>
    </row>
    <row r="18" spans="1:8">
      <c r="A18" s="175" t="s">
        <v>219</v>
      </c>
      <c r="B18" s="173">
        <f>'Weekly Valuation'!D198/1000000000</f>
        <v>97.403173769586118</v>
      </c>
      <c r="C18" s="177">
        <f>'Weekly Valuation'!K198/1000000000</f>
        <v>104.17887105563953</v>
      </c>
      <c r="F18" s="20"/>
      <c r="G18" s="20"/>
      <c r="H18" s="20"/>
    </row>
    <row r="19" spans="1:8">
      <c r="A19" s="175" t="s">
        <v>251</v>
      </c>
      <c r="B19" s="173">
        <f>'Weekly Valuation'!D204/1000000000</f>
        <v>10.809295044160161</v>
      </c>
      <c r="C19" s="174">
        <f>'Weekly Valuation'!K204/1000000000</f>
        <v>12.237483860206492</v>
      </c>
      <c r="F19" s="20"/>
      <c r="G19" s="20"/>
      <c r="H19" s="20"/>
    </row>
    <row r="20" spans="1:8">
      <c r="A20" s="175" t="s">
        <v>317</v>
      </c>
      <c r="B20" s="173">
        <f>'Weekly Valuation'!D232/1000000000</f>
        <v>89.713440000541624</v>
      </c>
      <c r="C20" s="174">
        <f>'Weekly Valuation'!K232/1000000000</f>
        <v>94.436344010965371</v>
      </c>
      <c r="F20" s="20"/>
      <c r="G20" s="20"/>
      <c r="H20" s="20"/>
    </row>
    <row r="21" spans="1:8">
      <c r="A21" s="175" t="s">
        <v>284</v>
      </c>
      <c r="B21" s="173">
        <f>'Weekly Valuation'!D241/1000000000</f>
        <v>19.490186623385224</v>
      </c>
      <c r="C21" s="174">
        <f>'Weekly Valuation'!K241/1000000000</f>
        <v>20.735268519028136</v>
      </c>
      <c r="F21" s="20"/>
      <c r="G21" s="20"/>
      <c r="H21" s="20"/>
    </row>
    <row r="22" spans="1:8">
      <c r="A22" s="23"/>
      <c r="C22" s="21"/>
      <c r="F22" s="20"/>
      <c r="G22" s="20"/>
      <c r="H22" s="20"/>
    </row>
    <row r="23" spans="1:8">
      <c r="A23" s="23"/>
      <c r="B23" s="21"/>
      <c r="C23" s="22"/>
      <c r="F23" s="20"/>
      <c r="G23" s="20"/>
      <c r="H23" s="20"/>
    </row>
    <row r="24" spans="1:8">
      <c r="A24" s="23"/>
      <c r="B24" s="21"/>
      <c r="C24" s="21"/>
      <c r="F24" s="20"/>
      <c r="G24" s="20"/>
      <c r="H24" s="20"/>
    </row>
    <row r="25" spans="1:8">
      <c r="A25" s="23"/>
      <c r="B25" s="21"/>
      <c r="C25" s="21"/>
      <c r="F25" s="20"/>
      <c r="G25" s="20"/>
      <c r="H25" s="20"/>
    </row>
    <row r="26" spans="1:8">
      <c r="A26" s="23"/>
      <c r="B26" s="21"/>
      <c r="C26" s="21"/>
      <c r="F26" s="20"/>
      <c r="G26" s="20"/>
      <c r="H26" s="20"/>
    </row>
    <row r="27" spans="1:8">
      <c r="A27" s="23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3W7F4FOPKks2XUBew7T3txZVYtTXmGIc5+TPuyM7v2evIHsNp4EyYBtDEOzQc+MC8x+Ie3Qp3IyBaxAEDXBCaQ==" saltValue="frgw8SW8bBZs5TxbaFmv1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5" sqref="J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9" t="s">
        <v>314</v>
      </c>
      <c r="B1" s="160">
        <v>46066</v>
      </c>
      <c r="C1" s="161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2" t="s">
        <v>251</v>
      </c>
      <c r="B2" s="21">
        <f>'Weekly Valuation'!K204</f>
        <v>12237483860.206491</v>
      </c>
      <c r="C2" s="161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2" t="s">
        <v>284</v>
      </c>
      <c r="B3" s="21">
        <f>'Weekly Valuation'!K241</f>
        <v>20735268519.028137</v>
      </c>
      <c r="C3" s="161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2" t="s">
        <v>18</v>
      </c>
      <c r="B4" s="21">
        <f>'Weekly Valuation'!K26</f>
        <v>119849143942.72949</v>
      </c>
      <c r="C4" s="161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2" t="s">
        <v>317</v>
      </c>
      <c r="B5" s="22">
        <f>'Weekly Valuation'!K232</f>
        <v>94436344010.965378</v>
      </c>
      <c r="C5" s="161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2" t="s">
        <v>219</v>
      </c>
      <c r="B6" s="21">
        <f>'Weekly Valuation'!K198</f>
        <v>104178871055.63953</v>
      </c>
      <c r="C6" s="161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2" t="s">
        <v>316</v>
      </c>
      <c r="B7" s="21">
        <f>'Weekly Valuation'!K166</f>
        <v>505370559321.13531</v>
      </c>
      <c r="C7" s="161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2" t="s">
        <v>315</v>
      </c>
      <c r="B8" s="21">
        <f>'Weekly Valuation'!K115</f>
        <v>244647170303.8353</v>
      </c>
      <c r="C8" s="161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2" t="s">
        <v>174</v>
      </c>
      <c r="B9" s="163">
        <f>'Weekly Valuation'!K157</f>
        <v>1840472590032.0491</v>
      </c>
      <c r="C9" s="161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2" t="s">
        <v>57</v>
      </c>
      <c r="B10" s="163">
        <f>'Weekly Valuation'!K73</f>
        <v>5255316816008.0068</v>
      </c>
      <c r="C10" s="161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1"/>
      <c r="B11" s="161"/>
      <c r="C11" s="161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2"/>
      <c r="B12" s="164"/>
      <c r="C12" s="161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2"/>
      <c r="B13" s="161"/>
      <c r="C13" s="161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1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"/>
      <c r="B16" s="22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"/>
      <c r="B17" s="21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1"/>
      <c r="B18" s="21"/>
      <c r="C18" s="20"/>
      <c r="D18" s="20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80"/>
      <c r="B19" s="17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80"/>
      <c r="B20" s="18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80"/>
      <c r="B21" s="18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78"/>
      <c r="B22" s="18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8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4"/>
    </row>
    <row r="34" spans="1:17" ht="15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24"/>
    </row>
  </sheetData>
  <sheetProtection algorithmName="SHA-512" hashValue="Gts+PwRLFOdXlJ5mMvyebEKBZSNhMyZpPvCxsYzHsfgi0vR1a/+fm0svUJBx9gVy6AKtf046QLumapOV3PyJzQ==" saltValue="6fYftQ7Vij6pcpZMR/8bE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B8" sqref="B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20"/>
      <c r="M1" s="20"/>
      <c r="N1" s="15"/>
      <c r="O1" s="153"/>
    </row>
    <row r="2" spans="1:15">
      <c r="A2" s="154" t="s">
        <v>318</v>
      </c>
      <c r="B2" s="155">
        <v>46015</v>
      </c>
      <c r="C2" s="155">
        <v>46024</v>
      </c>
      <c r="D2" s="155">
        <v>46031</v>
      </c>
      <c r="E2" s="155">
        <v>46038</v>
      </c>
      <c r="F2" s="155">
        <v>46045</v>
      </c>
      <c r="G2" s="155">
        <v>46052</v>
      </c>
      <c r="H2" s="155">
        <v>46059</v>
      </c>
      <c r="I2" s="155">
        <v>46066</v>
      </c>
      <c r="J2" s="20"/>
      <c r="K2" s="20"/>
      <c r="L2" s="20"/>
      <c r="M2" s="20"/>
      <c r="N2" s="15"/>
      <c r="O2" s="153"/>
    </row>
    <row r="3" spans="1:15">
      <c r="A3" s="154" t="s">
        <v>319</v>
      </c>
      <c r="B3" s="156">
        <f t="shared" ref="B3:I3" si="0">B4</f>
        <v>7672.435028174913</v>
      </c>
      <c r="C3" s="156">
        <f t="shared" si="0"/>
        <v>7797.3820775891299</v>
      </c>
      <c r="D3" s="156">
        <f t="shared" si="0"/>
        <v>7922.6135885840922</v>
      </c>
      <c r="E3" s="156">
        <f t="shared" si="0"/>
        <v>8029.3427073122812</v>
      </c>
      <c r="F3" s="156">
        <f t="shared" si="0"/>
        <v>8056.134516783889</v>
      </c>
      <c r="G3" s="156">
        <f t="shared" si="0"/>
        <v>8081.3813988736874</v>
      </c>
      <c r="H3" s="156">
        <f t="shared" si="0"/>
        <v>8127.0875194770169</v>
      </c>
      <c r="I3" s="156">
        <f t="shared" si="0"/>
        <v>8197.2442470535952</v>
      </c>
      <c r="J3" s="20"/>
      <c r="K3" s="20"/>
      <c r="L3" s="20"/>
      <c r="M3" s="20"/>
      <c r="N3" s="15"/>
      <c r="O3" s="153"/>
    </row>
    <row r="4" spans="1:15">
      <c r="A4" s="20"/>
      <c r="B4" s="157">
        <f>'NAV Trend'!C11/1000000000</f>
        <v>7672.435028174913</v>
      </c>
      <c r="C4" s="157">
        <f>'NAV Trend'!D11/1000000000</f>
        <v>7797.3820775891299</v>
      </c>
      <c r="D4" s="157">
        <f>'NAV Trend'!E11/1000000000</f>
        <v>7922.6135885840922</v>
      </c>
      <c r="E4" s="157">
        <f>'NAV Trend'!F11/1000000000</f>
        <v>8029.3427073122812</v>
      </c>
      <c r="F4" s="157">
        <f>'NAV Trend'!G11/1000000000</f>
        <v>8056.134516783889</v>
      </c>
      <c r="G4" s="157">
        <f>'NAV Trend'!H11/1000000000</f>
        <v>8081.3813988736874</v>
      </c>
      <c r="H4" s="158">
        <f>'NAV Trend'!I11/1000000000</f>
        <v>8127.0875194770169</v>
      </c>
      <c r="I4" s="158">
        <f>'NAV Trend'!J11/1000000000</f>
        <v>8197.2442470535952</v>
      </c>
      <c r="J4" s="20"/>
      <c r="K4" s="20"/>
      <c r="L4" s="20"/>
      <c r="M4" s="20"/>
      <c r="N4" s="15"/>
      <c r="O4" s="153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3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3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3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5"/>
      <c r="O8" s="153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53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3"/>
      <c r="O10" s="153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3"/>
      <c r="O11" s="153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3"/>
      <c r="O12" s="153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3"/>
      <c r="O13" s="153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3"/>
      <c r="O14" s="153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3"/>
      <c r="O15" s="153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3"/>
      <c r="N16" s="153"/>
      <c r="O16" s="15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3"/>
      <c r="N17" s="153"/>
      <c r="O17" s="153"/>
    </row>
    <row r="18" spans="1:15"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1:15"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spans="1:15"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</sheetData>
  <sheetProtection algorithmName="SHA-512" hashValue="UP7REYHIiqC3oxB36Is73N+AOSMv4yA13qDe1rD5n/whs+IFAR2sFJgNxmy8iGywt99sshorEmyGFAfROph72w==" saltValue="dl9g1IZMYKTHlw3Jxl2Hf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43"/>
    </row>
    <row r="2" spans="1:16">
      <c r="A2" s="154" t="s">
        <v>318</v>
      </c>
      <c r="B2" s="155">
        <v>46015</v>
      </c>
      <c r="C2" s="155">
        <v>46024</v>
      </c>
      <c r="D2" s="155">
        <v>46031</v>
      </c>
      <c r="E2" s="155">
        <v>46038</v>
      </c>
      <c r="F2" s="155">
        <v>46045</v>
      </c>
      <c r="G2" s="155">
        <v>46052</v>
      </c>
      <c r="H2" s="155">
        <v>46059</v>
      </c>
      <c r="I2" s="155">
        <v>46066</v>
      </c>
      <c r="J2" s="20"/>
      <c r="K2" s="20"/>
      <c r="L2" s="20"/>
      <c r="M2" s="20"/>
      <c r="N2" s="20"/>
      <c r="O2" s="20"/>
      <c r="P2" s="143"/>
    </row>
    <row r="3" spans="1:16">
      <c r="A3" s="154" t="s">
        <v>320</v>
      </c>
      <c r="B3" s="156">
        <f t="shared" ref="B3:I3" si="0">B4</f>
        <v>18.082167415780003</v>
      </c>
      <c r="C3" s="156">
        <f t="shared" si="0"/>
        <v>18.294657025999999</v>
      </c>
      <c r="D3" s="156">
        <f t="shared" si="0"/>
        <v>18.629129376529999</v>
      </c>
      <c r="E3" s="156">
        <f t="shared" si="0"/>
        <v>19.377061801090001</v>
      </c>
      <c r="F3" s="156">
        <f t="shared" si="0"/>
        <v>19.447744548879999</v>
      </c>
      <c r="G3" s="156">
        <f t="shared" si="0"/>
        <v>19.641137987049994</v>
      </c>
      <c r="H3" s="156">
        <f t="shared" si="0"/>
        <v>20.41173907228</v>
      </c>
      <c r="I3" s="156">
        <f t="shared" si="0"/>
        <v>21.462872515840001</v>
      </c>
      <c r="J3" s="20"/>
      <c r="K3" s="20"/>
      <c r="L3" s="20"/>
      <c r="M3" s="20"/>
      <c r="N3" s="20"/>
      <c r="O3" s="20"/>
      <c r="P3" s="143"/>
    </row>
    <row r="4" spans="1:16">
      <c r="A4" s="20"/>
      <c r="B4" s="157">
        <f>'NAV Trend'!C17/1000000000</f>
        <v>18.082167415780003</v>
      </c>
      <c r="C4" s="157">
        <f>'NAV Trend'!D17/1000000000</f>
        <v>18.294657025999999</v>
      </c>
      <c r="D4" s="157">
        <f>'NAV Trend'!E17/1000000000</f>
        <v>18.629129376529999</v>
      </c>
      <c r="E4" s="157">
        <f>'NAV Trend'!F17/1000000000</f>
        <v>19.377061801090001</v>
      </c>
      <c r="F4" s="157">
        <f>'NAV Trend'!G17/1000000000</f>
        <v>19.447744548879999</v>
      </c>
      <c r="G4" s="157">
        <f>'NAV Trend'!H17/1000000000</f>
        <v>19.641137987049994</v>
      </c>
      <c r="H4" s="157">
        <f>'NAV Trend'!I17/1000000000</f>
        <v>20.41173907228</v>
      </c>
      <c r="I4" s="158">
        <f>'NAV Trend'!J17/1000000000</f>
        <v>21.462872515840001</v>
      </c>
      <c r="J4" s="20"/>
      <c r="K4" s="20"/>
      <c r="L4" s="20"/>
      <c r="M4" s="20"/>
      <c r="N4" s="20"/>
      <c r="O4" s="20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IMB4q9PjR7k0rKpZo+KgMIj1a10vVnoACRHbBhq+9xAm1p7m342X/ZbcIKCwTRjKHTQQWFiQz9iT6uvNlGTnEw==" saltValue="VFCnQl9sZ/nKsE0wzSoM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46010</v>
      </c>
      <c r="C1" s="2">
        <v>46015</v>
      </c>
      <c r="D1" s="2">
        <v>46024</v>
      </c>
      <c r="E1" s="2">
        <v>46031</v>
      </c>
      <c r="F1" s="2">
        <v>46038</v>
      </c>
      <c r="G1" s="2">
        <v>46045</v>
      </c>
      <c r="H1" s="2">
        <v>46052</v>
      </c>
      <c r="I1" s="2">
        <v>46059</v>
      </c>
      <c r="J1" s="2">
        <v>46066</v>
      </c>
    </row>
    <row r="2" spans="1:11">
      <c r="A2" s="3" t="s">
        <v>18</v>
      </c>
      <c r="B2" s="4">
        <v>79735701358.92749</v>
      </c>
      <c r="C2" s="4">
        <v>79641660217.847488</v>
      </c>
      <c r="D2" s="4">
        <v>81634147241.387192</v>
      </c>
      <c r="E2" s="4">
        <v>88746718359.350891</v>
      </c>
      <c r="F2" s="4">
        <v>93935595234.247498</v>
      </c>
      <c r="G2" s="4">
        <v>97343280758.238815</v>
      </c>
      <c r="H2" s="4">
        <v>100449483893.22079</v>
      </c>
      <c r="I2" s="4">
        <v>106635929371.092</v>
      </c>
      <c r="J2" s="4">
        <v>119849143942.72949</v>
      </c>
    </row>
    <row r="3" spans="1:11">
      <c r="A3" s="3" t="s">
        <v>57</v>
      </c>
      <c r="B3" s="4">
        <v>4678050109959.2363</v>
      </c>
      <c r="C3" s="4">
        <v>4744967555037.585</v>
      </c>
      <c r="D3" s="4">
        <v>4861697321728.9277</v>
      </c>
      <c r="E3" s="4">
        <v>4966755962611.584</v>
      </c>
      <c r="F3" s="4">
        <v>5059951065309.5</v>
      </c>
      <c r="G3" s="4">
        <v>5108518173049.8516</v>
      </c>
      <c r="H3" s="4">
        <v>5168017665961.8213</v>
      </c>
      <c r="I3" s="4">
        <v>5200745752031.0068</v>
      </c>
      <c r="J3" s="4">
        <v>5255316816008.0068</v>
      </c>
    </row>
    <row r="4" spans="1:11">
      <c r="A4" s="3" t="s">
        <v>315</v>
      </c>
      <c r="B4" s="5">
        <v>238340225253.66324</v>
      </c>
      <c r="C4" s="5">
        <v>237258742107.80859</v>
      </c>
      <c r="D4" s="5">
        <v>241491021912.76636</v>
      </c>
      <c r="E4" s="5">
        <v>242702403146.86172</v>
      </c>
      <c r="F4" s="5">
        <v>243520063100.36298</v>
      </c>
      <c r="G4" s="5">
        <v>243035319324.12384</v>
      </c>
      <c r="H4" s="5">
        <v>241463824670.87335</v>
      </c>
      <c r="I4" s="5">
        <v>242097642886.62512</v>
      </c>
      <c r="J4" s="5">
        <v>244647170303.8353</v>
      </c>
    </row>
    <row r="5" spans="1:11">
      <c r="A5" s="3" t="s">
        <v>174</v>
      </c>
      <c r="B5" s="4">
        <v>1954262527494.0337</v>
      </c>
      <c r="C5" s="4">
        <v>1955698754786.5325</v>
      </c>
      <c r="D5" s="4">
        <v>1957393043586.3616</v>
      </c>
      <c r="E5" s="4">
        <v>1941064146472.0417</v>
      </c>
      <c r="F5" s="4">
        <v>1942452968719.8398</v>
      </c>
      <c r="G5" s="4">
        <v>1915257941328.8516</v>
      </c>
      <c r="H5" s="4">
        <v>1879340816992.0879</v>
      </c>
      <c r="I5" s="4">
        <v>1855852687433.3228</v>
      </c>
      <c r="J5" s="4">
        <v>1840472590032.0491</v>
      </c>
    </row>
    <row r="6" spans="1:11">
      <c r="A6" s="3" t="s">
        <v>316</v>
      </c>
      <c r="B6" s="5">
        <v>482352533334.53674</v>
      </c>
      <c r="C6" s="5">
        <v>483055353307.30524</v>
      </c>
      <c r="D6" s="5">
        <v>482861100288.11963</v>
      </c>
      <c r="E6" s="5">
        <v>504019075123.87</v>
      </c>
      <c r="F6" s="5">
        <v>504828869652.40448</v>
      </c>
      <c r="G6" s="5">
        <v>505309533936.44556</v>
      </c>
      <c r="H6" s="5">
        <v>503446552793.28357</v>
      </c>
      <c r="I6" s="5">
        <v>504339412317.29657</v>
      </c>
      <c r="J6" s="5">
        <v>505370559321.13531</v>
      </c>
    </row>
    <row r="7" spans="1:11">
      <c r="A7" s="3" t="s">
        <v>219</v>
      </c>
      <c r="B7" s="7">
        <v>83857951344.08696</v>
      </c>
      <c r="C7" s="7">
        <v>83513673347.384338</v>
      </c>
      <c r="D7" s="7">
        <v>84098310043.701248</v>
      </c>
      <c r="E7" s="7">
        <v>88017317935.611069</v>
      </c>
      <c r="F7" s="7">
        <v>90902677733.101563</v>
      </c>
      <c r="G7" s="7">
        <v>92487511317.429947</v>
      </c>
      <c r="H7" s="7">
        <v>93467466492.254761</v>
      </c>
      <c r="I7" s="7">
        <v>97403173769.586121</v>
      </c>
      <c r="J7" s="7">
        <v>104178871055.63953</v>
      </c>
    </row>
    <row r="8" spans="1:11">
      <c r="A8" s="3" t="s">
        <v>251</v>
      </c>
      <c r="B8" s="6">
        <v>8322821216.8900003</v>
      </c>
      <c r="C8" s="6">
        <v>8179170952.1100006</v>
      </c>
      <c r="D8" s="6">
        <v>8453062319.8899994</v>
      </c>
      <c r="E8" s="6">
        <v>8936439418.3799992</v>
      </c>
      <c r="F8" s="6">
        <v>9318037783.75</v>
      </c>
      <c r="G8" s="6">
        <v>9969512236.25</v>
      </c>
      <c r="H8" s="6">
        <v>9672057599.0100002</v>
      </c>
      <c r="I8" s="6">
        <v>10809295044.16016</v>
      </c>
      <c r="J8" s="6">
        <v>12237483860.206491</v>
      </c>
    </row>
    <row r="9" spans="1:11">
      <c r="A9" s="3" t="s">
        <v>317</v>
      </c>
      <c r="B9" s="6">
        <v>78263241502.671127</v>
      </c>
      <c r="C9" s="6">
        <v>80120118418.338852</v>
      </c>
      <c r="D9" s="6">
        <v>79754070467.976181</v>
      </c>
      <c r="E9" s="6">
        <v>82371525516.392532</v>
      </c>
      <c r="F9" s="6">
        <v>84433429779.074936</v>
      </c>
      <c r="G9" s="6">
        <v>84213244832.69693</v>
      </c>
      <c r="H9" s="6">
        <v>85523530471.136795</v>
      </c>
      <c r="I9" s="6">
        <v>89713440000.541626</v>
      </c>
      <c r="J9" s="6">
        <v>94436344010.965378</v>
      </c>
    </row>
    <row r="10" spans="1:11">
      <c r="A10" s="3" t="s">
        <v>284</v>
      </c>
      <c r="B10" s="6">
        <v>0</v>
      </c>
      <c r="C10" s="6">
        <v>0</v>
      </c>
      <c r="D10" s="6">
        <v>18740964878.253338</v>
      </c>
      <c r="E10" s="6">
        <v>18756838778.421936</v>
      </c>
      <c r="F10" s="6">
        <v>18866349662.769352</v>
      </c>
      <c r="G10" s="6">
        <v>19311194832.128181</v>
      </c>
      <c r="H10" s="6">
        <v>19390708322.203178</v>
      </c>
      <c r="I10" s="6">
        <v>19490186623.385223</v>
      </c>
      <c r="J10" s="6">
        <v>20735268519.028137</v>
      </c>
    </row>
    <row r="11" spans="1:11" ht="15.6">
      <c r="A11" s="8" t="s">
        <v>321</v>
      </c>
      <c r="B11" s="9">
        <f t="shared" ref="B11:H11" si="0">SUM(B2:B9)</f>
        <v>7603185111464.0459</v>
      </c>
      <c r="C11" s="9">
        <f t="shared" si="0"/>
        <v>7672435028174.9131</v>
      </c>
      <c r="D11" s="9">
        <f t="shared" si="0"/>
        <v>7797382077589.1299</v>
      </c>
      <c r="E11" s="9">
        <f t="shared" si="0"/>
        <v>7922613588584.0918</v>
      </c>
      <c r="F11" s="9">
        <f t="shared" si="0"/>
        <v>8029342707312.2813</v>
      </c>
      <c r="G11" s="9">
        <f t="shared" si="0"/>
        <v>8056134516783.8887</v>
      </c>
      <c r="H11" s="9">
        <f t="shared" si="0"/>
        <v>8081381398873.6875</v>
      </c>
      <c r="I11" s="9">
        <f>SUM(I2:I10)</f>
        <v>8127087519477.0166</v>
      </c>
      <c r="J11" s="9">
        <f>SUM(J2:J10)</f>
        <v>8197244247053.5957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7637810069819.4795</v>
      </c>
      <c r="D13" s="14">
        <f t="shared" ref="D13:J13" si="1">(C11+D11)/2</f>
        <v>7734908552882.0215</v>
      </c>
      <c r="E13" s="14">
        <f t="shared" si="1"/>
        <v>7859997833086.6113</v>
      </c>
      <c r="F13" s="14">
        <f t="shared" si="1"/>
        <v>7975978147948.1865</v>
      </c>
      <c r="G13" s="14">
        <f t="shared" si="1"/>
        <v>8042738612048.085</v>
      </c>
      <c r="H13" s="14">
        <f t="shared" si="1"/>
        <v>8068757957828.7881</v>
      </c>
      <c r="I13" s="14">
        <f t="shared" si="1"/>
        <v>8104234459175.3516</v>
      </c>
      <c r="J13" s="14">
        <f t="shared" si="1"/>
        <v>8162165883265.3066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46010</v>
      </c>
      <c r="C16" s="2">
        <v>46015</v>
      </c>
      <c r="D16" s="2">
        <v>46024</v>
      </c>
      <c r="E16" s="2">
        <v>46031</v>
      </c>
      <c r="F16" s="2">
        <v>46038</v>
      </c>
      <c r="G16" s="2">
        <v>46045</v>
      </c>
      <c r="H16" s="2">
        <v>46052</v>
      </c>
      <c r="I16" s="2">
        <v>46059</v>
      </c>
      <c r="J16" s="2">
        <v>46066</v>
      </c>
      <c r="K16" s="15"/>
    </row>
    <row r="17" spans="1:11">
      <c r="A17" s="16" t="s">
        <v>324</v>
      </c>
      <c r="B17" s="17">
        <v>17940564850.189999</v>
      </c>
      <c r="C17" s="17">
        <v>18082167415.780003</v>
      </c>
      <c r="D17" s="17">
        <v>18294657026</v>
      </c>
      <c r="E17" s="17">
        <v>18629129376.529999</v>
      </c>
      <c r="F17" s="17">
        <v>19377061801.09</v>
      </c>
      <c r="G17" s="17">
        <v>19447744548.880001</v>
      </c>
      <c r="H17" s="17">
        <v>19641137987.049995</v>
      </c>
      <c r="I17" s="17">
        <v>20411739072.279999</v>
      </c>
      <c r="J17" s="17">
        <v>21462872515.84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+sKVmoMV8PuG6ejczuNhfRm2gRl1u97ba7lhDylitzFeJrS/HeXimUYLy/JcdIhCFoNCMy/0Nl8qWHNl6x3SUA==" saltValue="l4+/KUkd2JOqni0MvZzj1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2026-02-23T15:21:38Z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