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04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Valuation'!$W$135</definedName>
    <definedName name="NFEM_RATE" localSheetId="0">'Weekly Valuation'!$W$135</definedName>
  </definedNames>
  <calcPr calcId="162913"/>
</workbook>
</file>

<file path=xl/calcChain.xml><?xml version="1.0" encoding="utf-8"?>
<calcChain xmlns="http://schemas.openxmlformats.org/spreadsheetml/2006/main">
  <c r="K143" i="1" l="1"/>
  <c r="N150" i="1" l="1"/>
  <c r="M150" i="1"/>
  <c r="K150" i="1"/>
  <c r="K137" i="1"/>
  <c r="K141" i="1"/>
  <c r="N132" i="1" l="1"/>
  <c r="M132" i="1"/>
  <c r="K132" i="1"/>
  <c r="O112" i="1"/>
  <c r="M121" i="1" l="1"/>
  <c r="K121" i="1"/>
  <c r="N123" i="1"/>
  <c r="M123" i="1"/>
  <c r="K123" i="1"/>
  <c r="N131" i="1"/>
  <c r="M131" i="1"/>
  <c r="K131" i="1"/>
  <c r="N153" i="1"/>
  <c r="M153" i="1"/>
  <c r="K153" i="1"/>
  <c r="K129" i="1"/>
  <c r="N151" i="1"/>
  <c r="M151" i="1"/>
  <c r="K151" i="1"/>
  <c r="N122" i="1" l="1"/>
  <c r="M122" i="1"/>
  <c r="K122" i="1"/>
  <c r="N142" i="1"/>
  <c r="M142" i="1"/>
  <c r="K152" i="1"/>
  <c r="N130" i="1"/>
  <c r="M130" i="1"/>
  <c r="K130" i="1"/>
  <c r="U28" i="1"/>
  <c r="N116" i="1"/>
  <c r="M116" i="1"/>
  <c r="K116" i="1"/>
  <c r="N139" i="1" l="1"/>
  <c r="M139" i="1"/>
  <c r="K139" i="1"/>
  <c r="K127" i="1" l="1"/>
  <c r="K231" i="1"/>
  <c r="N231" i="1"/>
  <c r="M231" i="1"/>
  <c r="N126" i="1"/>
  <c r="M126" i="1"/>
  <c r="K126" i="1"/>
  <c r="K125" i="1"/>
  <c r="N125" i="1"/>
  <c r="M125" i="1"/>
  <c r="N136" i="1"/>
  <c r="M136" i="1"/>
  <c r="K136" i="1"/>
  <c r="N144" i="1"/>
  <c r="M144" i="1"/>
  <c r="K144" i="1"/>
  <c r="N149" i="1"/>
  <c r="M149" i="1"/>
  <c r="K149" i="1"/>
  <c r="N147" i="1" l="1"/>
  <c r="M147" i="1"/>
  <c r="K147" i="1"/>
  <c r="N120" i="1"/>
  <c r="M120" i="1"/>
  <c r="K120" i="1"/>
  <c r="K117" i="1"/>
  <c r="N135" i="1" l="1"/>
  <c r="M135" i="1"/>
  <c r="K135" i="1"/>
  <c r="N128" i="1" l="1"/>
  <c r="M128" i="1"/>
  <c r="K128" i="1"/>
  <c r="N229" i="1"/>
  <c r="M229" i="1"/>
  <c r="K229" i="1"/>
  <c r="N119" i="1"/>
  <c r="M119" i="1"/>
  <c r="K119" i="1"/>
  <c r="N118" i="1"/>
  <c r="M118" i="1"/>
  <c r="K118" i="1"/>
  <c r="N146" i="1"/>
  <c r="M146" i="1"/>
  <c r="K146" i="1"/>
  <c r="N121" i="1" l="1"/>
  <c r="M145" i="1"/>
  <c r="N129" i="1" l="1"/>
  <c r="M127" i="1" l="1"/>
  <c r="N152" i="1" l="1"/>
  <c r="M152" i="1"/>
  <c r="N143" i="1" l="1"/>
  <c r="M143" i="1"/>
  <c r="T137" i="1" l="1"/>
  <c r="U137" i="1"/>
  <c r="V137" i="1"/>
  <c r="R79" i="1" l="1"/>
  <c r="S79" i="1"/>
  <c r="T79" i="1"/>
  <c r="V79" i="1" l="1"/>
  <c r="U79" i="1"/>
  <c r="N137" i="1"/>
  <c r="S137" i="1" s="1"/>
  <c r="M137" i="1"/>
  <c r="R40" i="1" l="1"/>
  <c r="V40" i="1"/>
  <c r="U40" i="1"/>
  <c r="T40" i="1"/>
  <c r="S40" i="1"/>
  <c r="V141" i="1" l="1"/>
  <c r="U141" i="1"/>
  <c r="T141" i="1"/>
  <c r="N141" i="1"/>
  <c r="S141" i="1" s="1"/>
  <c r="M141" i="1"/>
  <c r="R141" i="1"/>
  <c r="N145" i="1"/>
  <c r="M129" i="1" l="1"/>
  <c r="R183" i="1" l="1"/>
  <c r="R83" i="1" l="1"/>
  <c r="R84" i="1"/>
  <c r="R106" i="1" l="1"/>
  <c r="S106" i="1"/>
  <c r="T106" i="1"/>
  <c r="U106" i="1"/>
  <c r="V106" i="1"/>
  <c r="R15" i="1" l="1"/>
  <c r="V232" i="1" l="1"/>
  <c r="U232" i="1"/>
  <c r="T232" i="1"/>
  <c r="S232" i="1"/>
  <c r="R232" i="1"/>
  <c r="R238" i="1"/>
  <c r="R158" i="1" l="1"/>
  <c r="S158" i="1"/>
  <c r="T158" i="1"/>
  <c r="U158" i="1"/>
  <c r="V158" i="1"/>
  <c r="R128" i="1" l="1"/>
  <c r="R127" i="1"/>
  <c r="S135" i="1"/>
  <c r="R135" i="1"/>
  <c r="S153" i="1"/>
  <c r="R153" i="1"/>
  <c r="S123" i="1"/>
  <c r="S144" i="1"/>
  <c r="R144" i="1"/>
  <c r="R129" i="1"/>
  <c r="S149" i="1"/>
  <c r="R149" i="1"/>
  <c r="S139" i="1"/>
  <c r="R139" i="1"/>
  <c r="S122" i="1"/>
  <c r="R122" i="1"/>
  <c r="K163" i="1"/>
  <c r="V222" i="1"/>
  <c r="U222" i="1"/>
  <c r="T222" i="1"/>
  <c r="S222" i="1"/>
  <c r="R222" i="1"/>
  <c r="K199" i="1"/>
  <c r="D199" i="1"/>
  <c r="B19" i="2" s="1"/>
  <c r="B9" i="2" s="1"/>
  <c r="V223" i="1"/>
  <c r="U223" i="1"/>
  <c r="T223" i="1"/>
  <c r="S223" i="1"/>
  <c r="R223" i="1"/>
  <c r="K225" i="1"/>
  <c r="D225" i="1"/>
  <c r="S136" i="1"/>
  <c r="S152" i="1"/>
  <c r="R117" i="1"/>
  <c r="S147" i="1"/>
  <c r="R147" i="1"/>
  <c r="R130" i="1"/>
  <c r="S116" i="1"/>
  <c r="V238" i="1"/>
  <c r="N127" i="1"/>
  <c r="S127" i="1" s="1"/>
  <c r="V230" i="1"/>
  <c r="U230" i="1"/>
  <c r="T230" i="1"/>
  <c r="S230" i="1"/>
  <c r="R230" i="1"/>
  <c r="K234" i="1"/>
  <c r="S142" i="1"/>
  <c r="U146" i="1"/>
  <c r="V146" i="1"/>
  <c r="N117" i="1"/>
  <c r="S117" i="1" s="1"/>
  <c r="M117" i="1"/>
  <c r="R231" i="1"/>
  <c r="S231" i="1"/>
  <c r="T231" i="1"/>
  <c r="U231" i="1"/>
  <c r="V231" i="1"/>
  <c r="V53" i="1"/>
  <c r="U53" i="1"/>
  <c r="T53" i="1"/>
  <c r="S53" i="1"/>
  <c r="R53" i="1"/>
  <c r="R152" i="1"/>
  <c r="V152" i="1"/>
  <c r="U152" i="1"/>
  <c r="T152" i="1"/>
  <c r="R171" i="1"/>
  <c r="S171" i="1"/>
  <c r="T171" i="1"/>
  <c r="U171" i="1"/>
  <c r="V171" i="1"/>
  <c r="V147" i="1"/>
  <c r="U147" i="1"/>
  <c r="T147" i="1"/>
  <c r="R59" i="1"/>
  <c r="V59" i="1"/>
  <c r="U59" i="1"/>
  <c r="S59" i="1"/>
  <c r="T59" i="1"/>
  <c r="R32" i="1"/>
  <c r="V32" i="1"/>
  <c r="U32" i="1"/>
  <c r="T32" i="1"/>
  <c r="S32" i="1"/>
  <c r="T140" i="1"/>
  <c r="V127" i="1"/>
  <c r="U127" i="1"/>
  <c r="T127" i="1"/>
  <c r="R46" i="1"/>
  <c r="S46" i="1"/>
  <c r="T46" i="1"/>
  <c r="U46" i="1"/>
  <c r="V46" i="1"/>
  <c r="O234" i="1"/>
  <c r="H234" i="1"/>
  <c r="D234" i="1"/>
  <c r="V229" i="1"/>
  <c r="U229" i="1"/>
  <c r="T229" i="1"/>
  <c r="S229" i="1"/>
  <c r="R229" i="1"/>
  <c r="V139" i="1"/>
  <c r="U139" i="1"/>
  <c r="T139" i="1"/>
  <c r="V84" i="1"/>
  <c r="U84" i="1"/>
  <c r="T84" i="1"/>
  <c r="S84" i="1"/>
  <c r="R175" i="1"/>
  <c r="V23" i="1"/>
  <c r="U23" i="1"/>
  <c r="T23" i="1"/>
  <c r="S23" i="1"/>
  <c r="R23" i="1"/>
  <c r="O225" i="1"/>
  <c r="H225" i="1"/>
  <c r="V224" i="1"/>
  <c r="U224" i="1"/>
  <c r="T224" i="1"/>
  <c r="S224" i="1"/>
  <c r="R224" i="1"/>
  <c r="R31" i="1"/>
  <c r="R119" i="1"/>
  <c r="S119" i="1"/>
  <c r="T119" i="1"/>
  <c r="U119" i="1"/>
  <c r="V119" i="1"/>
  <c r="R54" i="1"/>
  <c r="R216" i="1"/>
  <c r="V208" i="1"/>
  <c r="U208" i="1"/>
  <c r="T208" i="1"/>
  <c r="S208" i="1"/>
  <c r="R208" i="1"/>
  <c r="T149" i="1"/>
  <c r="U149" i="1"/>
  <c r="V149" i="1"/>
  <c r="R6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R96" i="1"/>
  <c r="V34" i="1"/>
  <c r="U34" i="1"/>
  <c r="T34" i="1"/>
  <c r="S34" i="1"/>
  <c r="R34" i="1"/>
  <c r="V77" i="1"/>
  <c r="V50" i="1"/>
  <c r="U50" i="1"/>
  <c r="T50" i="1"/>
  <c r="S50" i="1"/>
  <c r="R50" i="1"/>
  <c r="J10" i="4"/>
  <c r="I4" i="5" s="1"/>
  <c r="I3" i="5" s="1"/>
  <c r="I10" i="4"/>
  <c r="H4" i="5" s="1"/>
  <c r="H3" i="5" s="1"/>
  <c r="H10" i="4"/>
  <c r="G4" i="5" s="1"/>
  <c r="G3" i="5" s="1"/>
  <c r="G10" i="4"/>
  <c r="F4" i="5" s="1"/>
  <c r="F3" i="5" s="1"/>
  <c r="F10" i="4"/>
  <c r="E10" i="4"/>
  <c r="D4" i="5" s="1"/>
  <c r="D3" i="5" s="1"/>
  <c r="D10" i="4"/>
  <c r="C10" i="4"/>
  <c r="B10" i="4"/>
  <c r="I4" i="6"/>
  <c r="I3" i="6" s="1"/>
  <c r="H4" i="6"/>
  <c r="H3" i="6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V254" i="1"/>
  <c r="U254" i="1"/>
  <c r="S254" i="1"/>
  <c r="O254" i="1"/>
  <c r="K254" i="1"/>
  <c r="L251" i="1" s="1"/>
  <c r="H254" i="1"/>
  <c r="D254" i="1"/>
  <c r="E242" i="1" s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O239" i="1"/>
  <c r="K239" i="1"/>
  <c r="L237" i="1" s="1"/>
  <c r="H239" i="1"/>
  <c r="D239" i="1"/>
  <c r="E237" i="1" s="1"/>
  <c r="U238" i="1"/>
  <c r="T238" i="1"/>
  <c r="S238" i="1"/>
  <c r="V237" i="1"/>
  <c r="U237" i="1"/>
  <c r="T237" i="1"/>
  <c r="S237" i="1"/>
  <c r="R237" i="1"/>
  <c r="V233" i="1"/>
  <c r="U233" i="1"/>
  <c r="T233" i="1"/>
  <c r="S233" i="1"/>
  <c r="R233" i="1"/>
  <c r="V225" i="1"/>
  <c r="U225" i="1"/>
  <c r="S225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7" i="1"/>
  <c r="U207" i="1"/>
  <c r="T207" i="1"/>
  <c r="S207" i="1"/>
  <c r="R207" i="1"/>
  <c r="V204" i="1"/>
  <c r="U204" i="1"/>
  <c r="T204" i="1"/>
  <c r="S204" i="1"/>
  <c r="R204" i="1"/>
  <c r="V203" i="1"/>
  <c r="U203" i="1"/>
  <c r="T203" i="1"/>
  <c r="S203" i="1"/>
  <c r="R203" i="1"/>
  <c r="V199" i="1"/>
  <c r="U199" i="1"/>
  <c r="S199" i="1"/>
  <c r="O199" i="1"/>
  <c r="H199" i="1"/>
  <c r="V198" i="1"/>
  <c r="U198" i="1"/>
  <c r="T198" i="1"/>
  <c r="S198" i="1"/>
  <c r="R198" i="1"/>
  <c r="V197" i="1"/>
  <c r="U197" i="1"/>
  <c r="T197" i="1"/>
  <c r="S197" i="1"/>
  <c r="R197" i="1"/>
  <c r="V194" i="1"/>
  <c r="U194" i="1"/>
  <c r="S194" i="1"/>
  <c r="O194" i="1"/>
  <c r="K194" i="1"/>
  <c r="L180" i="1" s="1"/>
  <c r="H194" i="1"/>
  <c r="D194" i="1"/>
  <c r="E171" i="1" s="1"/>
  <c r="V163" i="1"/>
  <c r="U163" i="1"/>
  <c r="S163" i="1"/>
  <c r="O163" i="1"/>
  <c r="H163" i="1"/>
  <c r="D163" i="1"/>
  <c r="E157" i="1" s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7" i="1"/>
  <c r="U157" i="1"/>
  <c r="T157" i="1"/>
  <c r="S157" i="1"/>
  <c r="R157" i="1"/>
  <c r="V154" i="1"/>
  <c r="U154" i="1"/>
  <c r="S154" i="1"/>
  <c r="O154" i="1"/>
  <c r="H154" i="1"/>
  <c r="V153" i="1"/>
  <c r="U153" i="1"/>
  <c r="T153" i="1"/>
  <c r="V151" i="1"/>
  <c r="U151" i="1"/>
  <c r="T151" i="1"/>
  <c r="S151" i="1"/>
  <c r="R151" i="1"/>
  <c r="V150" i="1"/>
  <c r="U150" i="1"/>
  <c r="T150" i="1"/>
  <c r="S150" i="1"/>
  <c r="V148" i="1"/>
  <c r="U148" i="1"/>
  <c r="T148" i="1"/>
  <c r="S148" i="1"/>
  <c r="R148" i="1"/>
  <c r="T146" i="1"/>
  <c r="S146" i="1"/>
  <c r="V145" i="1"/>
  <c r="U145" i="1"/>
  <c r="T145" i="1"/>
  <c r="R145" i="1"/>
  <c r="S145" i="1"/>
  <c r="V144" i="1"/>
  <c r="U144" i="1"/>
  <c r="T144" i="1"/>
  <c r="V143" i="1"/>
  <c r="U143" i="1"/>
  <c r="T143" i="1"/>
  <c r="S143" i="1"/>
  <c r="R143" i="1"/>
  <c r="V142" i="1"/>
  <c r="U142" i="1"/>
  <c r="T142" i="1"/>
  <c r="R142" i="1"/>
  <c r="V140" i="1"/>
  <c r="U140" i="1"/>
  <c r="S140" i="1"/>
  <c r="R140" i="1"/>
  <c r="V138" i="1"/>
  <c r="U138" i="1"/>
  <c r="T138" i="1"/>
  <c r="S138" i="1"/>
  <c r="R138" i="1"/>
  <c r="V136" i="1"/>
  <c r="U136" i="1"/>
  <c r="T136" i="1"/>
  <c r="V135" i="1"/>
  <c r="U135" i="1"/>
  <c r="T135" i="1"/>
  <c r="V132" i="1"/>
  <c r="U132" i="1"/>
  <c r="T132" i="1"/>
  <c r="S132" i="1"/>
  <c r="V131" i="1"/>
  <c r="U131" i="1"/>
  <c r="T131" i="1"/>
  <c r="S131" i="1"/>
  <c r="R131" i="1"/>
  <c r="V130" i="1"/>
  <c r="U130" i="1"/>
  <c r="T130" i="1"/>
  <c r="S130" i="1"/>
  <c r="V129" i="1"/>
  <c r="U129" i="1"/>
  <c r="T129" i="1"/>
  <c r="S129" i="1"/>
  <c r="V128" i="1"/>
  <c r="U128" i="1"/>
  <c r="T128" i="1"/>
  <c r="S128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V122" i="1"/>
  <c r="U122" i="1"/>
  <c r="T122" i="1"/>
  <c r="V121" i="1"/>
  <c r="U121" i="1"/>
  <c r="T121" i="1"/>
  <c r="S121" i="1"/>
  <c r="V120" i="1"/>
  <c r="U120" i="1"/>
  <c r="T120" i="1"/>
  <c r="S120" i="1"/>
  <c r="V118" i="1"/>
  <c r="U118" i="1"/>
  <c r="T118" i="1"/>
  <c r="S118" i="1"/>
  <c r="V117" i="1"/>
  <c r="U117" i="1"/>
  <c r="T117" i="1"/>
  <c r="V116" i="1"/>
  <c r="U116" i="1"/>
  <c r="T116" i="1"/>
  <c r="R116" i="1"/>
  <c r="V112" i="1"/>
  <c r="U112" i="1"/>
  <c r="S112" i="1"/>
  <c r="K112" i="1"/>
  <c r="L76" i="1" s="1"/>
  <c r="H112" i="1"/>
  <c r="D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3" i="1"/>
  <c r="U83" i="1"/>
  <c r="T83" i="1"/>
  <c r="S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U78" i="1"/>
  <c r="V78" i="1" s="1"/>
  <c r="T78" i="1"/>
  <c r="S78" i="1"/>
  <c r="R78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0" i="1"/>
  <c r="U70" i="1"/>
  <c r="S70" i="1"/>
  <c r="O70" i="1"/>
  <c r="K70" i="1"/>
  <c r="H70" i="1"/>
  <c r="D70" i="1"/>
  <c r="B14" i="2" s="1"/>
  <c r="B4" i="2" s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V52" i="1"/>
  <c r="U52" i="1"/>
  <c r="T52" i="1"/>
  <c r="S52" i="1"/>
  <c r="R52" i="1"/>
  <c r="V51" i="1"/>
  <c r="U51" i="1"/>
  <c r="T51" i="1"/>
  <c r="S51" i="1"/>
  <c r="R51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T28" i="1"/>
  <c r="S28" i="1"/>
  <c r="R28" i="1"/>
  <c r="V25" i="1"/>
  <c r="U25" i="1"/>
  <c r="S25" i="1"/>
  <c r="O25" i="1"/>
  <c r="K25" i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D154" i="1"/>
  <c r="E137" i="1" s="1"/>
  <c r="R118" i="1"/>
  <c r="R121" i="1"/>
  <c r="R132" i="1"/>
  <c r="R136" i="1"/>
  <c r="R146" i="1"/>
  <c r="R150" i="1"/>
  <c r="L32" i="1" l="1"/>
  <c r="L36" i="1"/>
  <c r="L212" i="1"/>
  <c r="L204" i="1"/>
  <c r="L222" i="1"/>
  <c r="L197" i="1"/>
  <c r="L69" i="1"/>
  <c r="L38" i="1"/>
  <c r="L188" i="1"/>
  <c r="L169" i="1"/>
  <c r="L29" i="1"/>
  <c r="L79" i="1"/>
  <c r="L160" i="1"/>
  <c r="L158" i="1"/>
  <c r="E12" i="4"/>
  <c r="L19" i="1"/>
  <c r="L9" i="1"/>
  <c r="L65" i="1"/>
  <c r="E98" i="1"/>
  <c r="E79" i="1"/>
  <c r="E141" i="1"/>
  <c r="E135" i="1"/>
  <c r="L89" i="1"/>
  <c r="L80" i="1"/>
  <c r="L183" i="1"/>
  <c r="L41" i="1"/>
  <c r="L40" i="1"/>
  <c r="E143" i="1"/>
  <c r="E151" i="1"/>
  <c r="E152" i="1"/>
  <c r="E153" i="1"/>
  <c r="L209" i="1"/>
  <c r="T199" i="1"/>
  <c r="L106" i="1"/>
  <c r="D12" i="4"/>
  <c r="L207" i="1"/>
  <c r="F12" i="4"/>
  <c r="E90" i="1"/>
  <c r="E238" i="1"/>
  <c r="E100" i="1"/>
  <c r="E102" i="1"/>
  <c r="G12" i="4"/>
  <c r="E161" i="1"/>
  <c r="E4" i="5"/>
  <c r="E3" i="5" s="1"/>
  <c r="E93" i="1"/>
  <c r="E106" i="1"/>
  <c r="E80" i="1"/>
  <c r="L174" i="1"/>
  <c r="L192" i="1"/>
  <c r="L193" i="1"/>
  <c r="E105" i="1"/>
  <c r="E92" i="1"/>
  <c r="I12" i="4"/>
  <c r="H12" i="4"/>
  <c r="E46" i="1"/>
  <c r="E197" i="1"/>
  <c r="E198" i="1"/>
  <c r="E110" i="1"/>
  <c r="E13" i="1"/>
  <c r="E17" i="1"/>
  <c r="E15" i="1"/>
  <c r="E34" i="1"/>
  <c r="E14" i="1"/>
  <c r="C4" i="5"/>
  <c r="C3" i="5" s="1"/>
  <c r="C12" i="4"/>
  <c r="B4" i="5"/>
  <c r="B3" i="5" s="1"/>
  <c r="T163" i="1"/>
  <c r="E91" i="1"/>
  <c r="E108" i="1"/>
  <c r="E87" i="1"/>
  <c r="E81" i="1"/>
  <c r="E95" i="1"/>
  <c r="E252" i="1"/>
  <c r="E78" i="1"/>
  <c r="E75" i="1"/>
  <c r="E185" i="1"/>
  <c r="E111" i="1"/>
  <c r="E73" i="1"/>
  <c r="E189" i="1"/>
  <c r="E86" i="1"/>
  <c r="E83" i="1"/>
  <c r="T112" i="1"/>
  <c r="E82" i="1"/>
  <c r="E76" i="1"/>
  <c r="E144" i="1"/>
  <c r="E109" i="1"/>
  <c r="E99" i="1"/>
  <c r="B15" i="2"/>
  <c r="B5" i="2" s="1"/>
  <c r="E88" i="1"/>
  <c r="B16" i="2"/>
  <c r="B6" i="2" s="1"/>
  <c r="E84" i="1"/>
  <c r="E107" i="1"/>
  <c r="E104" i="1"/>
  <c r="E103" i="1"/>
  <c r="E16" i="1"/>
  <c r="E9" i="1"/>
  <c r="E20" i="1"/>
  <c r="E247" i="1"/>
  <c r="E18" i="1"/>
  <c r="B13" i="2"/>
  <c r="B3" i="2" s="1"/>
  <c r="E6" i="1"/>
  <c r="E10" i="1"/>
  <c r="E24" i="1"/>
  <c r="E11" i="1"/>
  <c r="E208" i="1"/>
  <c r="E232" i="1"/>
  <c r="E12" i="1"/>
  <c r="E21" i="1"/>
  <c r="E7" i="1"/>
  <c r="E22" i="1"/>
  <c r="E8" i="1"/>
  <c r="E128" i="1"/>
  <c r="E19" i="1"/>
  <c r="L238" i="1"/>
  <c r="R239" i="1"/>
  <c r="L103" i="1"/>
  <c r="L231" i="1"/>
  <c r="L232" i="1"/>
  <c r="L230" i="1"/>
  <c r="R234" i="1"/>
  <c r="E209" i="1"/>
  <c r="B20" i="2"/>
  <c r="B10" i="2" s="1"/>
  <c r="E207" i="1"/>
  <c r="E214" i="1"/>
  <c r="E212" i="1"/>
  <c r="E230" i="1"/>
  <c r="E229" i="1"/>
  <c r="E217" i="1"/>
  <c r="E224" i="1"/>
  <c r="E215" i="1"/>
  <c r="E222" i="1"/>
  <c r="E184" i="1"/>
  <c r="E192" i="1"/>
  <c r="E173" i="1"/>
  <c r="E167" i="1"/>
  <c r="E179" i="1"/>
  <c r="E188" i="1"/>
  <c r="E49" i="1"/>
  <c r="E170" i="1"/>
  <c r="E190" i="1"/>
  <c r="E181" i="1"/>
  <c r="E172" i="1"/>
  <c r="E193" i="1"/>
  <c r="E183" i="1"/>
  <c r="E168" i="1"/>
  <c r="E180" i="1"/>
  <c r="E174" i="1"/>
  <c r="E186" i="1"/>
  <c r="E175" i="1"/>
  <c r="E187" i="1"/>
  <c r="E166" i="1"/>
  <c r="E191" i="1"/>
  <c r="E178" i="1"/>
  <c r="E169" i="1"/>
  <c r="E182" i="1"/>
  <c r="E176" i="1"/>
  <c r="B18" i="2"/>
  <c r="B8" i="2" s="1"/>
  <c r="E177" i="1"/>
  <c r="E160" i="1"/>
  <c r="E162" i="1"/>
  <c r="E147" i="1"/>
  <c r="E118" i="1"/>
  <c r="E149" i="1"/>
  <c r="E127" i="1"/>
  <c r="E119" i="1"/>
  <c r="E145" i="1"/>
  <c r="E120" i="1"/>
  <c r="E139" i="1"/>
  <c r="L229" i="1"/>
  <c r="L162" i="1"/>
  <c r="L157" i="1"/>
  <c r="B6" i="3"/>
  <c r="L233" i="1"/>
  <c r="T225" i="1"/>
  <c r="L159" i="1"/>
  <c r="L161" i="1"/>
  <c r="C17" i="2"/>
  <c r="C7" i="2" s="1"/>
  <c r="E251" i="1"/>
  <c r="E249" i="1"/>
  <c r="L243" i="1"/>
  <c r="R199" i="1"/>
  <c r="L198" i="1"/>
  <c r="B2" i="3"/>
  <c r="C19" i="2"/>
  <c r="C9" i="2" s="1"/>
  <c r="L214" i="1"/>
  <c r="L215" i="1"/>
  <c r="L217" i="1"/>
  <c r="C20" i="2"/>
  <c r="C10" i="2" s="1"/>
  <c r="L203" i="1"/>
  <c r="L219" i="1"/>
  <c r="L213" i="1"/>
  <c r="L210" i="1"/>
  <c r="B4" i="3"/>
  <c r="L208" i="1"/>
  <c r="L218" i="1"/>
  <c r="L216" i="1"/>
  <c r="T25" i="1"/>
  <c r="L23" i="1"/>
  <c r="L11" i="1"/>
  <c r="B3" i="3"/>
  <c r="L20" i="1"/>
  <c r="L17" i="1"/>
  <c r="L22" i="1"/>
  <c r="L16" i="1"/>
  <c r="L18" i="1"/>
  <c r="L7" i="1"/>
  <c r="L13" i="1"/>
  <c r="L14" i="1"/>
  <c r="L12" i="1"/>
  <c r="L10" i="1"/>
  <c r="L34" i="1"/>
  <c r="L8" i="1"/>
  <c r="L6" i="1"/>
  <c r="L24" i="1"/>
  <c r="C13" i="2"/>
  <c r="C3" i="2" s="1"/>
  <c r="L21" i="1"/>
  <c r="R25" i="1"/>
  <c r="L15" i="1"/>
  <c r="L96" i="1"/>
  <c r="L92" i="1"/>
  <c r="L252" i="1"/>
  <c r="L247" i="1"/>
  <c r="L249" i="1"/>
  <c r="L245" i="1"/>
  <c r="L211" i="1"/>
  <c r="L223" i="1"/>
  <c r="L224" i="1"/>
  <c r="E30" i="1"/>
  <c r="T254" i="1"/>
  <c r="L250" i="1"/>
  <c r="L253" i="1"/>
  <c r="L248" i="1"/>
  <c r="L246" i="1"/>
  <c r="L244" i="1"/>
  <c r="L242" i="1"/>
  <c r="K154" i="1"/>
  <c r="L148" i="1" s="1"/>
  <c r="R120" i="1"/>
  <c r="R123" i="1"/>
  <c r="T70" i="1"/>
  <c r="E56" i="1"/>
  <c r="L33" i="1"/>
  <c r="L44" i="1"/>
  <c r="E69" i="1"/>
  <c r="L64" i="1"/>
  <c r="L63" i="1"/>
  <c r="L68" i="1"/>
  <c r="E64" i="1"/>
  <c r="L48" i="1"/>
  <c r="E47" i="1"/>
  <c r="L31" i="1"/>
  <c r="E35" i="1"/>
  <c r="E62" i="1"/>
  <c r="E44" i="1"/>
  <c r="E48" i="1"/>
  <c r="E31" i="1"/>
  <c r="E67" i="1"/>
  <c r="E97" i="1"/>
  <c r="L61" i="1"/>
  <c r="L43" i="1"/>
  <c r="E28" i="1"/>
  <c r="L47" i="1"/>
  <c r="L30" i="1"/>
  <c r="E65" i="1"/>
  <c r="L45" i="1"/>
  <c r="E60" i="1"/>
  <c r="E42" i="1"/>
  <c r="E45" i="1"/>
  <c r="E29" i="1"/>
  <c r="E63" i="1"/>
  <c r="E59" i="1"/>
  <c r="L58" i="1"/>
  <c r="E43" i="1"/>
  <c r="L28" i="1"/>
  <c r="E61" i="1"/>
  <c r="B9" i="3"/>
  <c r="E57" i="1"/>
  <c r="E39" i="1"/>
  <c r="L42" i="1"/>
  <c r="E58" i="1"/>
  <c r="L97" i="1"/>
  <c r="L56" i="1"/>
  <c r="E41" i="1"/>
  <c r="L52" i="1"/>
  <c r="L50" i="1"/>
  <c r="L53" i="1"/>
  <c r="E68" i="1"/>
  <c r="E55" i="1"/>
  <c r="E38" i="1"/>
  <c r="L39" i="1"/>
  <c r="L55" i="1"/>
  <c r="E50" i="1"/>
  <c r="L46" i="1"/>
  <c r="E53" i="1"/>
  <c r="C14" i="2"/>
  <c r="C4" i="2" s="1"/>
  <c r="L67" i="1"/>
  <c r="L54" i="1"/>
  <c r="L37" i="1"/>
  <c r="L66" i="1"/>
  <c r="L35" i="1"/>
  <c r="L59" i="1"/>
  <c r="E66" i="1"/>
  <c r="E52" i="1"/>
  <c r="E36" i="1"/>
  <c r="E51" i="1"/>
  <c r="L57" i="1"/>
  <c r="E32" i="1"/>
  <c r="L51" i="1"/>
  <c r="E33" i="1"/>
  <c r="E37" i="1"/>
  <c r="E54" i="1"/>
  <c r="L60" i="1"/>
  <c r="L62" i="1"/>
  <c r="R70" i="1"/>
  <c r="E245" i="1"/>
  <c r="E243" i="1"/>
  <c r="E246" i="1"/>
  <c r="E248" i="1"/>
  <c r="E250" i="1"/>
  <c r="E253" i="1"/>
  <c r="E244" i="1"/>
  <c r="R254" i="1"/>
  <c r="E223" i="1"/>
  <c r="E210" i="1"/>
  <c r="E203" i="1"/>
  <c r="E204" i="1"/>
  <c r="E219" i="1"/>
  <c r="E213" i="1"/>
  <c r="E231" i="1"/>
  <c r="E233" i="1"/>
  <c r="E218" i="1"/>
  <c r="R225" i="1"/>
  <c r="E216" i="1"/>
  <c r="T194" i="1"/>
  <c r="H226" i="1"/>
  <c r="H255" i="1" s="1"/>
  <c r="B17" i="2"/>
  <c r="B7" i="2" s="1"/>
  <c r="E159" i="1"/>
  <c r="R163" i="1"/>
  <c r="T154" i="1"/>
  <c r="E124" i="1"/>
  <c r="E138" i="1"/>
  <c r="E125" i="1"/>
  <c r="E150" i="1"/>
  <c r="E130" i="1"/>
  <c r="E129" i="1"/>
  <c r="E142" i="1"/>
  <c r="E146" i="1"/>
  <c r="E132" i="1"/>
  <c r="E148" i="1"/>
  <c r="E136" i="1"/>
  <c r="E126" i="1"/>
  <c r="E121" i="1"/>
  <c r="E116" i="1"/>
  <c r="E140" i="1"/>
  <c r="E131" i="1"/>
  <c r="E117" i="1"/>
  <c r="E123" i="1"/>
  <c r="E85" i="1"/>
  <c r="E101" i="1"/>
  <c r="E96" i="1"/>
  <c r="E74" i="1"/>
  <c r="E89" i="1"/>
  <c r="E94" i="1"/>
  <c r="D226" i="1"/>
  <c r="E25" i="1" s="1"/>
  <c r="J12" i="4"/>
  <c r="O226" i="1"/>
  <c r="O255" i="1" s="1"/>
  <c r="L175" i="1"/>
  <c r="L186" i="1"/>
  <c r="R194" i="1"/>
  <c r="B5" i="3"/>
  <c r="L166" i="1"/>
  <c r="L187" i="1"/>
  <c r="L49" i="1"/>
  <c r="L178" i="1"/>
  <c r="L177" i="1"/>
  <c r="L190" i="1"/>
  <c r="L176" i="1"/>
  <c r="L170" i="1"/>
  <c r="L185" i="1"/>
  <c r="L182" i="1"/>
  <c r="C18" i="2"/>
  <c r="C8" i="2" s="1"/>
  <c r="L181" i="1"/>
  <c r="L189" i="1"/>
  <c r="L171" i="1"/>
  <c r="L167" i="1"/>
  <c r="L173" i="1"/>
  <c r="L168" i="1"/>
  <c r="L179" i="1"/>
  <c r="L191" i="1"/>
  <c r="L184" i="1"/>
  <c r="L172" i="1"/>
  <c r="L73" i="1"/>
  <c r="L100" i="1"/>
  <c r="L98" i="1"/>
  <c r="L101" i="1"/>
  <c r="L108" i="1"/>
  <c r="L94" i="1"/>
  <c r="L74" i="1"/>
  <c r="L84" i="1"/>
  <c r="L139" i="1"/>
  <c r="L85" i="1"/>
  <c r="E77" i="1"/>
  <c r="L90" i="1"/>
  <c r="R112" i="1"/>
  <c r="L93" i="1"/>
  <c r="L88" i="1"/>
  <c r="L82" i="1"/>
  <c r="L86" i="1"/>
  <c r="C15" i="2"/>
  <c r="C5" i="2" s="1"/>
  <c r="L91" i="1"/>
  <c r="L99" i="1"/>
  <c r="L107" i="1"/>
  <c r="L83" i="1"/>
  <c r="B7" i="3"/>
  <c r="L81" i="1"/>
  <c r="L109" i="1"/>
  <c r="L78" i="1"/>
  <c r="L104" i="1"/>
  <c r="L77" i="1"/>
  <c r="L95" i="1"/>
  <c r="L105" i="1"/>
  <c r="L111" i="1"/>
  <c r="L102" i="1"/>
  <c r="L75" i="1"/>
  <c r="L87" i="1"/>
  <c r="L110" i="1"/>
  <c r="L141" i="1" l="1"/>
  <c r="L137" i="1"/>
  <c r="L136" i="1"/>
  <c r="L151" i="1"/>
  <c r="L120" i="1"/>
  <c r="L138" i="1"/>
  <c r="L146" i="1"/>
  <c r="B8" i="3"/>
  <c r="L140" i="1"/>
  <c r="L130" i="1"/>
  <c r="L150" i="1"/>
  <c r="L147" i="1"/>
  <c r="L125" i="1"/>
  <c r="L144" i="1"/>
  <c r="L131" i="1"/>
  <c r="L126" i="1"/>
  <c r="R154" i="1"/>
  <c r="L123" i="1"/>
  <c r="L122" i="1"/>
  <c r="C16" i="2"/>
  <c r="C6" i="2" s="1"/>
  <c r="L149" i="1"/>
  <c r="K226" i="1"/>
  <c r="L154" i="1" s="1"/>
  <c r="L119" i="1"/>
  <c r="L118" i="1"/>
  <c r="L132" i="1"/>
  <c r="L152" i="1"/>
  <c r="L121" i="1"/>
  <c r="L116" i="1"/>
  <c r="L145" i="1"/>
  <c r="L143" i="1"/>
  <c r="L124" i="1"/>
  <c r="L142" i="1"/>
  <c r="L127" i="1"/>
  <c r="L128" i="1"/>
  <c r="L135" i="1"/>
  <c r="L117" i="1"/>
  <c r="L129" i="1"/>
  <c r="L153" i="1"/>
  <c r="E225" i="1"/>
  <c r="D255" i="1"/>
  <c r="E163" i="1"/>
  <c r="E199" i="1"/>
  <c r="E112" i="1"/>
  <c r="E194" i="1"/>
  <c r="E154" i="1"/>
  <c r="E70" i="1"/>
  <c r="L25" i="1" l="1"/>
  <c r="L70" i="1"/>
  <c r="L163" i="1"/>
  <c r="R226" i="1"/>
  <c r="L199" i="1"/>
  <c r="L194" i="1"/>
  <c r="K255" i="1"/>
  <c r="L225" i="1"/>
  <c r="L112" i="1"/>
</calcChain>
</file>

<file path=xl/sharedStrings.xml><?xml version="1.0" encoding="utf-8"?>
<sst xmlns="http://schemas.openxmlformats.org/spreadsheetml/2006/main" count="521" uniqueCount="329">
  <si>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</si>
  <si>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</si>
  <si>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</si>
  <si>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</si>
  <si>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</si>
  <si>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</si>
  <si>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</si>
  <si>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</si>
  <si>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</si>
  <si>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</si>
  <si>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</si>
  <si>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</si>
  <si>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</si>
  <si>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</si>
  <si>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</si>
  <si>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</si>
  <si>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</si>
  <si>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</si>
  <si>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</si>
  <si>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</si>
  <si>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</si>
  <si>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</si>
  <si>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</si>
  <si>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</si>
  <si>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</si>
  <si>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</si>
  <si>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</si>
  <si>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</si>
  <si>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</si>
  <si>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</si>
  <si>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</si>
  <si>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</si>
  <si>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</si>
  <si>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</si>
  <si>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</si>
  <si>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</si>
  <si>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</si>
  <si>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</si>
  <si>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</si>
  <si>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</si>
  <si>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</si>
  <si>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</si>
  <si>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</si>
  <si>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</si>
  <si>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</si>
  <si>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</si>
  <si>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</si>
  <si>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</si>
  <si>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</si>
  <si>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</si>
  <si>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</si>
  <si>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</si>
  <si>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</si>
  <si>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</si>
  <si>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</si>
  <si>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</si>
  <si>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</si>
  <si>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</si>
  <si>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</si>
  <si>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</si>
  <si>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</si>
  <si>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</si>
  <si>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</si>
  <si>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</si>
  <si>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</si>
  <si>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</si>
  <si>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</si>
  <si>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</si>
  <si>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</si>
  <si>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</si>
  <si>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</si>
  <si>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</si>
  <si>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</si>
  <si>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</si>
  <si>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</si>
  <si>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</si>
  <si>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</si>
  <si>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</si>
  <si>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</si>
  <si>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</si>
  <si>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</si>
  <si>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</si>
  <si>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</si>
  <si>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</si>
  <si>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</si>
  <si>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</si>
  <si>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</si>
  <si>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</si>
  <si>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</si>
  <si>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</si>
  <si>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</si>
  <si>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</si>
  <si>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</si>
  <si>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</si>
  <si>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</si>
  <si>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</si>
  <si>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</si>
  <si>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</si>
  <si>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</si>
  <si>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</si>
  <si>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</si>
  <si>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</si>
  <si>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</si>
  <si>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</si>
  <si>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</si>
  <si>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</si>
  <si>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</si>
  <si>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</si>
  <si>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</si>
  <si>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</si>
  <si>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</si>
  <si>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</si>
  <si>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</si>
  <si>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</si>
  <si>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</si>
  <si>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</si>
  <si>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</si>
  <si>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</si>
  <si>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</si>
  <si>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</si>
  <si>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</si>
  <si>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</si>
  <si>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</si>
  <si>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</si>
  <si>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</si>
  <si>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</si>
  <si>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</si>
  <si>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</si>
  <si>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</si>
  <si>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</si>
  <si>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</si>
  <si>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</si>
  <si>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</si>
  <si>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</si>
  <si>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</si>
  <si>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</si>
  <si>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</si>
  <si>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</si>
  <si>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</si>
  <si>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</si>
  <si>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</si>
  <si>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</si>
  <si>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</si>
  <si>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</si>
  <si>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</si>
  <si>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</si>
  <si>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</si>
  <si>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</si>
  <si>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</si>
  <si>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</si>
  <si>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</si>
  <si>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</si>
  <si>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</si>
  <si>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</si>
  <si>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</si>
  <si>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</si>
  <si>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</si>
  <si>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</si>
  <si>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</si>
  <si>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</si>
  <si>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</si>
  <si>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</si>
  <si>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</si>
  <si>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</si>
  <si>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</si>
  <si>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</si>
  <si>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</si>
  <si>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</si>
  <si>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</si>
  <si>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</si>
  <si>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</si>
  <si>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</si>
  <si>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</si>
  <si>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</si>
  <si>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</si>
  <si>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</si>
  <si>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</si>
  <si>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</si>
  <si>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</si>
  <si>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</si>
  <si>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</si>
  <si>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</si>
  <si>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</si>
  <si>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</si>
  <si>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</si>
  <si>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</si>
  <si>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</si>
  <si>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</si>
  <si>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</si>
  <si>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</si>
  <si>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</si>
  <si>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</si>
  <si>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</si>
  <si>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</si>
  <si>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</si>
  <si>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</si>
  <si>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</si>
  <si>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</si>
  <si>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</si>
  <si>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</si>
  <si>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</si>
  <si>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</si>
  <si>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</si>
  <si>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</si>
  <si>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</si>
  <si>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</si>
  <si>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</si>
  <si>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</si>
  <si>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</si>
  <si>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</si>
  <si>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</si>
  <si>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</si>
  <si>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</si>
  <si>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</si>
  <si>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</si>
  <si>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</si>
  <si>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</si>
  <si>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</si>
  <si>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</si>
  <si>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</si>
  <si>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</si>
  <si>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</si>
  <si>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</si>
  <si>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</si>
  <si>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</si>
  <si>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</si>
  <si>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</si>
  <si>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</si>
  <si>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</si>
  <si>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</si>
  <si>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</si>
  <si>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</si>
  <si>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</si>
  <si>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</si>
  <si>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</si>
  <si>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</si>
  <si>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</si>
  <si>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</si>
  <si>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</si>
  <si>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</si>
  <si>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</si>
  <si>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</si>
  <si>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</si>
  <si>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</si>
  <si>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</si>
  <si>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</si>
  <si>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</si>
  <si>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</si>
  <si>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</si>
  <si>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</si>
  <si>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</si>
  <si>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</si>
  <si>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</si>
  <si>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</si>
  <si>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</si>
  <si>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</si>
  <si>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</si>
  <si>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</si>
  <si>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</si>
  <si>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</si>
  <si>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</si>
  <si>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</si>
  <si>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</si>
  <si>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</si>
  <si>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</si>
  <si>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</si>
  <si>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</si>
  <si>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</si>
  <si>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</si>
  <si>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</si>
  <si>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</si>
  <si>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</si>
  <si>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</si>
  <si>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</si>
  <si>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</si>
  <si>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</si>
  <si>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</si>
  <si>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</si>
  <si>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</si>
  <si>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</si>
  <si>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</si>
  <si>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</si>
  <si>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</si>
  <si>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</si>
  <si>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</si>
  <si>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</si>
  <si>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</si>
  <si>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</si>
  <si>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</si>
  <si>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</si>
  <si>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</si>
  <si>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</si>
  <si>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</si>
  <si>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</si>
  <si>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</si>
  <si>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</si>
  <si>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</si>
  <si>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</si>
  <si>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</si>
  <si>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</si>
  <si>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</si>
  <si>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Parthian Capital Limited</t>
  </si>
  <si>
    <t>Parthian Money Market Fund</t>
  </si>
  <si>
    <t>Parthian Dollar Fixed Income Fund</t>
  </si>
  <si>
    <t>CardinalStone Balanced Fund</t>
  </si>
  <si>
    <t>Vetiva USD Fixed Income Fund</t>
  </si>
  <si>
    <t>Mango Asset Management Limited</t>
  </si>
  <si>
    <t>Mango Naira Money Market Fund</t>
  </si>
  <si>
    <t>FBN Blended Dollar Fund</t>
  </si>
  <si>
    <t>ValuAlliance Money Market Fund</t>
  </si>
  <si>
    <t>ARM Specialized Dollar Fund</t>
  </si>
  <si>
    <t>ARM Halal Balanced Fund</t>
  </si>
  <si>
    <t>MOFI Real Estate Investment Fund</t>
  </si>
  <si>
    <t>United Capital Children Investment Fund</t>
  </si>
  <si>
    <t>Trustbanc Fixed Income Fund</t>
  </si>
  <si>
    <t>First Asset Management Limited</t>
  </si>
  <si>
    <t>% Change (Current from Previous)</t>
  </si>
  <si>
    <t>Difference</t>
  </si>
  <si>
    <t>Greenwich Fixed Income Dollar Fund</t>
  </si>
  <si>
    <t>DLM Money Market Fund</t>
  </si>
  <si>
    <t>CFG Asset Management Limited</t>
  </si>
  <si>
    <t>CFG AM Fixed Income Dollar Fund</t>
  </si>
  <si>
    <t>CFG AM Fixed Income Naira Fund</t>
  </si>
  <si>
    <t>NAV, Unit Price and Yield as at Week Ended August 29, 2025</t>
  </si>
  <si>
    <t>Week Ended August 29, 2025</t>
  </si>
  <si>
    <t>WEEKLY VALUATION REPORT OF COLLECTIVE INVESTMENT SCHEMES AS AT WEEK ENDED THURSDAY, SEPTEMBER 4, 2025</t>
  </si>
  <si>
    <t>NAV, Unit Price and Yield as at Week Ended September 4, 2025</t>
  </si>
  <si>
    <t>NFEM RATE NG₦/US$ as at 4th September, 2025 = N1514.8671</t>
  </si>
  <si>
    <t>Week Ended September 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</si>
</sst>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  <numFmt numFmtId="167" formatCode="_-* #,##0.0000_-;\-* #,##0.0000_-;_-* &quot;-&quot;??_-;_-@_-"/>
  </numFmts>
  <fonts count="5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8"/>
      <color rgb="FF424242"/>
      <name val="Arial"/>
      <family val="2"/>
    </font>
    <font>
      <sz val="8"/>
      <color theme="0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b/>
      <sz val="18"/>
      <color theme="0"/>
      <name val="Ebrima"/>
    </font>
    <font>
      <b/>
      <sz val="8"/>
      <color theme="4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43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21" borderId="0" applyNumberFormat="0" applyBorder="0" applyAlignment="0" applyProtection="0"/>
    <xf numFmtId="0" fontId="35" fillId="0" borderId="0"/>
    <xf numFmtId="0" fontId="38" fillId="0" borderId="0"/>
    <xf numFmtId="0" fontId="36" fillId="0" borderId="0"/>
    <xf numFmtId="9" fontId="3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164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5" fillId="0" borderId="1" xfId="0" applyFont="1" applyBorder="1" applyAlignment="1">
      <alignment horizontal="right"/>
    </xf>
    <xf numFmtId="16" fontId="6" fillId="2" borderId="1" xfId="0" applyNumberFormat="1" applyFont="1" applyFill="1" applyBorder="1"/>
    <xf numFmtId="0" fontId="6" fillId="0" borderId="1" xfId="0" applyFont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/>
    <xf numFmtId="4" fontId="8" fillId="2" borderId="1" xfId="0" applyNumberFormat="1" applyFont="1" applyFill="1" applyBorder="1"/>
    <xf numFmtId="164" fontId="7" fillId="2" borderId="1" xfId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/>
    </xf>
    <xf numFmtId="43" fontId="9" fillId="3" borderId="1" xfId="0" applyNumberFormat="1" applyFont="1" applyFill="1" applyBorder="1"/>
    <xf numFmtId="0" fontId="8" fillId="0" borderId="0" xfId="0" applyFont="1"/>
    <xf numFmtId="164" fontId="8" fillId="0" borderId="0" xfId="1" applyFont="1"/>
    <xf numFmtId="0" fontId="5" fillId="4" borderId="1" xfId="0" applyFont="1" applyFill="1" applyBorder="1" applyAlignment="1">
      <alignment horizontal="right"/>
    </xf>
    <xf numFmtId="43" fontId="5" fillId="4" borderId="1" xfId="0" applyNumberFormat="1" applyFont="1" applyFill="1" applyBorder="1"/>
    <xf numFmtId="164" fontId="5" fillId="4" borderId="1" xfId="1" applyFont="1" applyFill="1" applyBorder="1"/>
    <xf numFmtId="0" fontId="10" fillId="0" borderId="0" xfId="0" applyFont="1"/>
    <xf numFmtId="0" fontId="11" fillId="0" borderId="1" xfId="0" applyFont="1" applyBorder="1" applyAlignment="1">
      <alignment horizontal="right"/>
    </xf>
    <xf numFmtId="164" fontId="7" fillId="0" borderId="1" xfId="1" applyFont="1" applyBorder="1"/>
    <xf numFmtId="164" fontId="10" fillId="0" borderId="0" xfId="1" applyFont="1"/>
    <xf numFmtId="0" fontId="12" fillId="0" borderId="0" xfId="0" applyFont="1"/>
    <xf numFmtId="0" fontId="8" fillId="2" borderId="0" xfId="0" applyFont="1" applyFill="1" applyAlignment="1">
      <alignment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top" wrapText="1"/>
    </xf>
    <xf numFmtId="164" fontId="17" fillId="2" borderId="1" xfId="10" applyFont="1" applyFill="1" applyBorder="1"/>
    <xf numFmtId="10" fontId="17" fillId="8" borderId="1" xfId="2" applyNumberFormat="1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right"/>
    </xf>
    <xf numFmtId="164" fontId="17" fillId="10" borderId="1" xfId="1" applyFont="1" applyFill="1" applyBorder="1" applyAlignment="1">
      <alignment horizontal="center"/>
    </xf>
    <xf numFmtId="4" fontId="17" fillId="2" borderId="1" xfId="0" applyNumberFormat="1" applyFont="1" applyFill="1" applyBorder="1"/>
    <xf numFmtId="164" fontId="15" fillId="10" borderId="1" xfId="1" applyFont="1" applyFill="1" applyBorder="1" applyAlignment="1">
      <alignment horizontal="center"/>
    </xf>
    <xf numFmtId="164" fontId="17" fillId="2" borderId="1" xfId="1" applyFont="1" applyFill="1" applyBorder="1"/>
    <xf numFmtId="0" fontId="15" fillId="0" borderId="1" xfId="0" applyFont="1" applyBorder="1"/>
    <xf numFmtId="0" fontId="15" fillId="2" borderId="1" xfId="0" applyFont="1" applyFill="1" applyBorder="1"/>
    <xf numFmtId="0" fontId="14" fillId="2" borderId="1" xfId="0" applyFont="1" applyFill="1" applyBorder="1" applyAlignment="1">
      <alignment horizontal="right"/>
    </xf>
    <xf numFmtId="164" fontId="14" fillId="2" borderId="1" xfId="1" applyFont="1" applyFill="1" applyBorder="1" applyAlignment="1">
      <alignment horizontal="right" vertical="top" wrapText="1"/>
    </xf>
    <xf numFmtId="10" fontId="18" fillId="8" borderId="1" xfId="2" applyNumberFormat="1" applyFont="1" applyFill="1" applyBorder="1" applyAlignment="1">
      <alignment horizontal="center" vertical="top" wrapText="1"/>
    </xf>
    <xf numFmtId="10" fontId="17" fillId="2" borderId="1" xfId="2" applyNumberFormat="1" applyFont="1" applyFill="1" applyBorder="1" applyAlignment="1">
      <alignment horizontal="center" vertical="top" wrapText="1"/>
    </xf>
    <xf numFmtId="4" fontId="17" fillId="2" borderId="1" xfId="1" applyNumberFormat="1" applyFont="1" applyFill="1" applyBorder="1" applyAlignment="1">
      <alignment vertical="top" wrapText="1"/>
    </xf>
    <xf numFmtId="164" fontId="14" fillId="10" borderId="1" xfId="1" applyFont="1" applyFill="1" applyBorder="1" applyAlignment="1">
      <alignment horizontal="center"/>
    </xf>
    <xf numFmtId="164" fontId="17" fillId="2" borderId="1" xfId="10" applyFont="1" applyFill="1" applyBorder="1" applyAlignment="1">
      <alignment horizontal="right"/>
    </xf>
    <xf numFmtId="4" fontId="17" fillId="2" borderId="1" xfId="1" applyNumberFormat="1" applyFont="1" applyFill="1" applyBorder="1" applyAlignment="1">
      <alignment horizontal="right"/>
    </xf>
    <xf numFmtId="164" fontId="17" fillId="10" borderId="1" xfId="1" applyFont="1" applyFill="1" applyBorder="1" applyAlignment="1">
      <alignment horizontal="center" wrapText="1"/>
    </xf>
    <xf numFmtId="164" fontId="17" fillId="2" borderId="1" xfId="10" applyFont="1" applyFill="1" applyBorder="1" applyAlignment="1">
      <alignment horizontal="right" wrapText="1"/>
    </xf>
    <xf numFmtId="164" fontId="14" fillId="2" borderId="1" xfId="1" applyFont="1" applyFill="1" applyBorder="1" applyAlignment="1">
      <alignment horizontal="right"/>
    </xf>
    <xf numFmtId="164" fontId="13" fillId="3" borderId="1" xfId="1" applyFont="1" applyFill="1" applyBorder="1" applyAlignment="1">
      <alignment horizontal="center" vertical="top"/>
    </xf>
    <xf numFmtId="10" fontId="17" fillId="10" borderId="1" xfId="2" applyNumberFormat="1" applyFont="1" applyFill="1" applyBorder="1" applyAlignment="1">
      <alignment horizontal="center"/>
    </xf>
    <xf numFmtId="10" fontId="15" fillId="10" borderId="1" xfId="2" applyNumberFormat="1" applyFont="1" applyFill="1" applyBorder="1" applyAlignment="1">
      <alignment horizontal="center"/>
    </xf>
    <xf numFmtId="10" fontId="17" fillId="10" borderId="1" xfId="2" applyNumberFormat="1" applyFont="1" applyFill="1" applyBorder="1" applyAlignment="1">
      <alignment horizontal="center" vertical="top" wrapText="1"/>
    </xf>
    <xf numFmtId="10" fontId="17" fillId="10" borderId="1" xfId="2" applyNumberFormat="1" applyFont="1" applyFill="1" applyBorder="1" applyAlignment="1">
      <alignment horizontal="center" wrapText="1"/>
    </xf>
    <xf numFmtId="10" fontId="17" fillId="8" borderId="1" xfId="2" applyNumberFormat="1" applyFont="1" applyFill="1" applyBorder="1" applyAlignment="1">
      <alignment horizontal="center" wrapText="1"/>
    </xf>
    <xf numFmtId="10" fontId="17" fillId="10" borderId="1" xfId="1" applyNumberFormat="1" applyFont="1" applyFill="1" applyBorder="1" applyAlignment="1">
      <alignment horizontal="center"/>
    </xf>
    <xf numFmtId="10" fontId="17" fillId="3" borderId="1" xfId="2" applyNumberFormat="1" applyFont="1" applyFill="1" applyBorder="1" applyAlignment="1">
      <alignment horizontal="center" vertical="top" wrapText="1"/>
    </xf>
    <xf numFmtId="10" fontId="15" fillId="3" borderId="1" xfId="2" applyNumberFormat="1" applyFont="1" applyFill="1" applyBorder="1" applyAlignment="1">
      <alignment horizontal="center" vertical="top" wrapText="1"/>
    </xf>
    <xf numFmtId="10" fontId="15" fillId="3" borderId="1" xfId="1" applyNumberFormat="1" applyFont="1" applyFill="1" applyBorder="1" applyAlignment="1">
      <alignment horizontal="center" vertical="top" wrapText="1"/>
    </xf>
    <xf numFmtId="10" fontId="19" fillId="11" borderId="0" xfId="0" applyNumberFormat="1" applyFont="1" applyFill="1" applyAlignment="1">
      <alignment horizontal="right" vertical="center" wrapText="1"/>
    </xf>
    <xf numFmtId="2" fontId="17" fillId="2" borderId="1" xfId="0" applyNumberFormat="1" applyFont="1" applyFill="1" applyBorder="1"/>
    <xf numFmtId="164" fontId="17" fillId="2" borderId="1" xfId="10" applyFont="1" applyFill="1" applyBorder="1" applyAlignment="1">
      <alignment wrapText="1"/>
    </xf>
    <xf numFmtId="164" fontId="17" fillId="12" borderId="1" xfId="1" applyFont="1" applyFill="1" applyBorder="1" applyAlignment="1">
      <alignment horizontal="center"/>
    </xf>
    <xf numFmtId="10" fontId="17" fillId="12" borderId="1" xfId="2" applyNumberFormat="1" applyFont="1" applyFill="1" applyBorder="1" applyAlignment="1">
      <alignment horizontal="center"/>
    </xf>
    <xf numFmtId="10" fontId="17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4" fontId="22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3" fillId="11" borderId="0" xfId="0" applyNumberFormat="1" applyFont="1" applyFill="1" applyAlignment="1">
      <alignment horizontal="right" vertical="center" wrapText="1"/>
    </xf>
    <xf numFmtId="0" fontId="14" fillId="0" borderId="1" xfId="0" applyFont="1" applyBorder="1" applyAlignment="1">
      <alignment horizontal="right"/>
    </xf>
    <xf numFmtId="4" fontId="25" fillId="0" borderId="1" xfId="0" applyNumberFormat="1" applyFont="1" applyFill="1" applyBorder="1" applyAlignment="1" applyProtection="1"/>
    <xf numFmtId="0" fontId="26" fillId="2" borderId="1" xfId="0" applyFont="1" applyFill="1" applyBorder="1"/>
    <xf numFmtId="4" fontId="17" fillId="2" borderId="1" xfId="1" applyNumberFormat="1" applyFont="1" applyFill="1" applyBorder="1" applyAlignment="1">
      <alignment horizontal="right" vertical="top" wrapText="1"/>
    </xf>
    <xf numFmtId="164" fontId="14" fillId="2" borderId="1" xfId="1" applyFont="1" applyFill="1" applyBorder="1"/>
    <xf numFmtId="43" fontId="17" fillId="2" borderId="1" xfId="0" applyNumberFormat="1" applyFont="1" applyFill="1" applyBorder="1"/>
    <xf numFmtId="4" fontId="17" fillId="2" borderId="1" xfId="10" applyNumberFormat="1" applyFont="1" applyFill="1" applyBorder="1" applyAlignment="1">
      <alignment horizontal="right"/>
    </xf>
    <xf numFmtId="4" fontId="17" fillId="2" borderId="1" xfId="0" applyNumberFormat="1" applyFont="1" applyFill="1" applyBorder="1" applyAlignment="1">
      <alignment horizontal="right" wrapText="1"/>
    </xf>
    <xf numFmtId="4" fontId="17" fillId="2" borderId="1" xfId="10" applyNumberFormat="1" applyFont="1" applyFill="1" applyBorder="1" applyAlignment="1">
      <alignment horizontal="right" wrapText="1"/>
    </xf>
    <xf numFmtId="4" fontId="17" fillId="10" borderId="1" xfId="1" applyNumberFormat="1" applyFont="1" applyFill="1" applyBorder="1" applyAlignment="1">
      <alignment horizontal="center"/>
    </xf>
    <xf numFmtId="4" fontId="17" fillId="10" borderId="1" xfId="1" applyNumberFormat="1" applyFont="1" applyFill="1" applyBorder="1" applyAlignment="1">
      <alignment horizontal="center" vertical="top" wrapText="1"/>
    </xf>
    <xf numFmtId="43" fontId="17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4" fillId="10" borderId="1" xfId="1" applyNumberFormat="1" applyFont="1" applyFill="1" applyBorder="1" applyAlignment="1">
      <alignment horizontal="right" vertical="top" wrapText="1"/>
    </xf>
    <xf numFmtId="0" fontId="17" fillId="15" borderId="1" xfId="0" applyFont="1" applyFill="1" applyBorder="1" applyAlignment="1">
      <alignment horizontal="right" vertical="center"/>
    </xf>
    <xf numFmtId="0" fontId="14" fillId="15" borderId="1" xfId="0" applyFont="1" applyFill="1" applyBorder="1" applyAlignment="1">
      <alignment horizontal="right" vertical="center"/>
    </xf>
    <xf numFmtId="164" fontId="14" fillId="15" borderId="1" xfId="1" applyFont="1" applyFill="1" applyBorder="1" applyAlignment="1">
      <alignment horizontal="right" vertical="center" wrapText="1"/>
    </xf>
    <xf numFmtId="10" fontId="17" fillId="15" borderId="1" xfId="1" applyNumberFormat="1" applyFont="1" applyFill="1" applyBorder="1" applyAlignment="1">
      <alignment horizontal="right" vertical="center" wrapText="1"/>
    </xf>
    <xf numFmtId="4" fontId="17" fillId="15" borderId="1" xfId="1" applyNumberFormat="1" applyFont="1" applyFill="1" applyBorder="1" applyAlignment="1">
      <alignment horizontal="right" vertical="center" wrapText="1"/>
    </xf>
    <xf numFmtId="164" fontId="14" fillId="15" borderId="1" xfId="1" applyFont="1" applyFill="1" applyBorder="1" applyAlignment="1">
      <alignment horizontal="right" vertical="top" wrapText="1"/>
    </xf>
    <xf numFmtId="4" fontId="17" fillId="2" borderId="1" xfId="10" applyNumberFormat="1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4" fontId="17" fillId="15" borderId="1" xfId="1" applyNumberFormat="1" applyFont="1" applyFill="1" applyBorder="1" applyAlignment="1">
      <alignment horizontal="right" vertical="top" wrapText="1"/>
    </xf>
    <xf numFmtId="164" fontId="17" fillId="2" borderId="1" xfId="10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64" fontId="17" fillId="10" borderId="1" xfId="1" applyFont="1" applyFill="1" applyBorder="1" applyAlignment="1">
      <alignment horizontal="center" vertical="top" wrapText="1"/>
    </xf>
    <xf numFmtId="164" fontId="17" fillId="2" borderId="1" xfId="1" applyFont="1" applyFill="1" applyBorder="1" applyAlignment="1">
      <alignment horizontal="right" vertical="top" wrapText="1"/>
    </xf>
    <xf numFmtId="0" fontId="17" fillId="16" borderId="1" xfId="0" applyFont="1" applyFill="1" applyBorder="1" applyAlignment="1">
      <alignment horizontal="right" vertical="top" wrapText="1"/>
    </xf>
    <xf numFmtId="0" fontId="24" fillId="16" borderId="1" xfId="0" applyFont="1" applyFill="1" applyBorder="1" applyAlignment="1">
      <alignment horizontal="right" vertical="top" wrapText="1"/>
    </xf>
    <xf numFmtId="164" fontId="24" fillId="16" borderId="1" xfId="1" applyFont="1" applyFill="1" applyBorder="1" applyAlignment="1">
      <alignment horizontal="right" vertical="top" wrapText="1"/>
    </xf>
    <xf numFmtId="164" fontId="28" fillId="16" borderId="1" xfId="1" applyFont="1" applyFill="1" applyBorder="1" applyAlignment="1">
      <alignment horizontal="right" vertical="top" wrapText="1"/>
    </xf>
    <xf numFmtId="4" fontId="28" fillId="16" borderId="1" xfId="0" applyNumberFormat="1" applyFont="1" applyFill="1" applyBorder="1" applyAlignment="1">
      <alignment horizontal="right"/>
    </xf>
    <xf numFmtId="0" fontId="29" fillId="6" borderId="1" xfId="0" applyFont="1" applyFill="1" applyBorder="1" applyAlignment="1">
      <alignment horizontal="right" vertical="center"/>
    </xf>
    <xf numFmtId="0" fontId="12" fillId="6" borderId="1" xfId="0" applyFont="1" applyFill="1" applyBorder="1"/>
    <xf numFmtId="0" fontId="30" fillId="0" borderId="0" xfId="0" applyFont="1"/>
    <xf numFmtId="43" fontId="0" fillId="0" borderId="0" xfId="0" applyNumberFormat="1"/>
    <xf numFmtId="0" fontId="31" fillId="0" borderId="0" xfId="0" applyFont="1"/>
    <xf numFmtId="0" fontId="26" fillId="2" borderId="0" xfId="0" applyFont="1" applyFill="1" applyAlignment="1">
      <alignment wrapText="1"/>
    </xf>
    <xf numFmtId="43" fontId="31" fillId="0" borderId="0" xfId="11" applyFont="1" applyBorder="1"/>
    <xf numFmtId="2" fontId="31" fillId="0" borderId="0" xfId="0" applyNumberFormat="1" applyFont="1"/>
    <xf numFmtId="9" fontId="17" fillId="15" borderId="1" xfId="2" applyFont="1" applyFill="1" applyBorder="1" applyAlignment="1">
      <alignment horizontal="center" vertical="center" wrapText="1"/>
    </xf>
    <xf numFmtId="4" fontId="17" fillId="15" borderId="1" xfId="1" applyNumberFormat="1" applyFont="1" applyFill="1" applyBorder="1" applyAlignment="1">
      <alignment horizontal="center" vertical="center" wrapText="1"/>
    </xf>
    <xf numFmtId="4" fontId="17" fillId="15" borderId="1" xfId="1" applyNumberFormat="1" applyFont="1" applyFill="1" applyBorder="1" applyAlignment="1">
      <alignment horizontal="center" vertical="top" wrapText="1"/>
    </xf>
    <xf numFmtId="9" fontId="28" fillId="16" borderId="1" xfId="2" applyFont="1" applyFill="1" applyBorder="1" applyAlignment="1">
      <alignment horizontal="center"/>
    </xf>
    <xf numFmtId="4" fontId="28" fillId="16" borderId="1" xfId="0" applyNumberFormat="1" applyFont="1" applyFill="1" applyBorder="1" applyAlignment="1">
      <alignment horizontal="center"/>
    </xf>
    <xf numFmtId="10" fontId="31" fillId="0" borderId="0" xfId="2" applyNumberFormat="1" applyFont="1" applyBorder="1"/>
    <xf numFmtId="10" fontId="32" fillId="0" borderId="0" xfId="2" applyNumberFormat="1" applyFont="1" applyBorder="1"/>
    <xf numFmtId="10" fontId="15" fillId="15" borderId="1" xfId="2" applyNumberFormat="1" applyFont="1" applyFill="1" applyBorder="1" applyAlignment="1">
      <alignment horizontal="center" vertical="top" wrapText="1"/>
    </xf>
    <xf numFmtId="166" fontId="15" fillId="15" borderId="1" xfId="2" applyNumberFormat="1" applyFont="1" applyFill="1" applyBorder="1" applyAlignment="1">
      <alignment horizontal="center" vertical="top" wrapText="1"/>
    </xf>
    <xf numFmtId="10" fontId="15" fillId="15" borderId="1" xfId="1" applyNumberFormat="1" applyFont="1" applyFill="1" applyBorder="1" applyAlignment="1">
      <alignment horizontal="center" vertical="top" wrapText="1"/>
    </xf>
    <xf numFmtId="10" fontId="28" fillId="16" borderId="1" xfId="2" applyNumberFormat="1" applyFont="1" applyFill="1" applyBorder="1" applyAlignment="1">
      <alignment horizontal="center" vertical="top" wrapText="1"/>
    </xf>
    <xf numFmtId="166" fontId="28" fillId="16" borderId="1" xfId="2" applyNumberFormat="1" applyFont="1" applyFill="1" applyBorder="1" applyAlignment="1">
      <alignment horizontal="center" vertical="top" wrapText="1"/>
    </xf>
    <xf numFmtId="166" fontId="17" fillId="16" borderId="1" xfId="2" applyNumberFormat="1" applyFont="1" applyFill="1" applyBorder="1" applyAlignment="1">
      <alignment horizontal="center" vertical="top" wrapText="1"/>
    </xf>
    <xf numFmtId="43" fontId="5" fillId="4" borderId="1" xfId="0" quotePrefix="1" applyNumberFormat="1" applyFont="1" applyFill="1" applyBorder="1" applyAlignment="1">
      <alignment horizontal="center"/>
    </xf>
    <xf numFmtId="0" fontId="40" fillId="0" borderId="0" xfId="0" applyFont="1"/>
    <xf numFmtId="0" fontId="29" fillId="6" borderId="1" xfId="0" applyFont="1" applyFill="1" applyBorder="1" applyAlignment="1">
      <alignment horizontal="left" vertical="center"/>
    </xf>
    <xf numFmtId="4" fontId="21" fillId="0" borderId="0" xfId="0" applyNumberFormat="1" applyFont="1"/>
    <xf numFmtId="0" fontId="17" fillId="15" borderId="1" xfId="0" applyFont="1" applyFill="1" applyBorder="1" applyAlignment="1">
      <alignment horizontal="right"/>
    </xf>
    <xf numFmtId="0" fontId="14" fillId="15" borderId="1" xfId="0" applyFont="1" applyFill="1" applyBorder="1" applyAlignment="1">
      <alignment horizontal="right"/>
    </xf>
    <xf numFmtId="43" fontId="10" fillId="0" borderId="0" xfId="0" applyNumberFormat="1" applyFont="1"/>
    <xf numFmtId="164" fontId="17" fillId="2" borderId="1" xfId="1" applyFont="1" applyFill="1" applyBorder="1" applyAlignment="1">
      <alignment horizontal="right"/>
    </xf>
    <xf numFmtId="0" fontId="17" fillId="2" borderId="1" xfId="0" applyFont="1" applyFill="1" applyBorder="1" applyAlignment="1">
      <alignment horizontal="center" wrapText="1"/>
    </xf>
    <xf numFmtId="0" fontId="8" fillId="0" borderId="1" xfId="0" applyFont="1" applyBorder="1"/>
    <xf numFmtId="4" fontId="7" fillId="2" borderId="0" xfId="0" applyNumberFormat="1" applyFont="1" applyFill="1" applyAlignment="1">
      <alignment horizontal="right"/>
    </xf>
    <xf numFmtId="167" fontId="41" fillId="0" borderId="0" xfId="1" applyNumberFormat="1" applyFont="1"/>
    <xf numFmtId="0" fontId="11" fillId="0" borderId="0" xfId="0" applyFont="1" applyAlignment="1">
      <alignment horizontal="right"/>
    </xf>
    <xf numFmtId="164" fontId="43" fillId="2" borderId="0" xfId="1" applyFont="1" applyFill="1" applyBorder="1" applyAlignment="1">
      <alignment horizontal="right" vertical="top" wrapText="1"/>
    </xf>
    <xf numFmtId="0" fontId="42" fillId="0" borderId="0" xfId="0" applyFont="1" applyAlignment="1">
      <alignment horizontal="right"/>
    </xf>
    <xf numFmtId="4" fontId="43" fillId="2" borderId="0" xfId="0" applyNumberFormat="1" applyFont="1" applyFill="1"/>
    <xf numFmtId="0" fontId="44" fillId="0" borderId="0" xfId="0" applyFont="1"/>
    <xf numFmtId="16" fontId="45" fillId="2" borderId="0" xfId="0" applyNumberFormat="1" applyFont="1" applyFill="1"/>
    <xf numFmtId="164" fontId="46" fillId="0" borderId="0" xfId="1" applyFont="1"/>
    <xf numFmtId="43" fontId="46" fillId="0" borderId="0" xfId="0" applyNumberFormat="1" applyFont="1"/>
    <xf numFmtId="4" fontId="46" fillId="0" borderId="0" xfId="0" applyNumberFormat="1" applyFont="1"/>
    <xf numFmtId="0" fontId="47" fillId="0" borderId="0" xfId="0" applyFont="1" applyBorder="1" applyAlignment="1">
      <alignment horizontal="right"/>
    </xf>
    <xf numFmtId="16" fontId="42" fillId="2" borderId="0" xfId="0" applyNumberFormat="1" applyFont="1" applyFill="1" applyBorder="1"/>
    <xf numFmtId="0" fontId="42" fillId="0" borderId="0" xfId="0" applyFont="1" applyBorder="1" applyAlignment="1">
      <alignment horizontal="right"/>
    </xf>
    <xf numFmtId="4" fontId="43" fillId="2" borderId="0" xfId="0" applyNumberFormat="1" applyFont="1" applyFill="1" applyBorder="1"/>
    <xf numFmtId="4" fontId="43" fillId="2" borderId="0" xfId="0" applyNumberFormat="1" applyFont="1" applyFill="1" applyBorder="1" applyAlignment="1">
      <alignment horizontal="right"/>
    </xf>
    <xf numFmtId="0" fontId="12" fillId="0" borderId="0" xfId="0" applyFont="1" applyBorder="1"/>
    <xf numFmtId="164" fontId="12" fillId="0" borderId="0" xfId="1" applyFont="1" applyBorder="1"/>
    <xf numFmtId="0" fontId="48" fillId="0" borderId="0" xfId="0" applyFont="1" applyBorder="1" applyAlignment="1">
      <alignment horizontal="right"/>
    </xf>
    <xf numFmtId="16" fontId="48" fillId="2" borderId="0" xfId="0" applyNumberFormat="1" applyFont="1" applyFill="1" applyBorder="1" applyAlignment="1">
      <alignment horizontal="center" wrapText="1"/>
    </xf>
    <xf numFmtId="0" fontId="49" fillId="0" borderId="0" xfId="0" applyFont="1" applyBorder="1"/>
    <xf numFmtId="0" fontId="48" fillId="0" borderId="0" xfId="0" applyFont="1" applyBorder="1" applyAlignment="1">
      <alignment horizontal="right" wrapText="1"/>
    </xf>
    <xf numFmtId="4" fontId="50" fillId="2" borderId="0" xfId="0" applyNumberFormat="1" applyFont="1" applyFill="1" applyBorder="1"/>
    <xf numFmtId="4" fontId="50" fillId="2" borderId="0" xfId="0" applyNumberFormat="1" applyFont="1" applyFill="1" applyBorder="1" applyAlignment="1">
      <alignment horizontal="right"/>
    </xf>
    <xf numFmtId="164" fontId="50" fillId="2" borderId="0" xfId="1" applyFont="1" applyFill="1" applyBorder="1" applyAlignment="1">
      <alignment horizontal="right" vertical="top" wrapText="1"/>
    </xf>
    <xf numFmtId="0" fontId="51" fillId="0" borderId="0" xfId="0" applyFont="1" applyBorder="1" applyAlignment="1">
      <alignment horizontal="right" wrapText="1"/>
    </xf>
    <xf numFmtId="164" fontId="41" fillId="0" borderId="0" xfId="1" applyFont="1" applyBorder="1"/>
    <xf numFmtId="4" fontId="41" fillId="2" borderId="0" xfId="0" applyNumberFormat="1" applyFont="1" applyFill="1" applyBorder="1"/>
    <xf numFmtId="0" fontId="51" fillId="0" borderId="0" xfId="0" applyFont="1" applyBorder="1" applyAlignment="1">
      <alignment horizontal="right"/>
    </xf>
    <xf numFmtId="4" fontId="41" fillId="2" borderId="0" xfId="0" applyNumberFormat="1" applyFont="1" applyFill="1" applyBorder="1" applyAlignment="1">
      <alignment horizontal="right"/>
    </xf>
    <xf numFmtId="164" fontId="41" fillId="2" borderId="0" xfId="1" applyFont="1" applyFill="1" applyBorder="1" applyAlignment="1">
      <alignment horizontal="right" vertical="top" wrapText="1"/>
    </xf>
    <xf numFmtId="0" fontId="8" fillId="7" borderId="1" xfId="0" applyFont="1" applyFill="1" applyBorder="1"/>
    <xf numFmtId="0" fontId="13" fillId="8" borderId="1" xfId="0" applyFont="1" applyFill="1" applyBorder="1"/>
    <xf numFmtId="0" fontId="53" fillId="8" borderId="1" xfId="0" applyFont="1" applyFill="1" applyBorder="1"/>
    <xf numFmtId="0" fontId="21" fillId="0" borderId="0" xfId="0" applyFont="1"/>
    <xf numFmtId="0" fontId="17" fillId="0" borderId="1" xfId="0" applyFont="1" applyBorder="1"/>
    <xf numFmtId="10" fontId="17" fillId="3" borderId="1" xfId="1" applyNumberFormat="1" applyFont="1" applyFill="1" applyBorder="1" applyAlignment="1">
      <alignment horizontal="center" vertical="top" wrapText="1"/>
    </xf>
    <xf numFmtId="4" fontId="43" fillId="2" borderId="0" xfId="0" applyNumberFormat="1" applyFont="1" applyFill="1" applyAlignment="1">
      <alignment horizontal="right"/>
    </xf>
    <xf numFmtId="0" fontId="17" fillId="0" borderId="1" xfId="0" applyFont="1" applyBorder="1" applyAlignment="1">
      <alignment horizontal="center"/>
    </xf>
    <xf numFmtId="4" fontId="17" fillId="2" borderId="1" xfId="0" applyNumberFormat="1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/>
    </xf>
    <xf numFmtId="49" fontId="17" fillId="2" borderId="1" xfId="0" applyNumberFormat="1" applyFont="1" applyFill="1" applyBorder="1" applyAlignment="1">
      <alignment wrapText="1"/>
    </xf>
    <xf numFmtId="0" fontId="17" fillId="2" borderId="1" xfId="0" applyFont="1" applyFill="1" applyBorder="1" applyAlignment="1">
      <alignment horizontal="center" vertical="center"/>
    </xf>
    <xf numFmtId="4" fontId="17" fillId="0" borderId="1" xfId="0" applyNumberFormat="1" applyFont="1" applyBorder="1" applyAlignment="1">
      <alignment wrapText="1"/>
    </xf>
    <xf numFmtId="0" fontId="9" fillId="9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0" fontId="24" fillId="14" borderId="1" xfId="0" applyFont="1" applyFill="1" applyBorder="1" applyAlignment="1">
      <alignment horizontal="center" wrapText="1"/>
    </xf>
    <xf numFmtId="0" fontId="24" fillId="9" borderId="1" xfId="0" applyFont="1" applyFill="1" applyBorder="1" applyAlignment="1">
      <alignment horizontal="center"/>
    </xf>
    <xf numFmtId="0" fontId="20" fillId="13" borderId="1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top" wrapText="1"/>
    </xf>
    <xf numFmtId="0" fontId="52" fillId="6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vertical="top" wrapText="1"/>
    </xf>
    <xf numFmtId="0" fontId="28" fillId="2" borderId="0" xfId="0" applyFont="1" applyFill="1" applyAlignment="1">
      <alignment horizontal="center" wrapText="1"/>
    </xf>
  </cellXfs>
  <cellStyles count="42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7" xfId="37"/>
    <cellStyle name="Comma 8" xfId="19"/>
    <cellStyle name="Comma 9" xfId="40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4" xfId="36"/>
    <cellStyle name="Normal 5" xfId="39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3" xfId="38"/>
    <cellStyle name="Percent 4" xfId="41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August 29,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68.528972082446614</c:v>
                </c:pt>
                <c:pt idx="1">
                  <c:v>3754.5716987220148</c:v>
                </c:pt>
                <c:pt idx="2">
                  <c:v>230.77844652529001</c:v>
                </c:pt>
                <c:pt idx="3">
                  <c:v>1993.2558430402494</c:v>
                </c:pt>
                <c:pt idx="4">
                  <c:v>363.35921800173003</c:v>
                </c:pt>
                <c:pt idx="5" formatCode="_-* #,##0.00_-;\-* #,##0.00_-;_-* &quot;-&quot;??_-;_-@_-">
                  <c:v>75.60027828682874</c:v>
                </c:pt>
                <c:pt idx="6">
                  <c:v>8.1990665477500002</c:v>
                </c:pt>
                <c:pt idx="7">
                  <c:v>66.65721288332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September 4,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67.808284732281905</c:v>
                </c:pt>
                <c:pt idx="1">
                  <c:v>3787.5797562952603</c:v>
                </c:pt>
                <c:pt idx="2">
                  <c:v>190.62329642820998</c:v>
                </c:pt>
                <c:pt idx="3">
                  <c:v>1984.0052773109985</c:v>
                </c:pt>
                <c:pt idx="4">
                  <c:v>364.05462403551996</c:v>
                </c:pt>
                <c:pt idx="5" formatCode="_-* #,##0.00_-;\-* #,##0.00_-;_-* &quot;-&quot;??_-;_-@_-">
                  <c:v>75.412808907360187</c:v>
                </c:pt>
                <c:pt idx="6">
                  <c:v>8.0216381293700003</c:v>
                </c:pt>
                <c:pt idx="7">
                  <c:v>65.348690718929987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7534752"/>
        <c:axId val="247538672"/>
      </c:barChart>
      <c:catAx>
        <c:axId val="24753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538672"/>
        <c:crosses val="autoZero"/>
        <c:auto val="1"/>
        <c:lblAlgn val="ctr"/>
        <c:lblOffset val="100"/>
        <c:noMultiLvlLbl val="0"/>
      </c:catAx>
      <c:valAx>
        <c:axId val="24753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53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4TH SEPTEMBER,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4175604054306885"/>
          <c:y val="1.653327529846503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4-Sep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1860977719486063"/>
                  <c:y val="-0.134291330027987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2.4747124087697164E-2"/>
                  <c:y val="0.118168034175886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8021638129.3699999</c:v>
                </c:pt>
                <c:pt idx="1">
                  <c:v>67808284732.281898</c:v>
                </c:pt>
                <c:pt idx="2" formatCode="_-* #,##0.00_-;\-* #,##0.00_-;_-* &quot;-&quot;??_-;_-@_-">
                  <c:v>65348690718.929993</c:v>
                </c:pt>
                <c:pt idx="3">
                  <c:v>75412808907.360184</c:v>
                </c:pt>
                <c:pt idx="4">
                  <c:v>364054624035.51996</c:v>
                </c:pt>
                <c:pt idx="5">
                  <c:v>190623296428.20999</c:v>
                </c:pt>
                <c:pt idx="6">
                  <c:v>1984005277310.9985</c:v>
                </c:pt>
                <c:pt idx="7">
                  <c:v>3787579756295.2603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45856</c:v>
                </c:pt>
                <c:pt idx="1">
                  <c:v>45863</c:v>
                </c:pt>
                <c:pt idx="2">
                  <c:v>45870</c:v>
                </c:pt>
                <c:pt idx="3">
                  <c:v>45877</c:v>
                </c:pt>
                <c:pt idx="4">
                  <c:v>45884</c:v>
                </c:pt>
                <c:pt idx="5">
                  <c:v>45891</c:v>
                </c:pt>
                <c:pt idx="6">
                  <c:v>45898</c:v>
                </c:pt>
                <c:pt idx="7">
                  <c:v>45904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6080.0352810801669</c:v>
                </c:pt>
                <c:pt idx="1">
                  <c:v>6160.1611789888411</c:v>
                </c:pt>
                <c:pt idx="2">
                  <c:v>6280.3086656737469</c:v>
                </c:pt>
                <c:pt idx="3">
                  <c:v>6385.4792470095699</c:v>
                </c:pt>
                <c:pt idx="4">
                  <c:v>6450.9481367566641</c:v>
                </c:pt>
                <c:pt idx="5">
                  <c:v>6503.8359094696516</c:v>
                </c:pt>
                <c:pt idx="6">
                  <c:v>6560.9507360896305</c:v>
                </c:pt>
                <c:pt idx="7">
                  <c:v>6542.8543765579298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7535928"/>
        <c:axId val="247537104"/>
      </c:lineChart>
      <c:dateAx>
        <c:axId val="2475359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537104"/>
        <c:crosses val="autoZero"/>
        <c:auto val="1"/>
        <c:lblOffset val="100"/>
        <c:baseTimeUnit val="days"/>
      </c:dateAx>
      <c:valAx>
        <c:axId val="247537104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535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45856</c:v>
                </c:pt>
                <c:pt idx="1">
                  <c:v>45863</c:v>
                </c:pt>
                <c:pt idx="2">
                  <c:v>45870</c:v>
                </c:pt>
                <c:pt idx="3">
                  <c:v>45877</c:v>
                </c:pt>
                <c:pt idx="4">
                  <c:v>45884</c:v>
                </c:pt>
                <c:pt idx="5">
                  <c:v>45891</c:v>
                </c:pt>
                <c:pt idx="6">
                  <c:v>45898</c:v>
                </c:pt>
                <c:pt idx="7">
                  <c:v>45904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16.012018416058002</c:v>
                </c:pt>
                <c:pt idx="1">
                  <c:v>16.301542614265998</c:v>
                </c:pt>
                <c:pt idx="2">
                  <c:v>17.113558632019</c:v>
                </c:pt>
                <c:pt idx="3">
                  <c:v>17.395938297309996</c:v>
                </c:pt>
                <c:pt idx="4">
                  <c:v>17.188495940759999</c:v>
                </c:pt>
                <c:pt idx="5">
                  <c:v>16.805945304309997</c:v>
                </c:pt>
                <c:pt idx="6">
                  <c:v>16.769372316030001</c:v>
                </c:pt>
                <c:pt idx="7">
                  <c:v>16.688373226208999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47536712"/>
        <c:axId val="247541024"/>
      </c:lineChart>
      <c:dateAx>
        <c:axId val="24753671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541024"/>
        <c:crosses val="autoZero"/>
        <c:auto val="1"/>
        <c:lblOffset val="100"/>
        <c:baseTimeUnit val="days"/>
      </c:dateAx>
      <c:valAx>
        <c:axId val="24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536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2"/>
  <sheetViews>
    <sheetView tabSelected="1" zoomScale="120" zoomScaleNormal="120" zoomScaleSheetLayoutView="10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4" width="10.109375" customWidth="1"/>
    <col min="15" max="15" width="9.8867187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7" t="s">
        <v>325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</row>
    <row r="2" spans="1:25" ht="14.4" customHeight="1">
      <c r="A2" s="162"/>
      <c r="B2" s="163"/>
      <c r="C2" s="164"/>
      <c r="D2" s="188" t="s">
        <v>323</v>
      </c>
      <c r="E2" s="188"/>
      <c r="F2" s="188"/>
      <c r="G2" s="188"/>
      <c r="H2" s="188"/>
      <c r="I2" s="188"/>
      <c r="J2" s="188"/>
      <c r="K2" s="188" t="s">
        <v>326</v>
      </c>
      <c r="L2" s="188"/>
      <c r="M2" s="188"/>
      <c r="N2" s="188"/>
      <c r="O2" s="188"/>
      <c r="P2" s="188"/>
      <c r="Q2" s="188"/>
      <c r="R2" s="188" t="s">
        <v>316</v>
      </c>
      <c r="S2" s="188"/>
      <c r="T2" s="188"/>
      <c r="U2" s="188" t="s">
        <v>317</v>
      </c>
      <c r="V2" s="188"/>
    </row>
    <row r="3" spans="1:25" ht="20.399999999999999">
      <c r="A3" s="21" t="s">
        <v>0</v>
      </c>
      <c r="B3" s="22" t="s">
        <v>1</v>
      </c>
      <c r="C3" s="23" t="s">
        <v>2</v>
      </c>
      <c r="D3" s="24" t="s">
        <v>3</v>
      </c>
      <c r="E3" s="25" t="s">
        <v>4</v>
      </c>
      <c r="F3" s="25" t="s">
        <v>282</v>
      </c>
      <c r="G3" s="25" t="s">
        <v>6</v>
      </c>
      <c r="H3" s="25" t="s">
        <v>7</v>
      </c>
      <c r="I3" s="25" t="s">
        <v>8</v>
      </c>
      <c r="J3" s="25" t="s">
        <v>9</v>
      </c>
      <c r="K3" s="46" t="s">
        <v>3</v>
      </c>
      <c r="L3" s="25" t="s">
        <v>4</v>
      </c>
      <c r="M3" s="25" t="s">
        <v>5</v>
      </c>
      <c r="N3" s="25" t="s">
        <v>6</v>
      </c>
      <c r="O3" s="25" t="s">
        <v>7</v>
      </c>
      <c r="P3" s="25" t="s">
        <v>8</v>
      </c>
      <c r="Q3" s="25" t="s">
        <v>9</v>
      </c>
      <c r="R3" s="24" t="s">
        <v>10</v>
      </c>
      <c r="S3" s="25" t="s">
        <v>11</v>
      </c>
      <c r="T3" s="25" t="s">
        <v>12</v>
      </c>
      <c r="U3" s="25" t="s">
        <v>13</v>
      </c>
      <c r="V3" s="25" t="s">
        <v>14</v>
      </c>
    </row>
    <row r="4" spans="1:25" ht="5.25" customHeight="1">
      <c r="A4" s="130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</row>
    <row r="5" spans="1:25" ht="15" customHeight="1">
      <c r="A5" s="185" t="s">
        <v>15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</row>
    <row r="6" spans="1:25">
      <c r="A6" s="173">
        <v>1</v>
      </c>
      <c r="B6" s="170" t="s">
        <v>16</v>
      </c>
      <c r="C6" s="171" t="s">
        <v>17</v>
      </c>
      <c r="D6" s="30">
        <v>3475937687.8400002</v>
      </c>
      <c r="E6" s="27">
        <f t="shared" ref="E6:E22" si="0">(D6/$D$25)</f>
        <v>5.0722162936547917E-2</v>
      </c>
      <c r="F6" s="30">
        <v>576.55430000000001</v>
      </c>
      <c r="G6" s="30">
        <v>579.09500000000003</v>
      </c>
      <c r="H6" s="29">
        <v>1693</v>
      </c>
      <c r="I6" s="47">
        <v>-6.4999999999999997E-3</v>
      </c>
      <c r="J6" s="47">
        <v>0.45040000000000002</v>
      </c>
      <c r="K6" s="30">
        <v>3397457326.8299999</v>
      </c>
      <c r="L6" s="27">
        <f t="shared" ref="L6:L22" si="1">(K6/$K$25)</f>
        <v>5.0103867694688227E-2</v>
      </c>
      <c r="M6" s="30">
        <v>565.59280000000001</v>
      </c>
      <c r="N6" s="30">
        <v>568.37090000000001</v>
      </c>
      <c r="O6" s="29">
        <v>1696</v>
      </c>
      <c r="P6" s="47">
        <v>-1.9E-2</v>
      </c>
      <c r="Q6" s="47">
        <v>0.42280000000000001</v>
      </c>
      <c r="R6" s="53">
        <f>((K6-D6)/D6)</f>
        <v>-2.2578184092468326E-2</v>
      </c>
      <c r="S6" s="53">
        <f>((N6-G6)/G6)</f>
        <v>-1.8518723180134557E-2</v>
      </c>
      <c r="T6" s="53">
        <f>((O6-H6)/H6)</f>
        <v>1.7720023626698169E-3</v>
      </c>
      <c r="U6" s="54">
        <f>P6-I6</f>
        <v>-1.2500000000000001E-2</v>
      </c>
      <c r="V6" s="55">
        <f>Q6-J6</f>
        <v>-2.7600000000000013E-2</v>
      </c>
    </row>
    <row r="7" spans="1:25">
      <c r="A7" s="173">
        <v>2</v>
      </c>
      <c r="B7" s="170" t="s">
        <v>18</v>
      </c>
      <c r="C7" s="171" t="s">
        <v>19</v>
      </c>
      <c r="D7" s="30">
        <v>946081263.44000006</v>
      </c>
      <c r="E7" s="27">
        <f t="shared" si="0"/>
        <v>1.3805566239951446E-2</v>
      </c>
      <c r="F7" s="30">
        <v>389.81389999999999</v>
      </c>
      <c r="G7" s="30">
        <v>395.32330000000002</v>
      </c>
      <c r="H7" s="29">
        <v>571</v>
      </c>
      <c r="I7" s="47">
        <v>-3.5309999999999999E-3</v>
      </c>
      <c r="J7" s="47">
        <v>0.51380000000000003</v>
      </c>
      <c r="K7" s="30">
        <v>923407451.74000001</v>
      </c>
      <c r="L7" s="27">
        <f t="shared" si="1"/>
        <v>1.3617914910925153E-2</v>
      </c>
      <c r="M7" s="30">
        <v>381.21859999999998</v>
      </c>
      <c r="N7" s="30">
        <v>386.60759999999999</v>
      </c>
      <c r="O7" s="29">
        <v>575</v>
      </c>
      <c r="P7" s="47">
        <v>5.3E-3</v>
      </c>
      <c r="Q7" s="47">
        <v>0.48039999999999999</v>
      </c>
      <c r="R7" s="53">
        <f t="shared" ref="R7:R25" si="2">((K7-D7)/D7)</f>
        <v>-2.3966029744164792E-2</v>
      </c>
      <c r="S7" s="53">
        <f t="shared" ref="S7:S25" si="3">((N7-G7)/G7)</f>
        <v>-2.204701822533614E-2</v>
      </c>
      <c r="T7" s="53">
        <f t="shared" ref="T7:T25" si="4">((O7-H7)/H7)</f>
        <v>7.0052539404553416E-3</v>
      </c>
      <c r="U7" s="54">
        <f t="shared" ref="U7:U25" si="5">P7-I7</f>
        <v>8.8310000000000003E-3</v>
      </c>
      <c r="V7" s="55">
        <f t="shared" ref="V7:V25" si="6">Q7-J7</f>
        <v>-3.3400000000000041E-2</v>
      </c>
    </row>
    <row r="8" spans="1:25">
      <c r="A8" s="173">
        <v>3</v>
      </c>
      <c r="B8" s="170" t="s">
        <v>20</v>
      </c>
      <c r="C8" s="171" t="s">
        <v>21</v>
      </c>
      <c r="D8" s="30">
        <v>5968723713.7299995</v>
      </c>
      <c r="E8" s="27">
        <f t="shared" si="0"/>
        <v>8.7097814724976172E-2</v>
      </c>
      <c r="F8" s="30">
        <v>47.347900000000003</v>
      </c>
      <c r="G8" s="165">
        <v>48.775399999999998</v>
      </c>
      <c r="H8" s="31">
        <v>7316</v>
      </c>
      <c r="I8" s="48">
        <v>-0.15329999999999999</v>
      </c>
      <c r="J8" s="48">
        <v>0.50800000000000001</v>
      </c>
      <c r="K8" s="30">
        <v>5940776585.1599998</v>
      </c>
      <c r="L8" s="27">
        <f t="shared" si="1"/>
        <v>8.761136797096622E-2</v>
      </c>
      <c r="M8" s="30">
        <v>47.099600000000002</v>
      </c>
      <c r="N8" s="165">
        <v>48.52</v>
      </c>
      <c r="O8" s="31">
        <v>7341</v>
      </c>
      <c r="P8" s="48">
        <v>-0.27339999999999998</v>
      </c>
      <c r="Q8" s="48">
        <v>0.4834</v>
      </c>
      <c r="R8" s="53">
        <f t="shared" si="2"/>
        <v>-4.6822620564111956E-3</v>
      </c>
      <c r="S8" s="53">
        <f t="shared" si="3"/>
        <v>-5.2362461404723394E-3</v>
      </c>
      <c r="T8" s="53">
        <f t="shared" si="4"/>
        <v>3.4171678512848551E-3</v>
      </c>
      <c r="U8" s="54">
        <f t="shared" si="5"/>
        <v>-0.12009999999999998</v>
      </c>
      <c r="V8" s="55">
        <f t="shared" si="6"/>
        <v>-2.4600000000000011E-2</v>
      </c>
      <c r="X8" s="56"/>
      <c r="Y8" s="56"/>
    </row>
    <row r="9" spans="1:25">
      <c r="A9" s="173">
        <v>4</v>
      </c>
      <c r="B9" s="170" t="s">
        <v>22</v>
      </c>
      <c r="C9" s="171" t="s">
        <v>23</v>
      </c>
      <c r="D9" s="30">
        <v>1111319997.1199999</v>
      </c>
      <c r="E9" s="27">
        <f t="shared" si="0"/>
        <v>1.621679069960338E-2</v>
      </c>
      <c r="F9" s="30">
        <v>246.85489999999999</v>
      </c>
      <c r="G9" s="30">
        <v>246.85489999999999</v>
      </c>
      <c r="H9" s="29">
        <v>2145</v>
      </c>
      <c r="I9" s="47">
        <v>-6.7999999999999996E-3</v>
      </c>
      <c r="J9" s="47">
        <v>0.28170000000000001</v>
      </c>
      <c r="K9" s="30">
        <v>1049429764.33</v>
      </c>
      <c r="L9" s="27">
        <f t="shared" si="1"/>
        <v>1.5476423986734348E-2</v>
      </c>
      <c r="M9" s="30">
        <v>244.3073</v>
      </c>
      <c r="N9" s="30">
        <v>244.3073</v>
      </c>
      <c r="O9" s="29">
        <v>2166</v>
      </c>
      <c r="P9" s="47">
        <v>-1.03E-2</v>
      </c>
      <c r="Q9" s="47">
        <v>0.27010000000000001</v>
      </c>
      <c r="R9" s="53">
        <f t="shared" si="2"/>
        <v>-5.5690739796268561E-2</v>
      </c>
      <c r="S9" s="53">
        <f t="shared" si="3"/>
        <v>-1.0320232654891553E-2</v>
      </c>
      <c r="T9" s="53">
        <f t="shared" si="4"/>
        <v>9.7902097902097911E-3</v>
      </c>
      <c r="U9" s="54">
        <f t="shared" si="5"/>
        <v>-3.5000000000000005E-3</v>
      </c>
      <c r="V9" s="55">
        <f t="shared" si="6"/>
        <v>-1.1599999999999999E-2</v>
      </c>
    </row>
    <row r="10" spans="1:25">
      <c r="A10" s="173">
        <v>5</v>
      </c>
      <c r="B10" s="170" t="s">
        <v>24</v>
      </c>
      <c r="C10" s="171" t="s">
        <v>25</v>
      </c>
      <c r="D10" s="30">
        <v>1679952221.8099999</v>
      </c>
      <c r="E10" s="27">
        <f t="shared" si="0"/>
        <v>2.4514481550793787E-2</v>
      </c>
      <c r="F10" s="30">
        <v>1.5809</v>
      </c>
      <c r="G10" s="30">
        <v>1.5996999999999999</v>
      </c>
      <c r="H10" s="29">
        <v>717</v>
      </c>
      <c r="I10" s="47">
        <v>-4.8999999999999998E-3</v>
      </c>
      <c r="J10" s="47">
        <v>0.34229999999999999</v>
      </c>
      <c r="K10" s="30">
        <v>1666102610.8699999</v>
      </c>
      <c r="L10" s="27">
        <f t="shared" si="1"/>
        <v>2.4570782426484361E-2</v>
      </c>
      <c r="M10" s="30">
        <v>1.5550999999999999</v>
      </c>
      <c r="N10" s="30">
        <v>1.5732999999999999</v>
      </c>
      <c r="O10" s="29">
        <v>734</v>
      </c>
      <c r="P10" s="47">
        <v>-1.6400000000000001E-2</v>
      </c>
      <c r="Q10" s="47">
        <v>0.32140000000000002</v>
      </c>
      <c r="R10" s="53">
        <f t="shared" si="2"/>
        <v>-8.2440504915540554E-3</v>
      </c>
      <c r="S10" s="53">
        <f t="shared" si="3"/>
        <v>-1.6503094330186898E-2</v>
      </c>
      <c r="T10" s="53">
        <f t="shared" si="4"/>
        <v>2.3709902370990237E-2</v>
      </c>
      <c r="U10" s="54">
        <f t="shared" si="5"/>
        <v>-1.1500000000000002E-2</v>
      </c>
      <c r="V10" s="55">
        <f t="shared" si="6"/>
        <v>-2.0899999999999974E-2</v>
      </c>
    </row>
    <row r="11" spans="1:25">
      <c r="A11" s="173">
        <v>6</v>
      </c>
      <c r="B11" s="170" t="s">
        <v>26</v>
      </c>
      <c r="C11" s="171" t="s">
        <v>27</v>
      </c>
      <c r="D11" s="32">
        <v>198320064.28</v>
      </c>
      <c r="E11" s="27">
        <f t="shared" si="0"/>
        <v>2.8939594196948242E-3</v>
      </c>
      <c r="F11" s="30">
        <v>200.94839999999999</v>
      </c>
      <c r="G11" s="30">
        <v>202.2921</v>
      </c>
      <c r="H11" s="31">
        <v>90</v>
      </c>
      <c r="I11" s="48">
        <v>-4.1999999999999998E-5</v>
      </c>
      <c r="J11" s="48">
        <v>0.1958</v>
      </c>
      <c r="K11" s="32">
        <v>198495206.84999999</v>
      </c>
      <c r="L11" s="27">
        <f t="shared" si="1"/>
        <v>2.9273002205215965E-3</v>
      </c>
      <c r="M11" s="30">
        <v>200.77019999999999</v>
      </c>
      <c r="N11" s="30">
        <v>202.1019</v>
      </c>
      <c r="O11" s="31">
        <v>94</v>
      </c>
      <c r="P11" s="48">
        <v>2.5900000000000001E-4</v>
      </c>
      <c r="Q11" s="48">
        <v>0.19980000000000001</v>
      </c>
      <c r="R11" s="53">
        <f t="shared" si="2"/>
        <v>8.8313086543132728E-4</v>
      </c>
      <c r="S11" s="53">
        <f t="shared" si="3"/>
        <v>-9.4022455647059056E-4</v>
      </c>
      <c r="T11" s="53">
        <f t="shared" si="4"/>
        <v>4.4444444444444446E-2</v>
      </c>
      <c r="U11" s="54">
        <f t="shared" si="5"/>
        <v>3.01E-4</v>
      </c>
      <c r="V11" s="55">
        <f t="shared" si="6"/>
        <v>4.0000000000000036E-3</v>
      </c>
    </row>
    <row r="12" spans="1:25">
      <c r="A12" s="173">
        <v>7</v>
      </c>
      <c r="B12" s="170" t="s">
        <v>28</v>
      </c>
      <c r="C12" s="171" t="s">
        <v>29</v>
      </c>
      <c r="D12" s="30">
        <v>2600214846.7399998</v>
      </c>
      <c r="E12" s="27">
        <f t="shared" si="0"/>
        <v>3.7943292708545281E-2</v>
      </c>
      <c r="F12" s="30">
        <v>490.3</v>
      </c>
      <c r="G12" s="30">
        <v>497.15</v>
      </c>
      <c r="H12" s="31">
        <v>1770</v>
      </c>
      <c r="I12" s="48">
        <v>-3.3E-3</v>
      </c>
      <c r="J12" s="48">
        <v>0.5141</v>
      </c>
      <c r="K12" s="30">
        <v>2581337317.4400001</v>
      </c>
      <c r="L12" s="27">
        <f t="shared" si="1"/>
        <v>3.8068170100918175E-2</v>
      </c>
      <c r="M12" s="30">
        <v>485.69</v>
      </c>
      <c r="N12" s="30">
        <v>492.45</v>
      </c>
      <c r="O12" s="31">
        <v>1782</v>
      </c>
      <c r="P12" s="48">
        <v>-9.4000000000000004E-3</v>
      </c>
      <c r="Q12" s="48">
        <v>0.49990000000000001</v>
      </c>
      <c r="R12" s="53">
        <f t="shared" si="2"/>
        <v>-7.2599882750716835E-3</v>
      </c>
      <c r="S12" s="53">
        <f t="shared" si="3"/>
        <v>-9.4538871567937024E-3</v>
      </c>
      <c r="T12" s="53">
        <f t="shared" si="4"/>
        <v>6.7796610169491523E-3</v>
      </c>
      <c r="U12" s="54">
        <f t="shared" si="5"/>
        <v>-6.1000000000000004E-3</v>
      </c>
      <c r="V12" s="55">
        <f t="shared" si="6"/>
        <v>-1.419999999999999E-2</v>
      </c>
    </row>
    <row r="13" spans="1:25">
      <c r="A13" s="173">
        <v>8</v>
      </c>
      <c r="B13" s="170" t="s">
        <v>30</v>
      </c>
      <c r="C13" s="171" t="s">
        <v>31</v>
      </c>
      <c r="D13" s="26">
        <v>495660189.24000001</v>
      </c>
      <c r="E13" s="27">
        <f t="shared" si="0"/>
        <v>7.2328560341409403E-3</v>
      </c>
      <c r="F13" s="30">
        <v>247.01</v>
      </c>
      <c r="G13" s="30">
        <v>259.14999999999998</v>
      </c>
      <c r="H13" s="29">
        <v>2469</v>
      </c>
      <c r="I13" s="47">
        <v>-1.46E-2</v>
      </c>
      <c r="J13" s="47">
        <v>0.17630000000000001</v>
      </c>
      <c r="K13" s="26">
        <v>484538688.06</v>
      </c>
      <c r="L13" s="27">
        <f t="shared" si="1"/>
        <v>7.145715158155634E-3</v>
      </c>
      <c r="M13" s="30">
        <v>241.47</v>
      </c>
      <c r="N13" s="30">
        <v>253.19</v>
      </c>
      <c r="O13" s="29">
        <v>2469</v>
      </c>
      <c r="P13" s="47">
        <v>-2.24E-2</v>
      </c>
      <c r="Q13" s="47">
        <v>0.14019999999999999</v>
      </c>
      <c r="R13" s="53">
        <f t="shared" si="2"/>
        <v>-2.2437753568735667E-2</v>
      </c>
      <c r="S13" s="53">
        <f t="shared" si="3"/>
        <v>-2.2998263553926222E-2</v>
      </c>
      <c r="T13" s="53">
        <f t="shared" si="4"/>
        <v>0</v>
      </c>
      <c r="U13" s="54">
        <f t="shared" si="5"/>
        <v>-7.7999999999999996E-3</v>
      </c>
      <c r="V13" s="55">
        <f t="shared" si="6"/>
        <v>-3.6100000000000021E-2</v>
      </c>
    </row>
    <row r="14" spans="1:25">
      <c r="A14" s="173">
        <v>9</v>
      </c>
      <c r="B14" s="170" t="s">
        <v>32</v>
      </c>
      <c r="C14" s="171" t="s">
        <v>33</v>
      </c>
      <c r="D14" s="32">
        <v>87052176.586600006</v>
      </c>
      <c r="E14" s="27">
        <f t="shared" si="0"/>
        <v>1.2702974222620514E-3</v>
      </c>
      <c r="F14" s="30">
        <v>315.05</v>
      </c>
      <c r="G14" s="30">
        <v>316.57</v>
      </c>
      <c r="H14" s="29">
        <v>18</v>
      </c>
      <c r="I14" s="47">
        <v>-5.0000000000000001E-4</v>
      </c>
      <c r="J14" s="47">
        <v>0.40570000000000001</v>
      </c>
      <c r="K14" s="32">
        <v>87036146.371900007</v>
      </c>
      <c r="L14" s="27">
        <f t="shared" si="1"/>
        <v>1.2835621298419924E-3</v>
      </c>
      <c r="M14" s="30">
        <v>315.10000000000002</v>
      </c>
      <c r="N14" s="30">
        <v>316.62</v>
      </c>
      <c r="O14" s="29">
        <v>18</v>
      </c>
      <c r="P14" s="47">
        <v>2.0000000000000001E-4</v>
      </c>
      <c r="Q14" s="47">
        <v>0.40589999999999998</v>
      </c>
      <c r="R14" s="53">
        <f t="shared" si="2"/>
        <v>-1.8414490399388863E-4</v>
      </c>
      <c r="S14" s="53">
        <f t="shared" si="3"/>
        <v>1.5794295100613251E-4</v>
      </c>
      <c r="T14" s="53">
        <f t="shared" si="4"/>
        <v>0</v>
      </c>
      <c r="U14" s="54">
        <f t="shared" si="5"/>
        <v>6.9999999999999999E-4</v>
      </c>
      <c r="V14" s="55">
        <f t="shared" si="6"/>
        <v>1.9999999999997797E-4</v>
      </c>
    </row>
    <row r="15" spans="1:25" ht="14.25" customHeight="1">
      <c r="A15" s="173">
        <v>10</v>
      </c>
      <c r="B15" s="170" t="s">
        <v>34</v>
      </c>
      <c r="C15" s="171" t="s">
        <v>35</v>
      </c>
      <c r="D15" s="26">
        <v>1867429469.05</v>
      </c>
      <c r="E15" s="27">
        <f t="shared" si="0"/>
        <v>2.7250218590807285E-2</v>
      </c>
      <c r="F15" s="30">
        <v>3.608635</v>
      </c>
      <c r="G15" s="30">
        <v>3.6396809999999999</v>
      </c>
      <c r="H15" s="29">
        <v>1074</v>
      </c>
      <c r="I15" s="47">
        <v>-6.8999999999999999E-3</v>
      </c>
      <c r="J15" s="47">
        <v>0.7228</v>
      </c>
      <c r="K15" s="26">
        <v>1851490729.47</v>
      </c>
      <c r="L15" s="27">
        <f t="shared" si="1"/>
        <v>2.7304786380897048E-2</v>
      </c>
      <c r="M15" s="30">
        <v>3.5931999999999999</v>
      </c>
      <c r="N15" s="30">
        <v>3.6259999999999999</v>
      </c>
      <c r="O15" s="29">
        <v>1175</v>
      </c>
      <c r="P15" s="47">
        <v>-4.3E-3</v>
      </c>
      <c r="Q15" s="47">
        <v>0.71540000000000004</v>
      </c>
      <c r="R15" s="53">
        <f t="shared" si="2"/>
        <v>-8.5351226614776999E-3</v>
      </c>
      <c r="S15" s="53">
        <f t="shared" si="3"/>
        <v>-3.7588458988576348E-3</v>
      </c>
      <c r="T15" s="53">
        <f t="shared" si="4"/>
        <v>9.4040968342644318E-2</v>
      </c>
      <c r="U15" s="54">
        <f t="shared" si="5"/>
        <v>2.5999999999999999E-3</v>
      </c>
      <c r="V15" s="55">
        <f t="shared" si="6"/>
        <v>-7.3999999999999622E-3</v>
      </c>
    </row>
    <row r="16" spans="1:25" ht="14.25" customHeight="1">
      <c r="A16" s="177">
        <v>11</v>
      </c>
      <c r="B16" s="170" t="s">
        <v>36</v>
      </c>
      <c r="C16" s="171" t="s">
        <v>37</v>
      </c>
      <c r="D16" s="26">
        <v>71691692.769999996</v>
      </c>
      <c r="E16" s="27">
        <f t="shared" si="0"/>
        <v>1.0461515851098472E-3</v>
      </c>
      <c r="F16" s="30">
        <v>22.47</v>
      </c>
      <c r="G16" s="30">
        <v>22.87</v>
      </c>
      <c r="H16" s="29">
        <v>52</v>
      </c>
      <c r="I16" s="47">
        <v>1.2999999999999999E-3</v>
      </c>
      <c r="J16" s="47">
        <v>0.125</v>
      </c>
      <c r="K16" s="26">
        <v>71702184.810000002</v>
      </c>
      <c r="L16" s="27">
        <f t="shared" si="1"/>
        <v>1.0574251375490746E-3</v>
      </c>
      <c r="M16" s="30">
        <v>22.41</v>
      </c>
      <c r="N16" s="30">
        <v>22.83</v>
      </c>
      <c r="O16" s="29">
        <v>52</v>
      </c>
      <c r="P16" s="47">
        <v>2.5999999999999999E-3</v>
      </c>
      <c r="Q16" s="47">
        <v>0.124</v>
      </c>
      <c r="R16" s="53">
        <f t="shared" ref="R16" si="7">((K16-D16)/D16)</f>
        <v>1.4634945269972815E-4</v>
      </c>
      <c r="S16" s="53">
        <f t="shared" ref="S16" si="8">((N16-G16)/G16)</f>
        <v>-1.7490161783997682E-3</v>
      </c>
      <c r="T16" s="53">
        <f t="shared" ref="T16" si="9">((O16-H16)/H16)</f>
        <v>0</v>
      </c>
      <c r="U16" s="54">
        <f t="shared" ref="U16" si="10">P16-I16</f>
        <v>1.2999999999999999E-3</v>
      </c>
      <c r="V16" s="55">
        <f t="shared" ref="V16" si="11">Q16-J16</f>
        <v>-1.0000000000000009E-3</v>
      </c>
    </row>
    <row r="17" spans="1:22">
      <c r="A17" s="173">
        <v>12</v>
      </c>
      <c r="B17" s="170" t="s">
        <v>38</v>
      </c>
      <c r="C17" s="171" t="s">
        <v>39</v>
      </c>
      <c r="D17" s="124">
        <v>2570703822.8200002</v>
      </c>
      <c r="E17" s="27">
        <f t="shared" si="0"/>
        <v>3.751265697852886E-2</v>
      </c>
      <c r="F17" s="30">
        <v>5.2</v>
      </c>
      <c r="G17" s="30">
        <v>5.32</v>
      </c>
      <c r="H17" s="29">
        <v>3659</v>
      </c>
      <c r="I17" s="47">
        <v>-1.7100000000000001E-2</v>
      </c>
      <c r="J17" s="47">
        <v>0.4299</v>
      </c>
      <c r="K17" s="124">
        <v>2533237091.46</v>
      </c>
      <c r="L17" s="27">
        <f t="shared" si="1"/>
        <v>3.7358813918706699E-2</v>
      </c>
      <c r="M17" s="30">
        <v>5.13</v>
      </c>
      <c r="N17" s="30">
        <v>5.24</v>
      </c>
      <c r="O17" s="29">
        <v>3657</v>
      </c>
      <c r="P17" s="47">
        <v>-2.52E-2</v>
      </c>
      <c r="Q17" s="47">
        <v>0.40899999999999997</v>
      </c>
      <c r="R17" s="53">
        <f t="shared" si="2"/>
        <v>-1.4574503304274093E-2</v>
      </c>
      <c r="S17" s="53">
        <f t="shared" si="3"/>
        <v>-1.5037593984962419E-2</v>
      </c>
      <c r="T17" s="53">
        <f t="shared" si="4"/>
        <v>-5.4659743099207429E-4</v>
      </c>
      <c r="U17" s="54">
        <f t="shared" si="5"/>
        <v>-8.0999999999999996E-3</v>
      </c>
      <c r="V17" s="55">
        <f t="shared" si="6"/>
        <v>-2.090000000000003E-2</v>
      </c>
    </row>
    <row r="18" spans="1:22">
      <c r="A18" s="173">
        <v>13</v>
      </c>
      <c r="B18" s="170" t="s">
        <v>40</v>
      </c>
      <c r="C18" s="171" t="s">
        <v>41</v>
      </c>
      <c r="D18" s="30">
        <v>1948799840.2</v>
      </c>
      <c r="E18" s="27">
        <f t="shared" si="0"/>
        <v>2.8437605015516881E-2</v>
      </c>
      <c r="F18" s="30">
        <v>33.03</v>
      </c>
      <c r="G18" s="30">
        <v>33.14</v>
      </c>
      <c r="H18" s="29">
        <v>750</v>
      </c>
      <c r="I18" s="47">
        <v>4.7300000000000002E-2</v>
      </c>
      <c r="J18" s="47">
        <v>0.40510000000000002</v>
      </c>
      <c r="K18" s="30">
        <v>1936381382.48</v>
      </c>
      <c r="L18" s="27">
        <f t="shared" si="1"/>
        <v>2.8556707932152356E-2</v>
      </c>
      <c r="M18" s="30">
        <v>32.46</v>
      </c>
      <c r="N18" s="30">
        <v>32.58</v>
      </c>
      <c r="O18" s="29">
        <v>750</v>
      </c>
      <c r="P18" s="47">
        <v>-1.9E-2</v>
      </c>
      <c r="Q18" s="47">
        <v>0.37930000000000003</v>
      </c>
      <c r="R18" s="53">
        <f t="shared" si="2"/>
        <v>-6.3723618320522622E-3</v>
      </c>
      <c r="S18" s="53">
        <f t="shared" si="3"/>
        <v>-1.6898008449004291E-2</v>
      </c>
      <c r="T18" s="53">
        <f t="shared" si="4"/>
        <v>0</v>
      </c>
      <c r="U18" s="54">
        <f t="shared" si="5"/>
        <v>-6.6299999999999998E-2</v>
      </c>
      <c r="V18" s="55">
        <f t="shared" si="6"/>
        <v>-2.579999999999999E-2</v>
      </c>
    </row>
    <row r="19" spans="1:22">
      <c r="A19" s="173">
        <v>14</v>
      </c>
      <c r="B19" s="170" t="s">
        <v>42</v>
      </c>
      <c r="C19" s="171" t="s">
        <v>43</v>
      </c>
      <c r="D19" s="30">
        <v>165914826.75999999</v>
      </c>
      <c r="E19" s="27">
        <f t="shared" si="0"/>
        <v>2.4210902588818828E-3</v>
      </c>
      <c r="F19" s="30">
        <v>1.96</v>
      </c>
      <c r="G19" s="30">
        <v>2.0299999999999998</v>
      </c>
      <c r="H19" s="29">
        <v>22</v>
      </c>
      <c r="I19" s="47">
        <v>2.9999999999999997E-4</v>
      </c>
      <c r="J19" s="47">
        <v>0.40229999999999999</v>
      </c>
      <c r="K19" s="30">
        <v>169040430.24000001</v>
      </c>
      <c r="L19" s="27">
        <f t="shared" si="1"/>
        <v>2.4929170662168943E-3</v>
      </c>
      <c r="M19" s="30">
        <v>1.94</v>
      </c>
      <c r="N19" s="30">
        <v>2.0099999999999998</v>
      </c>
      <c r="O19" s="29">
        <v>22</v>
      </c>
      <c r="P19" s="47">
        <v>1.3899999999999999E-2</v>
      </c>
      <c r="Q19" s="47">
        <v>0.41620000000000001</v>
      </c>
      <c r="R19" s="53">
        <f t="shared" si="2"/>
        <v>1.8838602559138877E-2</v>
      </c>
      <c r="S19" s="53">
        <f t="shared" si="3"/>
        <v>-9.8522167487684834E-3</v>
      </c>
      <c r="T19" s="53">
        <f t="shared" si="4"/>
        <v>0</v>
      </c>
      <c r="U19" s="54">
        <f t="shared" si="5"/>
        <v>1.3599999999999999E-2</v>
      </c>
      <c r="V19" s="55">
        <f t="shared" si="6"/>
        <v>1.3900000000000023E-2</v>
      </c>
    </row>
    <row r="20" spans="1:22">
      <c r="A20" s="173">
        <v>15</v>
      </c>
      <c r="B20" s="170" t="s">
        <v>44</v>
      </c>
      <c r="C20" s="171" t="s">
        <v>45</v>
      </c>
      <c r="D20" s="26">
        <v>7899020768.1700001</v>
      </c>
      <c r="E20" s="27">
        <f t="shared" si="0"/>
        <v>0.11526542027606597</v>
      </c>
      <c r="F20" s="30">
        <v>48.26</v>
      </c>
      <c r="G20" s="30">
        <v>48.42</v>
      </c>
      <c r="H20" s="29">
        <v>10024</v>
      </c>
      <c r="I20" s="47">
        <v>-2.2599999999999999E-2</v>
      </c>
      <c r="J20" s="47">
        <v>0.58489999999999998</v>
      </c>
      <c r="K20" s="26">
        <v>7839610886.46</v>
      </c>
      <c r="L20" s="27">
        <f t="shared" si="1"/>
        <v>0.11561435180689285</v>
      </c>
      <c r="M20" s="30">
        <v>47.92</v>
      </c>
      <c r="N20" s="30">
        <v>48.09</v>
      </c>
      <c r="O20" s="29">
        <v>8944</v>
      </c>
      <c r="P20" s="47">
        <v>-1.1299999999999999E-2</v>
      </c>
      <c r="Q20" s="47">
        <v>0.5736</v>
      </c>
      <c r="R20" s="53">
        <f t="shared" si="2"/>
        <v>-7.521170465761895E-3</v>
      </c>
      <c r="S20" s="53">
        <f t="shared" si="3"/>
        <v>-6.8153655514249954E-3</v>
      </c>
      <c r="T20" s="53">
        <f t="shared" si="4"/>
        <v>-0.1077414205905826</v>
      </c>
      <c r="U20" s="54">
        <f t="shared" si="5"/>
        <v>1.1299999999999999E-2</v>
      </c>
      <c r="V20" s="55">
        <f t="shared" si="6"/>
        <v>-1.1299999999999977E-2</v>
      </c>
    </row>
    <row r="21" spans="1:22" ht="12.75" customHeight="1">
      <c r="A21" s="173">
        <v>16</v>
      </c>
      <c r="B21" s="170" t="s">
        <v>46</v>
      </c>
      <c r="C21" s="171" t="s">
        <v>47</v>
      </c>
      <c r="D21" s="30">
        <v>1489880429.54</v>
      </c>
      <c r="E21" s="27">
        <f t="shared" si="0"/>
        <v>2.1740883954125823E-2</v>
      </c>
      <c r="F21" s="30">
        <v>12006.73</v>
      </c>
      <c r="G21" s="30">
        <v>12174.75</v>
      </c>
      <c r="H21" s="29">
        <v>25</v>
      </c>
      <c r="I21" s="47">
        <v>-3.1300000000000001E-2</v>
      </c>
      <c r="J21" s="47">
        <v>0.501</v>
      </c>
      <c r="K21" s="30">
        <v>1469028286.26</v>
      </c>
      <c r="L21" s="27">
        <f t="shared" si="1"/>
        <v>2.1664436610658443E-2</v>
      </c>
      <c r="M21" s="30">
        <v>11843.16</v>
      </c>
      <c r="N21" s="30">
        <v>12008.1</v>
      </c>
      <c r="O21" s="29">
        <v>25</v>
      </c>
      <c r="P21" s="47">
        <v>-1.37E-2</v>
      </c>
      <c r="Q21" s="47">
        <v>0.48049999999999998</v>
      </c>
      <c r="R21" s="53">
        <f t="shared" si="2"/>
        <v>-1.3995850181371979E-2</v>
      </c>
      <c r="S21" s="53">
        <f t="shared" si="3"/>
        <v>-1.3688166081439013E-2</v>
      </c>
      <c r="T21" s="53">
        <f t="shared" si="4"/>
        <v>0</v>
      </c>
      <c r="U21" s="54">
        <f t="shared" si="5"/>
        <v>1.7600000000000001E-2</v>
      </c>
      <c r="V21" s="55">
        <f t="shared" si="6"/>
        <v>-2.0500000000000018E-2</v>
      </c>
    </row>
    <row r="22" spans="1:22">
      <c r="A22" s="173">
        <v>17</v>
      </c>
      <c r="B22" s="170" t="s">
        <v>48</v>
      </c>
      <c r="C22" s="171" t="s">
        <v>47</v>
      </c>
      <c r="D22" s="30">
        <v>23058537261.990002</v>
      </c>
      <c r="E22" s="27">
        <f t="shared" si="0"/>
        <v>0.33647866823755179</v>
      </c>
      <c r="F22" s="30">
        <v>40346.67</v>
      </c>
      <c r="G22" s="30">
        <v>40933.129999999997</v>
      </c>
      <c r="H22" s="29">
        <v>18830</v>
      </c>
      <c r="I22" s="47">
        <v>-1.61E-2</v>
      </c>
      <c r="J22" s="47">
        <v>0.59260000000000002</v>
      </c>
      <c r="K22" s="30">
        <v>22669100195.029999</v>
      </c>
      <c r="L22" s="27">
        <f t="shared" si="1"/>
        <v>0.33431165947540603</v>
      </c>
      <c r="M22" s="30">
        <v>39841.71</v>
      </c>
      <c r="N22" s="30">
        <v>40413.410000000003</v>
      </c>
      <c r="O22" s="29">
        <v>18845</v>
      </c>
      <c r="P22" s="47">
        <v>-1.2699999999999999E-2</v>
      </c>
      <c r="Q22" s="47">
        <v>0.57240000000000002</v>
      </c>
      <c r="R22" s="53">
        <f t="shared" si="2"/>
        <v>-1.6889062065613161E-2</v>
      </c>
      <c r="S22" s="53">
        <f t="shared" si="3"/>
        <v>-1.2696805741461597E-2</v>
      </c>
      <c r="T22" s="53">
        <f t="shared" si="4"/>
        <v>7.9660116834838024E-4</v>
      </c>
      <c r="U22" s="54">
        <f t="shared" si="5"/>
        <v>3.4000000000000002E-3</v>
      </c>
      <c r="V22" s="55">
        <f t="shared" si="6"/>
        <v>-2.0199999999999996E-2</v>
      </c>
    </row>
    <row r="23" spans="1:22">
      <c r="A23" s="173">
        <v>18</v>
      </c>
      <c r="B23" s="171" t="s">
        <v>49</v>
      </c>
      <c r="C23" s="171" t="s">
        <v>50</v>
      </c>
      <c r="D23" s="30">
        <v>5875676453.3800001</v>
      </c>
      <c r="E23" s="27">
        <f t="shared" ref="E23" si="12">(D23/$D$25)</f>
        <v>8.5740034832435905E-2</v>
      </c>
      <c r="F23" s="30">
        <v>1.8134999999999999</v>
      </c>
      <c r="G23" s="28">
        <v>1.8325</v>
      </c>
      <c r="H23" s="29">
        <v>5787</v>
      </c>
      <c r="I23" s="47">
        <v>3.2099999999999997E-2</v>
      </c>
      <c r="J23" s="47">
        <v>0.40089999999999998</v>
      </c>
      <c r="K23" s="30">
        <v>5865463701.7399998</v>
      </c>
      <c r="L23" s="27">
        <f t="shared" ref="L23" si="13">(K23/$K$25)</f>
        <v>8.6500694198324013E-2</v>
      </c>
      <c r="M23" s="30">
        <v>1.8084</v>
      </c>
      <c r="N23" s="28">
        <v>1.827</v>
      </c>
      <c r="O23" s="29">
        <v>5850</v>
      </c>
      <c r="P23" s="47">
        <v>-1.6999999999999999E-3</v>
      </c>
      <c r="Q23" s="47">
        <v>0.39750000000000002</v>
      </c>
      <c r="R23" s="53">
        <f t="shared" ref="R23" si="14">((K23-D23)/D23)</f>
        <v>-1.7381405734356642E-3</v>
      </c>
      <c r="S23" s="53">
        <f t="shared" ref="S23" si="15">((N23-G23)/G23)</f>
        <v>-3.0013642564802514E-3</v>
      </c>
      <c r="T23" s="53">
        <f t="shared" ref="T23" si="16">((O23-H23)/H23)</f>
        <v>1.088646967340591E-2</v>
      </c>
      <c r="U23" s="54">
        <f t="shared" ref="U23" si="17">P23-I23</f>
        <v>-3.3799999999999997E-2</v>
      </c>
      <c r="V23" s="55">
        <f t="shared" ref="V23" si="18">Q23-J23</f>
        <v>-3.3999999999999586E-3</v>
      </c>
    </row>
    <row r="24" spans="1:22">
      <c r="A24" s="173">
        <v>19</v>
      </c>
      <c r="B24" s="171" t="s">
        <v>290</v>
      </c>
      <c r="C24" s="171" t="s">
        <v>291</v>
      </c>
      <c r="D24" s="30">
        <v>7018055356.9799995</v>
      </c>
      <c r="E24" s="27">
        <f>(D24/$D$25)</f>
        <v>0.10241004853445983</v>
      </c>
      <c r="F24" s="30">
        <v>201.97</v>
      </c>
      <c r="G24" s="28">
        <v>205.34</v>
      </c>
      <c r="H24" s="29">
        <v>58</v>
      </c>
      <c r="I24" s="47">
        <v>-2.0199999999999999E-2</v>
      </c>
      <c r="J24" s="47">
        <v>0.6593</v>
      </c>
      <c r="K24" s="30">
        <v>7074648746.6800003</v>
      </c>
      <c r="L24" s="27">
        <f>(K24/$K$25)</f>
        <v>0.10433310287396091</v>
      </c>
      <c r="M24" s="30">
        <v>198.6</v>
      </c>
      <c r="N24" s="28">
        <v>201.91</v>
      </c>
      <c r="O24" s="29">
        <v>59</v>
      </c>
      <c r="P24" s="47">
        <v>-1.8700000000000001E-2</v>
      </c>
      <c r="Q24" s="47">
        <v>0.63160000000000005</v>
      </c>
      <c r="R24" s="53">
        <f t="shared" si="2"/>
        <v>8.0639702626047628E-3</v>
      </c>
      <c r="S24" s="53">
        <f t="shared" si="3"/>
        <v>-1.6704003116781954E-2</v>
      </c>
      <c r="T24" s="53">
        <f t="shared" si="4"/>
        <v>1.7241379310344827E-2</v>
      </c>
      <c r="U24" s="54">
        <f t="shared" si="5"/>
        <v>1.4999999999999979E-3</v>
      </c>
      <c r="V24" s="55">
        <f t="shared" si="6"/>
        <v>-2.7699999999999947E-2</v>
      </c>
    </row>
    <row r="25" spans="1:22">
      <c r="A25" s="33"/>
      <c r="B25" s="34"/>
      <c r="C25" s="35" t="s">
        <v>51</v>
      </c>
      <c r="D25" s="36">
        <f>SUM(D6:D24)</f>
        <v>68528972082.446609</v>
      </c>
      <c r="E25" s="37">
        <f>(D25/$D$226)</f>
        <v>1.0444975863862426E-2</v>
      </c>
      <c r="F25" s="38"/>
      <c r="G25" s="39"/>
      <c r="H25" s="40">
        <f>SUM(H6:H24)</f>
        <v>57070</v>
      </c>
      <c r="I25" s="49"/>
      <c r="J25" s="29">
        <v>0</v>
      </c>
      <c r="K25" s="36">
        <f>SUM(K6:K24)</f>
        <v>67808284732.281898</v>
      </c>
      <c r="L25" s="37">
        <f>(K25/$K$226)</f>
        <v>1.0363716022051302E-2</v>
      </c>
      <c r="M25" s="38"/>
      <c r="N25" s="39"/>
      <c r="O25" s="40">
        <f>SUM(O6:O24)</f>
        <v>56254</v>
      </c>
      <c r="P25" s="49"/>
      <c r="Q25" s="40"/>
      <c r="R25" s="53">
        <f t="shared" si="2"/>
        <v>-1.0516535244358522E-2</v>
      </c>
      <c r="S25" s="53" t="e">
        <f t="shared" si="3"/>
        <v>#DIV/0!</v>
      </c>
      <c r="T25" s="53">
        <f t="shared" si="4"/>
        <v>-1.429823024356054E-2</v>
      </c>
      <c r="U25" s="54">
        <f t="shared" si="5"/>
        <v>0</v>
      </c>
      <c r="V25" s="55">
        <f t="shared" si="6"/>
        <v>0</v>
      </c>
    </row>
    <row r="26" spans="1:22" ht="4.5" customHeight="1">
      <c r="A26" s="33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</row>
    <row r="27" spans="1:22" ht="15" customHeight="1">
      <c r="A27" s="185" t="s">
        <v>52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</row>
    <row r="28" spans="1:22">
      <c r="A28" s="169">
        <v>20</v>
      </c>
      <c r="B28" s="170" t="s">
        <v>53</v>
      </c>
      <c r="C28" s="171" t="s">
        <v>17</v>
      </c>
      <c r="D28" s="41">
        <v>4653969826.7700005</v>
      </c>
      <c r="E28" s="27">
        <f t="shared" ref="E28:E33" si="19">(D28/$K$70)</f>
        <v>1.2287450367308387E-3</v>
      </c>
      <c r="F28" s="28">
        <v>100</v>
      </c>
      <c r="G28" s="28">
        <v>100</v>
      </c>
      <c r="H28" s="29">
        <v>868</v>
      </c>
      <c r="I28" s="47">
        <v>0.2024</v>
      </c>
      <c r="J28" s="47">
        <v>0.2024</v>
      </c>
      <c r="K28" s="41">
        <v>4652681206.7700005</v>
      </c>
      <c r="L28" s="27">
        <f t="shared" ref="L28:L33" si="20">(K28/$K$70)</f>
        <v>1.2284048141921956E-3</v>
      </c>
      <c r="M28" s="28">
        <v>100</v>
      </c>
      <c r="N28" s="28">
        <v>100</v>
      </c>
      <c r="O28" s="29">
        <v>868</v>
      </c>
      <c r="P28" s="47">
        <v>0.17949999999999999</v>
      </c>
      <c r="Q28" s="47">
        <v>0.17949999999999999</v>
      </c>
      <c r="R28" s="53">
        <f>((K28-D28)/D28)</f>
        <v>-2.7688619564909003E-4</v>
      </c>
      <c r="S28" s="53">
        <f>((N28-G28)/G28)</f>
        <v>0</v>
      </c>
      <c r="T28" s="53">
        <f>((O28-H28)/H28)</f>
        <v>0</v>
      </c>
      <c r="U28" s="54">
        <f>P28-I28</f>
        <v>-2.2900000000000004E-2</v>
      </c>
      <c r="V28" s="55">
        <f>Q28-J28</f>
        <v>-2.2900000000000004E-2</v>
      </c>
    </row>
    <row r="29" spans="1:22">
      <c r="A29" s="169">
        <v>21</v>
      </c>
      <c r="B29" s="170" t="s">
        <v>54</v>
      </c>
      <c r="C29" s="171" t="s">
        <v>55</v>
      </c>
      <c r="D29" s="41">
        <v>24635434889.470001</v>
      </c>
      <c r="E29" s="27">
        <f t="shared" si="19"/>
        <v>6.5042682859744244E-3</v>
      </c>
      <c r="F29" s="28">
        <v>100</v>
      </c>
      <c r="G29" s="28">
        <v>100</v>
      </c>
      <c r="H29" s="29">
        <v>3250</v>
      </c>
      <c r="I29" s="47">
        <v>0.20316300000000001</v>
      </c>
      <c r="J29" s="47">
        <v>0.20316300000000001</v>
      </c>
      <c r="K29" s="41">
        <v>24635434889.470001</v>
      </c>
      <c r="L29" s="27">
        <f t="shared" si="20"/>
        <v>6.5042682859744244E-3</v>
      </c>
      <c r="M29" s="28">
        <v>100</v>
      </c>
      <c r="N29" s="28">
        <v>100</v>
      </c>
      <c r="O29" s="29">
        <v>3282</v>
      </c>
      <c r="P29" s="47">
        <v>0.202233</v>
      </c>
      <c r="Q29" s="47">
        <v>0.202233</v>
      </c>
      <c r="R29" s="53">
        <f t="shared" ref="R29:R70" si="21">((K29-D29)/D29)</f>
        <v>0</v>
      </c>
      <c r="S29" s="53">
        <f t="shared" ref="S29:S70" si="22">((N29-G29)/G29)</f>
        <v>0</v>
      </c>
      <c r="T29" s="53">
        <f t="shared" ref="T29:T70" si="23">((O29-H29)/H29)</f>
        <v>9.8461538461538465E-3</v>
      </c>
      <c r="U29" s="54">
        <f t="shared" ref="U29:U70" si="24">P29-I29</f>
        <v>-9.3000000000001415E-4</v>
      </c>
      <c r="V29" s="55">
        <f t="shared" ref="V29:V70" si="25">Q29-J29</f>
        <v>-9.3000000000001415E-4</v>
      </c>
    </row>
    <row r="30" spans="1:22">
      <c r="A30" s="172">
        <v>22</v>
      </c>
      <c r="B30" s="170" t="s">
        <v>56</v>
      </c>
      <c r="C30" s="171" t="s">
        <v>19</v>
      </c>
      <c r="D30" s="41">
        <v>2092657424.47</v>
      </c>
      <c r="E30" s="27">
        <f t="shared" si="19"/>
        <v>5.5250517721556515E-4</v>
      </c>
      <c r="F30" s="28">
        <v>100</v>
      </c>
      <c r="G30" s="28">
        <v>100</v>
      </c>
      <c r="H30" s="29">
        <v>2148</v>
      </c>
      <c r="I30" s="47">
        <v>0.19639999999999999</v>
      </c>
      <c r="J30" s="47">
        <v>0.19639999999999999</v>
      </c>
      <c r="K30" s="41">
        <v>2306004998.5599999</v>
      </c>
      <c r="L30" s="27">
        <f t="shared" si="20"/>
        <v>6.0883338356828936E-4</v>
      </c>
      <c r="M30" s="28">
        <v>100</v>
      </c>
      <c r="N30" s="28">
        <v>100</v>
      </c>
      <c r="O30" s="29">
        <v>2162</v>
      </c>
      <c r="P30" s="47">
        <v>0.20649999999999999</v>
      </c>
      <c r="Q30" s="47">
        <v>0.20649999999999999</v>
      </c>
      <c r="R30" s="53">
        <f t="shared" si="21"/>
        <v>0.10195054938054837</v>
      </c>
      <c r="S30" s="53">
        <f t="shared" si="22"/>
        <v>0</v>
      </c>
      <c r="T30" s="53">
        <f t="shared" si="23"/>
        <v>6.5176908752327747E-3</v>
      </c>
      <c r="U30" s="54">
        <f t="shared" si="24"/>
        <v>1.0099999999999998E-2</v>
      </c>
      <c r="V30" s="55">
        <f t="shared" si="25"/>
        <v>1.0099999999999998E-2</v>
      </c>
    </row>
    <row r="31" spans="1:22">
      <c r="A31" s="169">
        <v>23</v>
      </c>
      <c r="B31" s="170" t="s">
        <v>57</v>
      </c>
      <c r="C31" s="171" t="s">
        <v>21</v>
      </c>
      <c r="D31" s="41">
        <v>253785148593.76001</v>
      </c>
      <c r="E31" s="27">
        <f t="shared" si="19"/>
        <v>6.700456886008771E-2</v>
      </c>
      <c r="F31" s="28">
        <v>1</v>
      </c>
      <c r="G31" s="28">
        <v>1</v>
      </c>
      <c r="H31" s="29">
        <v>73752</v>
      </c>
      <c r="I31" s="47">
        <v>0.20810000000000001</v>
      </c>
      <c r="J31" s="47">
        <v>0.20810000000000001</v>
      </c>
      <c r="K31" s="41">
        <v>256370972604.25</v>
      </c>
      <c r="L31" s="27">
        <f t="shared" si="20"/>
        <v>6.7687280295059382E-2</v>
      </c>
      <c r="M31" s="28">
        <v>1</v>
      </c>
      <c r="N31" s="28">
        <v>1</v>
      </c>
      <c r="O31" s="29">
        <v>73945</v>
      </c>
      <c r="P31" s="47">
        <v>0.2074</v>
      </c>
      <c r="Q31" s="47">
        <v>0.2074</v>
      </c>
      <c r="R31" s="53">
        <f t="shared" si="21"/>
        <v>1.0189028100415682E-2</v>
      </c>
      <c r="S31" s="53">
        <f t="shared" si="22"/>
        <v>0</v>
      </c>
      <c r="T31" s="53">
        <f t="shared" si="23"/>
        <v>2.6168781863542684E-3</v>
      </c>
      <c r="U31" s="54">
        <f t="shared" si="24"/>
        <v>-7.0000000000000617E-4</v>
      </c>
      <c r="V31" s="55">
        <f t="shared" si="25"/>
        <v>-7.0000000000000617E-4</v>
      </c>
    </row>
    <row r="32" spans="1:22">
      <c r="A32" s="169">
        <v>24</v>
      </c>
      <c r="B32" s="170" t="s">
        <v>299</v>
      </c>
      <c r="C32" s="171" t="s">
        <v>113</v>
      </c>
      <c r="D32" s="41">
        <v>1175461219.5899999</v>
      </c>
      <c r="E32" s="27">
        <f t="shared" si="19"/>
        <v>3.1034626205198436E-4</v>
      </c>
      <c r="F32" s="28">
        <v>1</v>
      </c>
      <c r="G32" s="28">
        <v>1</v>
      </c>
      <c r="H32" s="29">
        <v>300</v>
      </c>
      <c r="I32" s="47">
        <v>0.19</v>
      </c>
      <c r="J32" s="47">
        <v>0.19</v>
      </c>
      <c r="K32" s="41">
        <v>1195951950.6099999</v>
      </c>
      <c r="L32" s="27">
        <f t="shared" si="20"/>
        <v>3.1575624212856036E-4</v>
      </c>
      <c r="M32" s="28">
        <v>1</v>
      </c>
      <c r="N32" s="28">
        <v>1</v>
      </c>
      <c r="O32" s="29">
        <v>300</v>
      </c>
      <c r="P32" s="47">
        <v>0.19</v>
      </c>
      <c r="Q32" s="47">
        <v>0.19</v>
      </c>
      <c r="R32" s="53">
        <f t="shared" si="21"/>
        <v>1.7432077450540762E-2</v>
      </c>
      <c r="S32" s="53">
        <f t="shared" si="22"/>
        <v>0</v>
      </c>
      <c r="T32" s="53">
        <f t="shared" si="23"/>
        <v>0</v>
      </c>
      <c r="U32" s="54">
        <f t="shared" si="24"/>
        <v>0</v>
      </c>
      <c r="V32" s="55">
        <f t="shared" si="25"/>
        <v>0</v>
      </c>
    </row>
    <row r="33" spans="1:22">
      <c r="A33" s="169">
        <v>25</v>
      </c>
      <c r="B33" s="170" t="s">
        <v>58</v>
      </c>
      <c r="C33" s="171" t="s">
        <v>23</v>
      </c>
      <c r="D33" s="41">
        <v>145453921826.17001</v>
      </c>
      <c r="E33" s="27">
        <f t="shared" si="19"/>
        <v>3.8402867051027502E-2</v>
      </c>
      <c r="F33" s="28">
        <v>1</v>
      </c>
      <c r="G33" s="28">
        <v>1</v>
      </c>
      <c r="H33" s="29">
        <v>35371</v>
      </c>
      <c r="I33" s="47">
        <v>0.19270000000000001</v>
      </c>
      <c r="J33" s="47">
        <v>0.19270000000000001</v>
      </c>
      <c r="K33" s="41">
        <v>146918130190.67001</v>
      </c>
      <c r="L33" s="27">
        <f t="shared" si="20"/>
        <v>3.8789448577678222E-2</v>
      </c>
      <c r="M33" s="28">
        <v>1</v>
      </c>
      <c r="N33" s="28">
        <v>1</v>
      </c>
      <c r="O33" s="29">
        <v>35481</v>
      </c>
      <c r="P33" s="47">
        <v>0.19070000000000001</v>
      </c>
      <c r="Q33" s="47">
        <v>0.19070000000000001</v>
      </c>
      <c r="R33" s="53">
        <f t="shared" si="21"/>
        <v>1.0066475665399076E-2</v>
      </c>
      <c r="S33" s="53">
        <f t="shared" si="22"/>
        <v>0</v>
      </c>
      <c r="T33" s="53">
        <f t="shared" si="23"/>
        <v>3.1098922846399591E-3</v>
      </c>
      <c r="U33" s="54">
        <f t="shared" si="24"/>
        <v>-2.0000000000000018E-3</v>
      </c>
      <c r="V33" s="55">
        <f t="shared" si="25"/>
        <v>-2.0000000000000018E-3</v>
      </c>
    </row>
    <row r="34" spans="1:22">
      <c r="A34" s="169">
        <v>26</v>
      </c>
      <c r="B34" s="170" t="s">
        <v>284</v>
      </c>
      <c r="C34" s="171" t="s">
        <v>25</v>
      </c>
      <c r="D34" s="30">
        <v>10911188890.360001</v>
      </c>
      <c r="E34" s="27">
        <f t="shared" ref="E34" si="26">(D34/$D$25)</f>
        <v>0.15922008690328587</v>
      </c>
      <c r="F34" s="30">
        <v>1</v>
      </c>
      <c r="G34" s="30">
        <v>1</v>
      </c>
      <c r="H34" s="29">
        <v>1068</v>
      </c>
      <c r="I34" s="47">
        <v>0.20669999999999999</v>
      </c>
      <c r="J34" s="47">
        <v>0.20669999999999999</v>
      </c>
      <c r="K34" s="30">
        <v>10505225770.360001</v>
      </c>
      <c r="L34" s="27">
        <f t="shared" ref="L34" si="27">(K34/$K$25)</f>
        <v>0.15492540198939311</v>
      </c>
      <c r="M34" s="30">
        <v>1</v>
      </c>
      <c r="N34" s="30">
        <v>1</v>
      </c>
      <c r="O34" s="29">
        <v>1097</v>
      </c>
      <c r="P34" s="47">
        <v>0.2122</v>
      </c>
      <c r="Q34" s="47">
        <v>0.2122</v>
      </c>
      <c r="R34" s="53">
        <f t="shared" si="21"/>
        <v>-3.7206130704846206E-2</v>
      </c>
      <c r="S34" s="53">
        <f t="shared" si="22"/>
        <v>0</v>
      </c>
      <c r="T34" s="53">
        <f t="shared" si="23"/>
        <v>2.7153558052434457E-2</v>
      </c>
      <c r="U34" s="54">
        <f t="shared" si="24"/>
        <v>5.5000000000000049E-3</v>
      </c>
      <c r="V34" s="55">
        <f t="shared" si="25"/>
        <v>5.5000000000000049E-3</v>
      </c>
    </row>
    <row r="35" spans="1:22" ht="15" customHeight="1">
      <c r="A35" s="169">
        <v>27</v>
      </c>
      <c r="B35" s="170" t="s">
        <v>59</v>
      </c>
      <c r="C35" s="171" t="s">
        <v>45</v>
      </c>
      <c r="D35" s="41">
        <v>33456625849.66</v>
      </c>
      <c r="E35" s="27">
        <f t="shared" ref="E35:E48" si="28">(D35/$K$70)</f>
        <v>8.8332465591126931E-3</v>
      </c>
      <c r="F35" s="28">
        <v>100</v>
      </c>
      <c r="G35" s="28">
        <v>100</v>
      </c>
      <c r="H35" s="29">
        <v>2083</v>
      </c>
      <c r="I35" s="47">
        <v>0.20469999999999999</v>
      </c>
      <c r="J35" s="47">
        <v>0.20469999999999999</v>
      </c>
      <c r="K35" s="41">
        <v>33807867670.709999</v>
      </c>
      <c r="L35" s="27">
        <f t="shared" ref="L35:L48" si="29">(K35/$K$70)</f>
        <v>8.9259817207858454E-3</v>
      </c>
      <c r="M35" s="28">
        <v>100</v>
      </c>
      <c r="N35" s="28">
        <v>100</v>
      </c>
      <c r="O35" s="29">
        <v>2083</v>
      </c>
      <c r="P35" s="47">
        <v>0.21099999999999999</v>
      </c>
      <c r="Q35" s="47">
        <v>0.21099999999999999</v>
      </c>
      <c r="R35" s="53">
        <f t="shared" si="21"/>
        <v>1.0498423320640049E-2</v>
      </c>
      <c r="S35" s="53">
        <f t="shared" si="22"/>
        <v>0</v>
      </c>
      <c r="T35" s="53">
        <f t="shared" si="23"/>
        <v>0</v>
      </c>
      <c r="U35" s="54">
        <f t="shared" si="24"/>
        <v>6.3E-3</v>
      </c>
      <c r="V35" s="55">
        <f t="shared" si="25"/>
        <v>6.3E-3</v>
      </c>
    </row>
    <row r="36" spans="1:22" ht="15" customHeight="1">
      <c r="A36" s="169">
        <v>28</v>
      </c>
      <c r="B36" s="170" t="s">
        <v>60</v>
      </c>
      <c r="C36" s="171" t="s">
        <v>61</v>
      </c>
      <c r="D36" s="41">
        <v>1317295230.51</v>
      </c>
      <c r="E36" s="27">
        <f t="shared" si="28"/>
        <v>3.4779339717415852E-4</v>
      </c>
      <c r="F36" s="28">
        <v>1</v>
      </c>
      <c r="G36" s="28">
        <v>1</v>
      </c>
      <c r="H36" s="29">
        <v>516</v>
      </c>
      <c r="I36" s="47">
        <v>0.19900000000000001</v>
      </c>
      <c r="J36" s="47">
        <v>0.19900000000000001</v>
      </c>
      <c r="K36" s="41">
        <v>1316061327.49</v>
      </c>
      <c r="L36" s="27">
        <f t="shared" si="29"/>
        <v>3.4746762105869873E-4</v>
      </c>
      <c r="M36" s="28">
        <v>1</v>
      </c>
      <c r="N36" s="28">
        <v>1</v>
      </c>
      <c r="O36" s="29">
        <v>521</v>
      </c>
      <c r="P36" s="47">
        <v>0.19900000000000001</v>
      </c>
      <c r="Q36" s="47">
        <v>0.19900000000000001</v>
      </c>
      <c r="R36" s="53">
        <f t="shared" si="21"/>
        <v>-9.3669436540984579E-4</v>
      </c>
      <c r="S36" s="53">
        <f t="shared" si="22"/>
        <v>0</v>
      </c>
      <c r="T36" s="53">
        <f t="shared" si="23"/>
        <v>9.6899224806201549E-3</v>
      </c>
      <c r="U36" s="54">
        <f t="shared" si="24"/>
        <v>0</v>
      </c>
      <c r="V36" s="55">
        <f t="shared" si="25"/>
        <v>0</v>
      </c>
    </row>
    <row r="37" spans="1:22">
      <c r="A37" s="169">
        <v>29</v>
      </c>
      <c r="B37" s="170" t="s">
        <v>62</v>
      </c>
      <c r="C37" s="171" t="s">
        <v>63</v>
      </c>
      <c r="D37" s="41">
        <v>67012080707.480003</v>
      </c>
      <c r="E37" s="27">
        <f t="shared" si="28"/>
        <v>1.769258603626777E-2</v>
      </c>
      <c r="F37" s="28">
        <v>100</v>
      </c>
      <c r="G37" s="28">
        <v>100</v>
      </c>
      <c r="H37" s="29">
        <v>4961</v>
      </c>
      <c r="I37" s="47">
        <v>0.20269999999999999</v>
      </c>
      <c r="J37" s="47">
        <v>0.20269999999999999</v>
      </c>
      <c r="K37" s="41">
        <v>67415407111.07</v>
      </c>
      <c r="L37" s="27">
        <f t="shared" si="29"/>
        <v>1.7799072613327867E-2</v>
      </c>
      <c r="M37" s="28">
        <v>100</v>
      </c>
      <c r="N37" s="28">
        <v>100</v>
      </c>
      <c r="O37" s="29">
        <v>5012</v>
      </c>
      <c r="P37" s="47">
        <v>0.2029</v>
      </c>
      <c r="Q37" s="47">
        <v>0.2029</v>
      </c>
      <c r="R37" s="53">
        <f t="shared" si="21"/>
        <v>6.018711840191769E-3</v>
      </c>
      <c r="S37" s="53">
        <f t="shared" si="22"/>
        <v>0</v>
      </c>
      <c r="T37" s="53">
        <f t="shared" si="23"/>
        <v>1.0280185446482563E-2</v>
      </c>
      <c r="U37" s="54">
        <f t="shared" si="24"/>
        <v>2.0000000000000573E-4</v>
      </c>
      <c r="V37" s="55">
        <f t="shared" si="25"/>
        <v>2.0000000000000573E-4</v>
      </c>
    </row>
    <row r="38" spans="1:22">
      <c r="A38" s="169">
        <v>30</v>
      </c>
      <c r="B38" s="170" t="s">
        <v>64</v>
      </c>
      <c r="C38" s="171" t="s">
        <v>65</v>
      </c>
      <c r="D38" s="41">
        <v>26479413891.98</v>
      </c>
      <c r="E38" s="27">
        <f t="shared" si="28"/>
        <v>6.9911171766004658E-3</v>
      </c>
      <c r="F38" s="28">
        <v>100</v>
      </c>
      <c r="G38" s="28">
        <v>100</v>
      </c>
      <c r="H38" s="29">
        <v>5220</v>
      </c>
      <c r="I38" s="47">
        <v>0.20250000000000001</v>
      </c>
      <c r="J38" s="47">
        <v>0.20250000000000001</v>
      </c>
      <c r="K38" s="41">
        <v>26009689994.259998</v>
      </c>
      <c r="L38" s="27">
        <f t="shared" si="29"/>
        <v>6.8671002771703528E-3</v>
      </c>
      <c r="M38" s="28">
        <v>100</v>
      </c>
      <c r="N38" s="28">
        <v>100</v>
      </c>
      <c r="O38" s="29">
        <v>5236</v>
      </c>
      <c r="P38" s="47">
        <v>0.20230000000000001</v>
      </c>
      <c r="Q38" s="47">
        <v>0.20230000000000001</v>
      </c>
      <c r="R38" s="53">
        <f t="shared" si="21"/>
        <v>-1.7739210529213022E-2</v>
      </c>
      <c r="S38" s="53">
        <f t="shared" si="22"/>
        <v>0</v>
      </c>
      <c r="T38" s="53">
        <f t="shared" si="23"/>
        <v>3.0651340996168583E-3</v>
      </c>
      <c r="U38" s="54">
        <f t="shared" si="24"/>
        <v>-2.0000000000000573E-4</v>
      </c>
      <c r="V38" s="55">
        <f t="shared" si="25"/>
        <v>-2.0000000000000573E-4</v>
      </c>
    </row>
    <row r="39" spans="1:22">
      <c r="A39" s="169">
        <v>31</v>
      </c>
      <c r="B39" s="170" t="s">
        <v>66</v>
      </c>
      <c r="C39" s="171" t="s">
        <v>294</v>
      </c>
      <c r="D39" s="41">
        <v>38145625630.169998</v>
      </c>
      <c r="E39" s="27">
        <f t="shared" si="28"/>
        <v>1.0071240233758489E-2</v>
      </c>
      <c r="F39" s="28">
        <v>1</v>
      </c>
      <c r="G39" s="28">
        <v>1</v>
      </c>
      <c r="H39" s="29">
        <v>8791</v>
      </c>
      <c r="I39" s="47">
        <v>0.22570000000000001</v>
      </c>
      <c r="J39" s="47">
        <v>0.22570000000000001</v>
      </c>
      <c r="K39" s="41">
        <v>37160094094.410004</v>
      </c>
      <c r="L39" s="27">
        <f t="shared" si="29"/>
        <v>9.8110393669326584E-3</v>
      </c>
      <c r="M39" s="28">
        <v>1</v>
      </c>
      <c r="N39" s="28">
        <v>1</v>
      </c>
      <c r="O39" s="29">
        <v>9531</v>
      </c>
      <c r="P39" s="47">
        <v>0.1988</v>
      </c>
      <c r="Q39" s="47">
        <v>0.1988</v>
      </c>
      <c r="R39" s="53">
        <f t="shared" si="21"/>
        <v>-2.5836030199502653E-2</v>
      </c>
      <c r="S39" s="53">
        <f t="shared" si="22"/>
        <v>0</v>
      </c>
      <c r="T39" s="53">
        <f t="shared" si="23"/>
        <v>8.417699920373109E-2</v>
      </c>
      <c r="U39" s="54">
        <f t="shared" si="24"/>
        <v>-2.6900000000000007E-2</v>
      </c>
      <c r="V39" s="55">
        <f t="shared" si="25"/>
        <v>-2.6900000000000007E-2</v>
      </c>
    </row>
    <row r="40" spans="1:22">
      <c r="A40" s="169">
        <v>32</v>
      </c>
      <c r="B40" s="170" t="s">
        <v>319</v>
      </c>
      <c r="C40" s="171" t="s">
        <v>94</v>
      </c>
      <c r="D40" s="41">
        <v>409955338.41000003</v>
      </c>
      <c r="E40" s="27">
        <v>0</v>
      </c>
      <c r="F40" s="28">
        <v>1000</v>
      </c>
      <c r="G40" s="28">
        <v>1000</v>
      </c>
      <c r="H40" s="29">
        <v>24</v>
      </c>
      <c r="I40" s="47">
        <v>0.18110000000000001</v>
      </c>
      <c r="J40" s="47">
        <v>0.18110000000000001</v>
      </c>
      <c r="K40" s="41">
        <v>431136034.75</v>
      </c>
      <c r="L40" s="27">
        <f t="shared" si="29"/>
        <v>1.1382889932110802E-4</v>
      </c>
      <c r="M40" s="28">
        <v>1000</v>
      </c>
      <c r="N40" s="28">
        <v>1000</v>
      </c>
      <c r="O40" s="29">
        <v>28</v>
      </c>
      <c r="P40" s="47">
        <v>0.19359999999999999</v>
      </c>
      <c r="Q40" s="47">
        <v>0.19359999999999999</v>
      </c>
      <c r="R40" s="53">
        <f t="shared" si="21"/>
        <v>5.1665862974607658E-2</v>
      </c>
      <c r="S40" s="53">
        <f t="shared" si="22"/>
        <v>0</v>
      </c>
      <c r="T40" s="53">
        <f t="shared" si="23"/>
        <v>0.16666666666666666</v>
      </c>
      <c r="U40" s="54">
        <f t="shared" si="24"/>
        <v>1.2499999999999983E-2</v>
      </c>
      <c r="V40" s="55">
        <f t="shared" si="25"/>
        <v>1.2499999999999983E-2</v>
      </c>
    </row>
    <row r="41" spans="1:22">
      <c r="A41" s="169">
        <v>33</v>
      </c>
      <c r="B41" s="170" t="s">
        <v>67</v>
      </c>
      <c r="C41" s="171" t="s">
        <v>68</v>
      </c>
      <c r="D41" s="41">
        <v>79078740372.399994</v>
      </c>
      <c r="E41" s="27">
        <f t="shared" si="28"/>
        <v>2.0878435692598896E-2</v>
      </c>
      <c r="F41" s="42">
        <v>100</v>
      </c>
      <c r="G41" s="42">
        <v>100</v>
      </c>
      <c r="H41" s="29">
        <v>4168</v>
      </c>
      <c r="I41" s="47">
        <v>0.1946</v>
      </c>
      <c r="J41" s="47">
        <v>0.1946</v>
      </c>
      <c r="K41" s="41">
        <v>79769991883.080002</v>
      </c>
      <c r="L41" s="27">
        <f t="shared" si="29"/>
        <v>2.1060940499139563E-2</v>
      </c>
      <c r="M41" s="42">
        <v>100</v>
      </c>
      <c r="N41" s="42">
        <v>100</v>
      </c>
      <c r="O41" s="29">
        <v>4301</v>
      </c>
      <c r="P41" s="47">
        <v>0.19409999999999999</v>
      </c>
      <c r="Q41" s="47">
        <v>0.19409999999999999</v>
      </c>
      <c r="R41" s="53">
        <f t="shared" si="21"/>
        <v>8.7413065436392316E-3</v>
      </c>
      <c r="S41" s="53">
        <f t="shared" si="22"/>
        <v>0</v>
      </c>
      <c r="T41" s="53">
        <f t="shared" si="23"/>
        <v>3.1909788867562378E-2</v>
      </c>
      <c r="U41" s="54">
        <f t="shared" si="24"/>
        <v>-5.0000000000000044E-4</v>
      </c>
      <c r="V41" s="55">
        <f t="shared" si="25"/>
        <v>-5.0000000000000044E-4</v>
      </c>
    </row>
    <row r="42" spans="1:22">
      <c r="A42" s="169">
        <v>34</v>
      </c>
      <c r="B42" s="170" t="s">
        <v>69</v>
      </c>
      <c r="C42" s="171" t="s">
        <v>68</v>
      </c>
      <c r="D42" s="41">
        <v>10652488677.49</v>
      </c>
      <c r="E42" s="27">
        <f t="shared" si="28"/>
        <v>2.8124790401534679E-3</v>
      </c>
      <c r="F42" s="42">
        <v>1000000</v>
      </c>
      <c r="G42" s="42">
        <v>1000000</v>
      </c>
      <c r="H42" s="29">
        <v>40</v>
      </c>
      <c r="I42" s="47">
        <v>0.20100000000000001</v>
      </c>
      <c r="J42" s="47">
        <v>0.20100000000000001</v>
      </c>
      <c r="K42" s="41">
        <v>10582379461.790001</v>
      </c>
      <c r="L42" s="27">
        <f t="shared" si="29"/>
        <v>2.7939687459257435E-3</v>
      </c>
      <c r="M42" s="42">
        <v>1000000</v>
      </c>
      <c r="N42" s="42">
        <v>1000000</v>
      </c>
      <c r="O42" s="29">
        <v>45</v>
      </c>
      <c r="P42" s="47">
        <v>0.20219999999999999</v>
      </c>
      <c r="Q42" s="47">
        <v>0.20219999999999999</v>
      </c>
      <c r="R42" s="53">
        <f t="shared" si="21"/>
        <v>-6.581486995442495E-3</v>
      </c>
      <c r="S42" s="53">
        <f t="shared" si="22"/>
        <v>0</v>
      </c>
      <c r="T42" s="53">
        <f t="shared" si="23"/>
        <v>0.125</v>
      </c>
      <c r="U42" s="54">
        <f t="shared" si="24"/>
        <v>1.1999999999999789E-3</v>
      </c>
      <c r="V42" s="55">
        <f t="shared" si="25"/>
        <v>1.1999999999999789E-3</v>
      </c>
    </row>
    <row r="43" spans="1:22">
      <c r="A43" s="169">
        <v>35</v>
      </c>
      <c r="B43" s="170" t="s">
        <v>70</v>
      </c>
      <c r="C43" s="171" t="s">
        <v>71</v>
      </c>
      <c r="D43" s="41">
        <v>6751686419.8400002</v>
      </c>
      <c r="E43" s="27">
        <f t="shared" si="28"/>
        <v>1.7825859399048054E-3</v>
      </c>
      <c r="F43" s="28">
        <v>1</v>
      </c>
      <c r="G43" s="28">
        <v>1</v>
      </c>
      <c r="H43" s="29">
        <v>1020</v>
      </c>
      <c r="I43" s="47">
        <v>0.2059</v>
      </c>
      <c r="J43" s="47">
        <v>0.2059</v>
      </c>
      <c r="K43" s="41">
        <v>6764335461.9300003</v>
      </c>
      <c r="L43" s="27">
        <f t="shared" si="29"/>
        <v>1.7859255506599259E-3</v>
      </c>
      <c r="M43" s="28">
        <v>1</v>
      </c>
      <c r="N43" s="28">
        <v>1</v>
      </c>
      <c r="O43" s="29">
        <v>1034</v>
      </c>
      <c r="P43" s="47">
        <v>0.2001</v>
      </c>
      <c r="Q43" s="47">
        <v>0.2001</v>
      </c>
      <c r="R43" s="53">
        <f t="shared" si="21"/>
        <v>1.8734640952563532E-3</v>
      </c>
      <c r="S43" s="53">
        <f t="shared" si="22"/>
        <v>0</v>
      </c>
      <c r="T43" s="53">
        <f t="shared" si="23"/>
        <v>1.3725490196078431E-2</v>
      </c>
      <c r="U43" s="54">
        <f t="shared" si="24"/>
        <v>-5.7999999999999996E-3</v>
      </c>
      <c r="V43" s="55">
        <f t="shared" si="25"/>
        <v>-5.7999999999999996E-3</v>
      </c>
    </row>
    <row r="44" spans="1:22">
      <c r="A44" s="169">
        <v>36</v>
      </c>
      <c r="B44" s="170" t="s">
        <v>72</v>
      </c>
      <c r="C44" s="171" t="s">
        <v>315</v>
      </c>
      <c r="D44" s="41">
        <v>597371148306.35999</v>
      </c>
      <c r="E44" s="27">
        <f t="shared" si="28"/>
        <v>0.15771843413025993</v>
      </c>
      <c r="F44" s="28">
        <v>100</v>
      </c>
      <c r="G44" s="28">
        <v>100</v>
      </c>
      <c r="H44" s="29">
        <v>15525</v>
      </c>
      <c r="I44" s="47">
        <v>0.19750000000000001</v>
      </c>
      <c r="J44" s="47">
        <v>0.19750000000000001</v>
      </c>
      <c r="K44" s="41">
        <v>598200609851.16003</v>
      </c>
      <c r="L44" s="27">
        <f t="shared" si="29"/>
        <v>0.15793742926651322</v>
      </c>
      <c r="M44" s="28">
        <v>100</v>
      </c>
      <c r="N44" s="28">
        <v>100</v>
      </c>
      <c r="O44" s="29">
        <v>15512</v>
      </c>
      <c r="P44" s="47">
        <v>0.1993</v>
      </c>
      <c r="Q44" s="47">
        <v>0.1993</v>
      </c>
      <c r="R44" s="53">
        <f t="shared" si="21"/>
        <v>1.3885195948142141E-3</v>
      </c>
      <c r="S44" s="53">
        <f t="shared" si="22"/>
        <v>0</v>
      </c>
      <c r="T44" s="53">
        <f t="shared" si="23"/>
        <v>-8.3735909822866346E-4</v>
      </c>
      <c r="U44" s="54">
        <f t="shared" si="24"/>
        <v>1.799999999999996E-3</v>
      </c>
      <c r="V44" s="55">
        <f t="shared" si="25"/>
        <v>1.799999999999996E-3</v>
      </c>
    </row>
    <row r="45" spans="1:22">
      <c r="A45" s="169">
        <v>37</v>
      </c>
      <c r="B45" s="170" t="s">
        <v>73</v>
      </c>
      <c r="C45" s="171" t="s">
        <v>74</v>
      </c>
      <c r="D45" s="41">
        <v>2527166788</v>
      </c>
      <c r="E45" s="27">
        <f t="shared" si="28"/>
        <v>6.6722470564471855E-4</v>
      </c>
      <c r="F45" s="28">
        <v>1</v>
      </c>
      <c r="G45" s="28">
        <v>1</v>
      </c>
      <c r="H45" s="43">
        <v>1479</v>
      </c>
      <c r="I45" s="50">
        <v>0.20319999999999999</v>
      </c>
      <c r="J45" s="50">
        <v>0.20319999999999999</v>
      </c>
      <c r="K45" s="41">
        <v>2651085934.6799998</v>
      </c>
      <c r="L45" s="27">
        <f t="shared" si="29"/>
        <v>6.9994194320890089E-4</v>
      </c>
      <c r="M45" s="28">
        <v>1</v>
      </c>
      <c r="N45" s="28">
        <v>1</v>
      </c>
      <c r="O45" s="43">
        <v>1496</v>
      </c>
      <c r="P45" s="50">
        <v>0.2009</v>
      </c>
      <c r="Q45" s="50">
        <v>0.2009</v>
      </c>
      <c r="R45" s="53">
        <f t="shared" si="21"/>
        <v>4.9034811342257886E-2</v>
      </c>
      <c r="S45" s="53">
        <f t="shared" si="22"/>
        <v>0</v>
      </c>
      <c r="T45" s="53">
        <f t="shared" si="23"/>
        <v>1.1494252873563218E-2</v>
      </c>
      <c r="U45" s="54">
        <f t="shared" si="24"/>
        <v>-2.2999999999999965E-3</v>
      </c>
      <c r="V45" s="55">
        <f t="shared" si="25"/>
        <v>-2.2999999999999965E-3</v>
      </c>
    </row>
    <row r="46" spans="1:22">
      <c r="A46" s="169">
        <v>38</v>
      </c>
      <c r="B46" s="170" t="s">
        <v>296</v>
      </c>
      <c r="C46" s="171" t="s">
        <v>297</v>
      </c>
      <c r="D46" s="41">
        <v>1998160555.24</v>
      </c>
      <c r="E46" s="27">
        <f t="shared" si="28"/>
        <v>5.2755603414526061E-4</v>
      </c>
      <c r="F46" s="28">
        <v>1</v>
      </c>
      <c r="G46" s="28">
        <v>1</v>
      </c>
      <c r="H46" s="43">
        <v>334</v>
      </c>
      <c r="I46" s="50">
        <v>0.2054</v>
      </c>
      <c r="J46" s="50">
        <v>0.2054</v>
      </c>
      <c r="K46" s="41">
        <v>1978115341.22</v>
      </c>
      <c r="L46" s="27">
        <f t="shared" si="29"/>
        <v>5.2226367984257343E-4</v>
      </c>
      <c r="M46" s="28">
        <v>1</v>
      </c>
      <c r="N46" s="28">
        <v>1</v>
      </c>
      <c r="O46" s="43">
        <v>334</v>
      </c>
      <c r="P46" s="50">
        <v>0.19389999999999999</v>
      </c>
      <c r="Q46" s="50">
        <v>0.19389999999999999</v>
      </c>
      <c r="R46" s="53">
        <f t="shared" si="21"/>
        <v>-1.0031833511793221E-2</v>
      </c>
      <c r="S46" s="53">
        <f t="shared" si="22"/>
        <v>0</v>
      </c>
      <c r="T46" s="53">
        <f t="shared" si="23"/>
        <v>0</v>
      </c>
      <c r="U46" s="54">
        <f t="shared" si="24"/>
        <v>-1.150000000000001E-2</v>
      </c>
      <c r="V46" s="55">
        <f t="shared" si="25"/>
        <v>-1.150000000000001E-2</v>
      </c>
    </row>
    <row r="47" spans="1:22">
      <c r="A47" s="169">
        <v>39</v>
      </c>
      <c r="B47" s="170" t="s">
        <v>75</v>
      </c>
      <c r="C47" s="171" t="s">
        <v>76</v>
      </c>
      <c r="D47" s="41">
        <v>1206635869.0999999</v>
      </c>
      <c r="E47" s="27">
        <f t="shared" si="28"/>
        <v>3.185770192943065E-4</v>
      </c>
      <c r="F47" s="28">
        <v>10</v>
      </c>
      <c r="G47" s="28">
        <v>10</v>
      </c>
      <c r="H47" s="29">
        <v>480</v>
      </c>
      <c r="I47" s="47">
        <v>0.18</v>
      </c>
      <c r="J47" s="47">
        <v>0.18</v>
      </c>
      <c r="K47" s="41">
        <v>1202619497.9400001</v>
      </c>
      <c r="L47" s="27">
        <f t="shared" si="29"/>
        <v>3.1751661359504055E-4</v>
      </c>
      <c r="M47" s="28">
        <v>10</v>
      </c>
      <c r="N47" s="28">
        <v>10</v>
      </c>
      <c r="O47" s="29">
        <v>485</v>
      </c>
      <c r="P47" s="47">
        <v>0.18160000000000001</v>
      </c>
      <c r="Q47" s="47">
        <v>0.18160000000000001</v>
      </c>
      <c r="R47" s="53">
        <f t="shared" si="21"/>
        <v>-3.3285693413005867E-3</v>
      </c>
      <c r="S47" s="53">
        <f t="shared" si="22"/>
        <v>0</v>
      </c>
      <c r="T47" s="53">
        <f t="shared" si="23"/>
        <v>1.0416666666666666E-2</v>
      </c>
      <c r="U47" s="54">
        <f t="shared" si="24"/>
        <v>1.6000000000000181E-3</v>
      </c>
      <c r="V47" s="55">
        <f t="shared" si="25"/>
        <v>1.6000000000000181E-3</v>
      </c>
    </row>
    <row r="48" spans="1:22">
      <c r="A48" s="169">
        <v>40</v>
      </c>
      <c r="B48" s="170" t="s">
        <v>77</v>
      </c>
      <c r="C48" s="171" t="s">
        <v>78</v>
      </c>
      <c r="D48" s="41">
        <v>8154528891.04</v>
      </c>
      <c r="E48" s="27">
        <f t="shared" si="28"/>
        <v>2.1529655916780422E-3</v>
      </c>
      <c r="F48" s="28">
        <v>100</v>
      </c>
      <c r="G48" s="28">
        <v>100</v>
      </c>
      <c r="H48" s="29">
        <v>950</v>
      </c>
      <c r="I48" s="47">
        <v>0.18429999999999999</v>
      </c>
      <c r="J48" s="47">
        <v>0.18429999999999999</v>
      </c>
      <c r="K48" s="41">
        <v>8287555286.2600002</v>
      </c>
      <c r="L48" s="27">
        <f t="shared" si="29"/>
        <v>2.1880873326787166E-3</v>
      </c>
      <c r="M48" s="28">
        <v>100</v>
      </c>
      <c r="N48" s="28">
        <v>100</v>
      </c>
      <c r="O48" s="29">
        <v>1731</v>
      </c>
      <c r="P48" s="47">
        <v>0.18410000000000001</v>
      </c>
      <c r="Q48" s="47">
        <v>0.18410000000000001</v>
      </c>
      <c r="R48" s="53">
        <f t="shared" si="21"/>
        <v>1.6313191969454726E-2</v>
      </c>
      <c r="S48" s="53">
        <f t="shared" si="22"/>
        <v>0</v>
      </c>
      <c r="T48" s="53">
        <f t="shared" si="23"/>
        <v>0.82210526315789478</v>
      </c>
      <c r="U48" s="54">
        <f t="shared" si="24"/>
        <v>-1.9999999999997797E-4</v>
      </c>
      <c r="V48" s="55">
        <f t="shared" si="25"/>
        <v>-1.9999999999997797E-4</v>
      </c>
    </row>
    <row r="49" spans="1:22">
      <c r="A49" s="169">
        <v>41</v>
      </c>
      <c r="B49" s="170" t="s">
        <v>79</v>
      </c>
      <c r="C49" s="170" t="s">
        <v>80</v>
      </c>
      <c r="D49" s="128">
        <v>113226608.824811</v>
      </c>
      <c r="E49" s="27">
        <f>(D49/$D$194)</f>
        <v>1.497700952835482E-3</v>
      </c>
      <c r="F49" s="30">
        <v>1</v>
      </c>
      <c r="G49" s="30">
        <v>1</v>
      </c>
      <c r="H49" s="29">
        <v>118</v>
      </c>
      <c r="I49" s="47">
        <v>0.17230000000000001</v>
      </c>
      <c r="J49" s="47">
        <v>0.17230000000000001</v>
      </c>
      <c r="K49" s="128">
        <v>114061314.89</v>
      </c>
      <c r="L49" s="51">
        <f>(K49/$K$194)</f>
        <v>1.5124925930038893E-3</v>
      </c>
      <c r="M49" s="30">
        <v>1</v>
      </c>
      <c r="N49" s="30">
        <v>1</v>
      </c>
      <c r="O49" s="29">
        <v>129</v>
      </c>
      <c r="P49" s="47">
        <v>0.17230000000000001</v>
      </c>
      <c r="Q49" s="47">
        <v>0.17230000000000001</v>
      </c>
      <c r="R49" s="54">
        <f t="shared" si="21"/>
        <v>7.3719956276399349E-3</v>
      </c>
      <c r="S49" s="54">
        <f t="shared" si="22"/>
        <v>0</v>
      </c>
      <c r="T49" s="54">
        <f t="shared" si="23"/>
        <v>9.3220338983050849E-2</v>
      </c>
      <c r="U49" s="54">
        <f t="shared" si="24"/>
        <v>0</v>
      </c>
      <c r="V49" s="55">
        <f t="shared" si="25"/>
        <v>0</v>
      </c>
    </row>
    <row r="50" spans="1:22">
      <c r="A50" s="169">
        <v>42</v>
      </c>
      <c r="B50" s="170" t="s">
        <v>283</v>
      </c>
      <c r="C50" s="171" t="s">
        <v>35</v>
      </c>
      <c r="D50" s="41">
        <v>605392836.88</v>
      </c>
      <c r="E50" s="27">
        <f t="shared" ref="E50" si="30">(D50/$K$70)</f>
        <v>1.5983632710936019E-4</v>
      </c>
      <c r="F50" s="28">
        <v>100</v>
      </c>
      <c r="G50" s="28">
        <v>100</v>
      </c>
      <c r="H50" s="29">
        <v>4081</v>
      </c>
      <c r="I50" s="47">
        <v>0.1888</v>
      </c>
      <c r="J50" s="47">
        <v>0.1888</v>
      </c>
      <c r="K50" s="41">
        <v>606286108.65999997</v>
      </c>
      <c r="L50" s="27">
        <f t="shared" ref="L50" si="31">(K50/$K$70)</f>
        <v>1.6007216947769984E-4</v>
      </c>
      <c r="M50" s="28">
        <v>100</v>
      </c>
      <c r="N50" s="28">
        <v>100</v>
      </c>
      <c r="O50" s="29">
        <v>4114</v>
      </c>
      <c r="P50" s="47">
        <v>0.1845</v>
      </c>
      <c r="Q50" s="47">
        <v>0.1875</v>
      </c>
      <c r="R50" s="53">
        <f t="shared" ref="R50" si="32">((K50-D50)/D50)</f>
        <v>1.4755241978144421E-3</v>
      </c>
      <c r="S50" s="53">
        <f t="shared" ref="S50" si="33">((N50-G50)/G50)</f>
        <v>0</v>
      </c>
      <c r="T50" s="53">
        <f t="shared" ref="T50" si="34">((O50-H50)/H50)</f>
        <v>8.0862533692722376E-3</v>
      </c>
      <c r="U50" s="54">
        <f t="shared" ref="U50" si="35">P50-I50</f>
        <v>-4.2999999999999983E-3</v>
      </c>
      <c r="V50" s="55">
        <f t="shared" ref="V50" si="36">Q50-J50</f>
        <v>-1.2999999999999956E-3</v>
      </c>
    </row>
    <row r="51" spans="1:22">
      <c r="A51" s="169">
        <v>43</v>
      </c>
      <c r="B51" s="170" t="s">
        <v>81</v>
      </c>
      <c r="C51" s="171" t="s">
        <v>35</v>
      </c>
      <c r="D51" s="41">
        <v>140341928181.75</v>
      </c>
      <c r="E51" s="27">
        <f t="shared" ref="E51:E69" si="37">(D51/$K$70)</f>
        <v>3.7053194179869214E-2</v>
      </c>
      <c r="F51" s="28">
        <v>100</v>
      </c>
      <c r="G51" s="28">
        <v>100</v>
      </c>
      <c r="H51" s="29">
        <v>15530</v>
      </c>
      <c r="I51" s="47">
        <v>0.20569999999999999</v>
      </c>
      <c r="J51" s="47">
        <v>0.20569999999999999</v>
      </c>
      <c r="K51" s="41">
        <v>145470291349.70001</v>
      </c>
      <c r="L51" s="27">
        <f t="shared" ref="L51:L69" si="38">(K51/$K$70)</f>
        <v>3.840718894642859E-2</v>
      </c>
      <c r="M51" s="28">
        <v>100</v>
      </c>
      <c r="N51" s="28">
        <v>100</v>
      </c>
      <c r="O51" s="29">
        <v>16118</v>
      </c>
      <c r="P51" s="47">
        <v>0.20030000000000001</v>
      </c>
      <c r="Q51" s="47">
        <v>0.20030000000000001</v>
      </c>
      <c r="R51" s="53">
        <f t="shared" si="21"/>
        <v>3.6541917546611721E-2</v>
      </c>
      <c r="S51" s="53">
        <f t="shared" si="22"/>
        <v>0</v>
      </c>
      <c r="T51" s="53">
        <f t="shared" si="23"/>
        <v>3.7862202189311009E-2</v>
      </c>
      <c r="U51" s="54">
        <f t="shared" si="24"/>
        <v>-5.3999999999999881E-3</v>
      </c>
      <c r="V51" s="55">
        <f t="shared" si="25"/>
        <v>-5.3999999999999881E-3</v>
      </c>
    </row>
    <row r="52" spans="1:22">
      <c r="A52" s="169">
        <v>44</v>
      </c>
      <c r="B52" s="170" t="s">
        <v>82</v>
      </c>
      <c r="C52" s="171" t="s">
        <v>39</v>
      </c>
      <c r="D52" s="41">
        <v>31054579882.07</v>
      </c>
      <c r="E52" s="27">
        <f t="shared" si="37"/>
        <v>8.1990563579433032E-3</v>
      </c>
      <c r="F52" s="28">
        <v>1</v>
      </c>
      <c r="G52" s="28">
        <v>1</v>
      </c>
      <c r="H52" s="29">
        <v>2199</v>
      </c>
      <c r="I52" s="47">
        <v>0.19839999999999999</v>
      </c>
      <c r="J52" s="47">
        <v>0.19839999999999999</v>
      </c>
      <c r="K52" s="41">
        <v>31054579882.07</v>
      </c>
      <c r="L52" s="27">
        <f t="shared" si="38"/>
        <v>8.1990563579433032E-3</v>
      </c>
      <c r="M52" s="28">
        <v>1</v>
      </c>
      <c r="N52" s="28">
        <v>1</v>
      </c>
      <c r="O52" s="29">
        <v>2217</v>
      </c>
      <c r="P52" s="47">
        <v>0.19800000000000001</v>
      </c>
      <c r="Q52" s="47">
        <v>0.19800000000000001</v>
      </c>
      <c r="R52" s="53">
        <f t="shared" si="21"/>
        <v>0</v>
      </c>
      <c r="S52" s="53">
        <f t="shared" si="22"/>
        <v>0</v>
      </c>
      <c r="T52" s="53">
        <f t="shared" si="23"/>
        <v>8.1855388813096858E-3</v>
      </c>
      <c r="U52" s="54">
        <f t="shared" si="24"/>
        <v>-3.999999999999837E-4</v>
      </c>
      <c r="V52" s="55">
        <f t="shared" si="25"/>
        <v>-3.999999999999837E-4</v>
      </c>
    </row>
    <row r="53" spans="1:22">
      <c r="A53" s="169">
        <v>45</v>
      </c>
      <c r="B53" s="170" t="s">
        <v>307</v>
      </c>
      <c r="C53" s="171" t="s">
        <v>306</v>
      </c>
      <c r="D53" s="41">
        <v>3848981682.3699999</v>
      </c>
      <c r="E53" s="27">
        <f t="shared" si="37"/>
        <v>1.0162113882810481E-3</v>
      </c>
      <c r="F53" s="28">
        <v>100</v>
      </c>
      <c r="G53" s="28">
        <v>100</v>
      </c>
      <c r="H53" s="29">
        <v>199</v>
      </c>
      <c r="I53" s="47">
        <v>0.20330000000000001</v>
      </c>
      <c r="J53" s="47">
        <v>0.20330000000000001</v>
      </c>
      <c r="K53" s="41">
        <v>4031727232.3699999</v>
      </c>
      <c r="L53" s="27">
        <f t="shared" si="38"/>
        <v>1.0644600224375333E-3</v>
      </c>
      <c r="M53" s="28">
        <v>100</v>
      </c>
      <c r="N53" s="28">
        <v>100</v>
      </c>
      <c r="O53" s="29">
        <v>199</v>
      </c>
      <c r="P53" s="47">
        <v>0.2046</v>
      </c>
      <c r="Q53" s="47">
        <v>0.2046</v>
      </c>
      <c r="R53" s="53">
        <f t="shared" si="21"/>
        <v>4.7478934710719366E-2</v>
      </c>
      <c r="S53" s="53">
        <f t="shared" si="22"/>
        <v>0</v>
      </c>
      <c r="T53" s="53">
        <f t="shared" si="23"/>
        <v>0</v>
      </c>
      <c r="U53" s="54">
        <f t="shared" si="24"/>
        <v>1.2999999999999956E-3</v>
      </c>
      <c r="V53" s="55">
        <f t="shared" si="25"/>
        <v>1.2999999999999956E-3</v>
      </c>
    </row>
    <row r="54" spans="1:22">
      <c r="A54" s="169">
        <v>46</v>
      </c>
      <c r="B54" s="170" t="s">
        <v>83</v>
      </c>
      <c r="C54" s="171" t="s">
        <v>41</v>
      </c>
      <c r="D54" s="44">
        <v>58047639536.639999</v>
      </c>
      <c r="E54" s="27">
        <f t="shared" si="37"/>
        <v>1.5325786721760824E-2</v>
      </c>
      <c r="F54" s="28">
        <v>10</v>
      </c>
      <c r="G54" s="28">
        <v>10</v>
      </c>
      <c r="H54" s="29">
        <v>6344</v>
      </c>
      <c r="I54" s="47">
        <v>0.21790000000000001</v>
      </c>
      <c r="J54" s="47">
        <v>0.21790000000000001</v>
      </c>
      <c r="K54" s="44">
        <v>57215857615.199997</v>
      </c>
      <c r="L54" s="27">
        <f t="shared" si="38"/>
        <v>1.5106178957711099E-2</v>
      </c>
      <c r="M54" s="28">
        <v>10</v>
      </c>
      <c r="N54" s="28">
        <v>10</v>
      </c>
      <c r="O54" s="29">
        <v>6497</v>
      </c>
      <c r="P54" s="47">
        <v>0.21790000000000001</v>
      </c>
      <c r="Q54" s="47">
        <v>0.21790000000000001</v>
      </c>
      <c r="R54" s="53">
        <f t="shared" si="21"/>
        <v>-1.4329297936653858E-2</v>
      </c>
      <c r="S54" s="53">
        <f t="shared" si="22"/>
        <v>0</v>
      </c>
      <c r="T54" s="53">
        <f t="shared" si="23"/>
        <v>2.4117276166456494E-2</v>
      </c>
      <c r="U54" s="54">
        <f t="shared" si="24"/>
        <v>0</v>
      </c>
      <c r="V54" s="55">
        <f t="shared" si="25"/>
        <v>0</v>
      </c>
    </row>
    <row r="55" spans="1:22">
      <c r="A55" s="169">
        <v>47</v>
      </c>
      <c r="B55" s="170" t="s">
        <v>84</v>
      </c>
      <c r="C55" s="171" t="s">
        <v>85</v>
      </c>
      <c r="D55" s="41">
        <v>25598851230</v>
      </c>
      <c r="E55" s="27">
        <f t="shared" si="37"/>
        <v>6.7586302803136124E-3</v>
      </c>
      <c r="F55" s="28">
        <v>100</v>
      </c>
      <c r="G55" s="28">
        <v>100</v>
      </c>
      <c r="H55" s="29">
        <v>4717</v>
      </c>
      <c r="I55" s="47">
        <v>0.1973</v>
      </c>
      <c r="J55" s="47">
        <v>0.1973</v>
      </c>
      <c r="K55" s="41">
        <v>26665931641</v>
      </c>
      <c r="L55" s="27">
        <f t="shared" si="38"/>
        <v>7.0403617499219893E-3</v>
      </c>
      <c r="M55" s="28">
        <v>100</v>
      </c>
      <c r="N55" s="28">
        <v>100</v>
      </c>
      <c r="O55" s="29">
        <v>4752</v>
      </c>
      <c r="P55" s="47">
        <v>0.2006</v>
      </c>
      <c r="Q55" s="47">
        <v>0.2006</v>
      </c>
      <c r="R55" s="53">
        <f t="shared" si="21"/>
        <v>4.168469910671066E-2</v>
      </c>
      <c r="S55" s="53">
        <f t="shared" si="22"/>
        <v>0</v>
      </c>
      <c r="T55" s="53">
        <f t="shared" si="23"/>
        <v>7.4199703201187194E-3</v>
      </c>
      <c r="U55" s="54">
        <f t="shared" si="24"/>
        <v>3.2999999999999974E-3</v>
      </c>
      <c r="V55" s="55">
        <f t="shared" si="25"/>
        <v>3.2999999999999974E-3</v>
      </c>
    </row>
    <row r="56" spans="1:22">
      <c r="A56" s="169">
        <v>48</v>
      </c>
      <c r="B56" s="170" t="s">
        <v>86</v>
      </c>
      <c r="C56" s="171" t="s">
        <v>87</v>
      </c>
      <c r="D56" s="41">
        <v>263943966.61000001</v>
      </c>
      <c r="E56" s="27">
        <f t="shared" si="37"/>
        <v>6.9686708556117937E-5</v>
      </c>
      <c r="F56" s="28">
        <v>1</v>
      </c>
      <c r="G56" s="28">
        <v>1</v>
      </c>
      <c r="H56" s="29">
        <v>103</v>
      </c>
      <c r="I56" s="47">
        <v>0.17399999999999999</v>
      </c>
      <c r="J56" s="47">
        <v>0.17399999999999999</v>
      </c>
      <c r="K56" s="41">
        <v>250096084.11000001</v>
      </c>
      <c r="L56" s="27">
        <f t="shared" si="38"/>
        <v>6.6030578945385992E-5</v>
      </c>
      <c r="M56" s="28">
        <v>1</v>
      </c>
      <c r="N56" s="28">
        <v>1</v>
      </c>
      <c r="O56" s="29">
        <v>97</v>
      </c>
      <c r="P56" s="47">
        <v>0.17530000000000001</v>
      </c>
      <c r="Q56" s="47">
        <v>0.17530000000000001</v>
      </c>
      <c r="R56" s="53">
        <f t="shared" si="21"/>
        <v>-5.246523600390321E-2</v>
      </c>
      <c r="S56" s="53">
        <f t="shared" si="22"/>
        <v>0</v>
      </c>
      <c r="T56" s="53">
        <f t="shared" si="23"/>
        <v>-5.8252427184466021E-2</v>
      </c>
      <c r="U56" s="54">
        <f t="shared" si="24"/>
        <v>1.3000000000000234E-3</v>
      </c>
      <c r="V56" s="55">
        <f t="shared" si="25"/>
        <v>1.3000000000000234E-3</v>
      </c>
    </row>
    <row r="57" spans="1:22">
      <c r="A57" s="169">
        <v>49</v>
      </c>
      <c r="B57" s="170" t="s">
        <v>88</v>
      </c>
      <c r="C57" s="171" t="s">
        <v>43</v>
      </c>
      <c r="D57" s="44">
        <v>1637395374.46</v>
      </c>
      <c r="E57" s="27">
        <f t="shared" si="37"/>
        <v>4.3230650700847105E-4</v>
      </c>
      <c r="F57" s="28">
        <v>10</v>
      </c>
      <c r="G57" s="28">
        <v>10</v>
      </c>
      <c r="H57" s="29">
        <v>852</v>
      </c>
      <c r="I57" s="47">
        <v>0.18890000000000001</v>
      </c>
      <c r="J57" s="47">
        <v>0.18890000000000001</v>
      </c>
      <c r="K57" s="44">
        <v>1767641879.04</v>
      </c>
      <c r="L57" s="27">
        <f t="shared" si="38"/>
        <v>4.6669429893906206E-4</v>
      </c>
      <c r="M57" s="28">
        <v>10</v>
      </c>
      <c r="N57" s="28">
        <v>10</v>
      </c>
      <c r="O57" s="29">
        <v>860</v>
      </c>
      <c r="P57" s="47">
        <v>0.18870000000000001</v>
      </c>
      <c r="Q57" s="47">
        <v>0.18870000000000001</v>
      </c>
      <c r="R57" s="53">
        <f t="shared" si="21"/>
        <v>7.9544932526118925E-2</v>
      </c>
      <c r="S57" s="53">
        <f t="shared" si="22"/>
        <v>0</v>
      </c>
      <c r="T57" s="53">
        <f t="shared" si="23"/>
        <v>9.3896713615023476E-3</v>
      </c>
      <c r="U57" s="54">
        <f t="shared" si="24"/>
        <v>-2.0000000000000573E-4</v>
      </c>
      <c r="V57" s="55">
        <f t="shared" si="25"/>
        <v>-2.0000000000000573E-4</v>
      </c>
    </row>
    <row r="58" spans="1:22">
      <c r="A58" s="169">
        <v>50</v>
      </c>
      <c r="B58" s="170" t="s">
        <v>89</v>
      </c>
      <c r="C58" s="171" t="s">
        <v>90</v>
      </c>
      <c r="D58" s="44">
        <v>916320700</v>
      </c>
      <c r="E58" s="27">
        <f t="shared" si="37"/>
        <v>2.4192776362715577E-4</v>
      </c>
      <c r="F58" s="28">
        <v>1</v>
      </c>
      <c r="G58" s="28">
        <v>1</v>
      </c>
      <c r="H58" s="29">
        <v>133</v>
      </c>
      <c r="I58" s="47">
        <v>0.22070000000000001</v>
      </c>
      <c r="J58" s="47">
        <v>0.22070000000000001</v>
      </c>
      <c r="K58" s="44">
        <v>952597765</v>
      </c>
      <c r="L58" s="27">
        <f t="shared" si="38"/>
        <v>2.5150566490823233E-4</v>
      </c>
      <c r="M58" s="28">
        <v>1</v>
      </c>
      <c r="N58" s="28">
        <v>1</v>
      </c>
      <c r="O58" s="29">
        <v>134</v>
      </c>
      <c r="P58" s="47">
        <v>0.19020000000000001</v>
      </c>
      <c r="Q58" s="47">
        <v>0.19020000000000001</v>
      </c>
      <c r="R58" s="53">
        <f t="shared" si="21"/>
        <v>3.9589921956363093E-2</v>
      </c>
      <c r="S58" s="53">
        <f t="shared" si="22"/>
        <v>0</v>
      </c>
      <c r="T58" s="53">
        <f t="shared" si="23"/>
        <v>7.5187969924812026E-3</v>
      </c>
      <c r="U58" s="54">
        <f t="shared" si="24"/>
        <v>-3.0499999999999999E-2</v>
      </c>
      <c r="V58" s="55">
        <f t="shared" si="25"/>
        <v>-3.0499999999999999E-2</v>
      </c>
    </row>
    <row r="59" spans="1:22">
      <c r="A59" s="169">
        <v>51</v>
      </c>
      <c r="B59" s="170" t="s">
        <v>302</v>
      </c>
      <c r="C59" s="171" t="s">
        <v>301</v>
      </c>
      <c r="D59" s="44">
        <v>826026301.44000006</v>
      </c>
      <c r="E59" s="27">
        <f t="shared" si="37"/>
        <v>2.1808816040562006E-4</v>
      </c>
      <c r="F59" s="28">
        <v>1</v>
      </c>
      <c r="G59" s="28">
        <v>1</v>
      </c>
      <c r="H59" s="29">
        <v>908</v>
      </c>
      <c r="I59" s="47">
        <v>0.1671</v>
      </c>
      <c r="J59" s="47">
        <v>0.1671</v>
      </c>
      <c r="K59" s="44">
        <v>836400794.38999999</v>
      </c>
      <c r="L59" s="27">
        <f t="shared" si="38"/>
        <v>2.2082724277946493E-4</v>
      </c>
      <c r="M59" s="28">
        <v>1</v>
      </c>
      <c r="N59" s="28">
        <v>1</v>
      </c>
      <c r="O59" s="29">
        <v>954</v>
      </c>
      <c r="P59" s="47">
        <v>0.1784</v>
      </c>
      <c r="Q59" s="47">
        <v>0.1784</v>
      </c>
      <c r="R59" s="53">
        <f t="shared" si="21"/>
        <v>1.255951890625543E-2</v>
      </c>
      <c r="S59" s="53">
        <f t="shared" si="22"/>
        <v>0</v>
      </c>
      <c r="T59" s="53">
        <f t="shared" si="23"/>
        <v>5.0660792951541848E-2</v>
      </c>
      <c r="U59" s="54">
        <f t="shared" si="24"/>
        <v>1.1300000000000004E-2</v>
      </c>
      <c r="V59" s="55">
        <f t="shared" si="25"/>
        <v>1.1300000000000004E-2</v>
      </c>
    </row>
    <row r="60" spans="1:22">
      <c r="A60" s="169">
        <v>52</v>
      </c>
      <c r="B60" s="170" t="s">
        <v>91</v>
      </c>
      <c r="C60" s="171" t="s">
        <v>92</v>
      </c>
      <c r="D60" s="44">
        <v>13107641084</v>
      </c>
      <c r="E60" s="27">
        <f t="shared" si="37"/>
        <v>3.4606904480926253E-3</v>
      </c>
      <c r="F60" s="28">
        <v>100</v>
      </c>
      <c r="G60" s="28">
        <v>100</v>
      </c>
      <c r="H60" s="29">
        <v>139</v>
      </c>
      <c r="I60" s="47">
        <v>0.20219999999999999</v>
      </c>
      <c r="J60" s="47">
        <v>0.20219999999999999</v>
      </c>
      <c r="K60" s="44">
        <v>13295886317</v>
      </c>
      <c r="L60" s="27">
        <f t="shared" si="38"/>
        <v>3.5103911131907318E-3</v>
      </c>
      <c r="M60" s="28">
        <v>100</v>
      </c>
      <c r="N60" s="28">
        <v>100</v>
      </c>
      <c r="O60" s="29">
        <v>141</v>
      </c>
      <c r="P60" s="47">
        <v>0.19939999999999999</v>
      </c>
      <c r="Q60" s="47">
        <v>0.19939999999999999</v>
      </c>
      <c r="R60" s="53">
        <f t="shared" si="21"/>
        <v>1.4361488218485308E-2</v>
      </c>
      <c r="S60" s="53">
        <f t="shared" si="22"/>
        <v>0</v>
      </c>
      <c r="T60" s="53">
        <f t="shared" si="23"/>
        <v>1.4388489208633094E-2</v>
      </c>
      <c r="U60" s="54">
        <f t="shared" si="24"/>
        <v>-2.7999999999999969E-3</v>
      </c>
      <c r="V60" s="55">
        <f t="shared" si="25"/>
        <v>-2.7999999999999969E-3</v>
      </c>
    </row>
    <row r="61" spans="1:22">
      <c r="A61" s="169">
        <v>53</v>
      </c>
      <c r="B61" s="170" t="s">
        <v>93</v>
      </c>
      <c r="C61" s="171" t="s">
        <v>94</v>
      </c>
      <c r="D61" s="44">
        <v>66998268.579999998</v>
      </c>
      <c r="E61" s="27">
        <f t="shared" si="37"/>
        <v>1.7688939346727556E-5</v>
      </c>
      <c r="F61" s="28">
        <v>1000</v>
      </c>
      <c r="G61" s="28">
        <v>1000</v>
      </c>
      <c r="H61" s="29">
        <v>23</v>
      </c>
      <c r="I61" s="47">
        <v>0.22170000000000001</v>
      </c>
      <c r="J61" s="47">
        <v>0.22170000000000001</v>
      </c>
      <c r="K61" s="44">
        <v>67275518.340000004</v>
      </c>
      <c r="L61" s="27">
        <f t="shared" si="38"/>
        <v>1.7762139062070633E-5</v>
      </c>
      <c r="M61" s="28">
        <v>1000</v>
      </c>
      <c r="N61" s="28">
        <v>1000</v>
      </c>
      <c r="O61" s="29">
        <v>23</v>
      </c>
      <c r="P61" s="47">
        <v>0.22170000000000001</v>
      </c>
      <c r="Q61" s="47">
        <v>0.22170000000000001</v>
      </c>
      <c r="R61" s="53">
        <f t="shared" si="21"/>
        <v>4.1381630581833967E-3</v>
      </c>
      <c r="S61" s="53">
        <f t="shared" si="22"/>
        <v>0</v>
      </c>
      <c r="T61" s="53">
        <f t="shared" si="23"/>
        <v>0</v>
      </c>
      <c r="U61" s="54">
        <f t="shared" si="24"/>
        <v>0</v>
      </c>
      <c r="V61" s="55">
        <f t="shared" si="25"/>
        <v>0</v>
      </c>
    </row>
    <row r="62" spans="1:22">
      <c r="A62" s="169">
        <v>54</v>
      </c>
      <c r="B62" s="170" t="s">
        <v>95</v>
      </c>
      <c r="C62" s="171" t="s">
        <v>47</v>
      </c>
      <c r="D62" s="41">
        <v>1828152092279.03</v>
      </c>
      <c r="E62" s="27">
        <f t="shared" si="37"/>
        <v>0.48267025644555606</v>
      </c>
      <c r="F62" s="28">
        <v>100</v>
      </c>
      <c r="G62" s="28">
        <v>100</v>
      </c>
      <c r="H62" s="29">
        <v>215467</v>
      </c>
      <c r="I62" s="47">
        <v>0.19259999999999999</v>
      </c>
      <c r="J62" s="47">
        <v>0.19259999999999999</v>
      </c>
      <c r="K62" s="41">
        <v>1845905097411.8101</v>
      </c>
      <c r="L62" s="27">
        <f t="shared" si="38"/>
        <v>0.48735741982562036</v>
      </c>
      <c r="M62" s="28">
        <v>100</v>
      </c>
      <c r="N62" s="28">
        <v>100</v>
      </c>
      <c r="O62" s="29">
        <v>217785</v>
      </c>
      <c r="P62" s="47">
        <v>0.1913</v>
      </c>
      <c r="Q62" s="47">
        <v>0.1913</v>
      </c>
      <c r="R62" s="53">
        <f t="shared" si="21"/>
        <v>9.7109016299888884E-3</v>
      </c>
      <c r="S62" s="53">
        <f t="shared" si="22"/>
        <v>0</v>
      </c>
      <c r="T62" s="53">
        <f t="shared" si="23"/>
        <v>1.0758027911466721E-2</v>
      </c>
      <c r="U62" s="54">
        <f t="shared" si="24"/>
        <v>-1.2999999999999956E-3</v>
      </c>
      <c r="V62" s="55">
        <f t="shared" si="25"/>
        <v>-1.2999999999999956E-3</v>
      </c>
    </row>
    <row r="63" spans="1:22">
      <c r="A63" s="169">
        <v>55</v>
      </c>
      <c r="B63" s="170" t="s">
        <v>96</v>
      </c>
      <c r="C63" s="170" t="s">
        <v>97</v>
      </c>
      <c r="D63" s="41">
        <v>4937404564.0200005</v>
      </c>
      <c r="E63" s="27">
        <f t="shared" si="37"/>
        <v>1.3035777149810878E-3</v>
      </c>
      <c r="F63" s="28">
        <v>100</v>
      </c>
      <c r="G63" s="28">
        <v>100</v>
      </c>
      <c r="H63" s="29">
        <v>737</v>
      </c>
      <c r="I63" s="47">
        <v>0.21149999999999999</v>
      </c>
      <c r="J63" s="47">
        <v>0.21149999999999999</v>
      </c>
      <c r="K63" s="41">
        <v>5288916866.29</v>
      </c>
      <c r="L63" s="27">
        <f t="shared" si="38"/>
        <v>1.3963842893339466E-3</v>
      </c>
      <c r="M63" s="28">
        <v>100</v>
      </c>
      <c r="N63" s="28">
        <v>100</v>
      </c>
      <c r="O63" s="29">
        <v>750</v>
      </c>
      <c r="P63" s="47">
        <v>0.19989999999999999</v>
      </c>
      <c r="Q63" s="47">
        <v>0.19989999999999999</v>
      </c>
      <c r="R63" s="53">
        <f t="shared" si="21"/>
        <v>7.1193741106724426E-2</v>
      </c>
      <c r="S63" s="53">
        <f t="shared" si="22"/>
        <v>0</v>
      </c>
      <c r="T63" s="53">
        <f t="shared" si="23"/>
        <v>1.7639077340569877E-2</v>
      </c>
      <c r="U63" s="54">
        <f t="shared" si="24"/>
        <v>-1.1599999999999999E-2</v>
      </c>
      <c r="V63" s="55">
        <f t="shared" si="25"/>
        <v>-1.1599999999999999E-2</v>
      </c>
    </row>
    <row r="64" spans="1:22">
      <c r="A64" s="169">
        <v>56</v>
      </c>
      <c r="B64" s="170" t="s">
        <v>98</v>
      </c>
      <c r="C64" s="171" t="s">
        <v>99</v>
      </c>
      <c r="D64" s="41">
        <v>6096208542.8299999</v>
      </c>
      <c r="E64" s="27">
        <f t="shared" si="37"/>
        <v>1.6095261182811039E-3</v>
      </c>
      <c r="F64" s="28">
        <v>1</v>
      </c>
      <c r="G64" s="28">
        <v>1</v>
      </c>
      <c r="H64" s="29">
        <v>539</v>
      </c>
      <c r="I64" s="47">
        <v>0.20650399999999999</v>
      </c>
      <c r="J64" s="47">
        <v>0.20650399999999999</v>
      </c>
      <c r="K64" s="41">
        <v>6069460931.6700001</v>
      </c>
      <c r="L64" s="27">
        <f t="shared" si="38"/>
        <v>1.6024641914357239E-3</v>
      </c>
      <c r="M64" s="28">
        <v>1</v>
      </c>
      <c r="N64" s="28">
        <v>1</v>
      </c>
      <c r="O64" s="29">
        <v>542</v>
      </c>
      <c r="P64" s="47">
        <v>0.206904</v>
      </c>
      <c r="Q64" s="47">
        <v>0.206904</v>
      </c>
      <c r="R64" s="53">
        <f t="shared" si="21"/>
        <v>-4.3875813912991552E-3</v>
      </c>
      <c r="S64" s="53">
        <f t="shared" si="22"/>
        <v>0</v>
      </c>
      <c r="T64" s="53">
        <f t="shared" si="23"/>
        <v>5.5658627087198514E-3</v>
      </c>
      <c r="U64" s="54">
        <f t="shared" si="24"/>
        <v>4.0000000000001146E-4</v>
      </c>
      <c r="V64" s="55">
        <f t="shared" si="25"/>
        <v>4.0000000000001146E-4</v>
      </c>
    </row>
    <row r="65" spans="1:22">
      <c r="A65" s="169">
        <v>57</v>
      </c>
      <c r="B65" s="170" t="s">
        <v>100</v>
      </c>
      <c r="C65" s="171" t="s">
        <v>50</v>
      </c>
      <c r="D65" s="41">
        <v>174179992084.04001</v>
      </c>
      <c r="E65" s="27">
        <f t="shared" si="37"/>
        <v>4.5987148335170751E-2</v>
      </c>
      <c r="F65" s="28">
        <v>1</v>
      </c>
      <c r="G65" s="28">
        <v>1</v>
      </c>
      <c r="H65" s="29">
        <v>67375</v>
      </c>
      <c r="I65" s="47">
        <v>0.1883</v>
      </c>
      <c r="J65" s="47">
        <v>0.1883</v>
      </c>
      <c r="K65" s="41">
        <v>175250592458.95001</v>
      </c>
      <c r="L65" s="27">
        <f t="shared" si="38"/>
        <v>4.6269809148617801E-2</v>
      </c>
      <c r="M65" s="28">
        <v>1</v>
      </c>
      <c r="N65" s="28">
        <v>1</v>
      </c>
      <c r="O65" s="29">
        <v>67834</v>
      </c>
      <c r="P65" s="47">
        <v>0.18990000000000001</v>
      </c>
      <c r="Q65" s="47">
        <v>0.18990000000000001</v>
      </c>
      <c r="R65" s="53">
        <f t="shared" si="21"/>
        <v>6.1465175310919194E-3</v>
      </c>
      <c r="S65" s="53">
        <f t="shared" si="22"/>
        <v>0</v>
      </c>
      <c r="T65" s="53">
        <f t="shared" si="23"/>
        <v>6.8126159554730984E-3</v>
      </c>
      <c r="U65" s="54">
        <f t="shared" si="24"/>
        <v>1.6000000000000181E-3</v>
      </c>
      <c r="V65" s="55">
        <f t="shared" si="25"/>
        <v>1.6000000000000181E-3</v>
      </c>
    </row>
    <row r="66" spans="1:22">
      <c r="A66" s="169">
        <v>58</v>
      </c>
      <c r="B66" s="170" t="s">
        <v>309</v>
      </c>
      <c r="C66" s="171" t="s">
        <v>101</v>
      </c>
      <c r="D66" s="41">
        <v>2010347294.53</v>
      </c>
      <c r="E66" s="27">
        <f t="shared" si="37"/>
        <v>5.3077358732542647E-4</v>
      </c>
      <c r="F66" s="28">
        <v>1</v>
      </c>
      <c r="G66" s="28">
        <v>1</v>
      </c>
      <c r="H66" s="29">
        <v>154</v>
      </c>
      <c r="I66" s="47">
        <v>0.19009999999999999</v>
      </c>
      <c r="J66" s="47">
        <v>0.19009999999999999</v>
      </c>
      <c r="K66" s="41">
        <v>2012440890.53</v>
      </c>
      <c r="L66" s="27">
        <f t="shared" si="38"/>
        <v>5.3132634030614463E-4</v>
      </c>
      <c r="M66" s="28">
        <v>1</v>
      </c>
      <c r="N66" s="28">
        <v>1</v>
      </c>
      <c r="O66" s="29">
        <v>154</v>
      </c>
      <c r="P66" s="47">
        <v>0.18090000000000001</v>
      </c>
      <c r="Q66" s="47">
        <v>0.18090000000000001</v>
      </c>
      <c r="R66" s="53">
        <f t="shared" si="21"/>
        <v>1.0414101114252813E-3</v>
      </c>
      <c r="S66" s="53">
        <f t="shared" si="22"/>
        <v>0</v>
      </c>
      <c r="T66" s="53">
        <f t="shared" si="23"/>
        <v>0</v>
      </c>
      <c r="U66" s="54">
        <f t="shared" si="24"/>
        <v>-9.199999999999986E-3</v>
      </c>
      <c r="V66" s="55">
        <f t="shared" si="25"/>
        <v>-9.199999999999986E-3</v>
      </c>
    </row>
    <row r="67" spans="1:22">
      <c r="A67" s="169">
        <v>59</v>
      </c>
      <c r="B67" s="170" t="s">
        <v>102</v>
      </c>
      <c r="C67" s="171" t="s">
        <v>103</v>
      </c>
      <c r="D67" s="41">
        <v>7069786421.5100002</v>
      </c>
      <c r="E67" s="27">
        <f t="shared" si="37"/>
        <v>1.8665709704883311E-3</v>
      </c>
      <c r="F67" s="28">
        <v>1</v>
      </c>
      <c r="G67" s="28">
        <v>1</v>
      </c>
      <c r="H67" s="29">
        <v>472</v>
      </c>
      <c r="I67" s="47">
        <v>0.19539999999999999</v>
      </c>
      <c r="J67" s="47">
        <v>0.2046</v>
      </c>
      <c r="K67" s="41">
        <v>7046033797.9200001</v>
      </c>
      <c r="L67" s="27">
        <f t="shared" si="38"/>
        <v>1.860299782785809E-3</v>
      </c>
      <c r="M67" s="28">
        <v>1</v>
      </c>
      <c r="N67" s="28">
        <v>1</v>
      </c>
      <c r="O67" s="29">
        <v>472</v>
      </c>
      <c r="P67" s="47">
        <v>0.1968</v>
      </c>
      <c r="Q67" s="47">
        <v>0.1968</v>
      </c>
      <c r="R67" s="53">
        <f t="shared" si="21"/>
        <v>-3.3597370802790037E-3</v>
      </c>
      <c r="S67" s="53">
        <f t="shared" si="22"/>
        <v>0</v>
      </c>
      <c r="T67" s="53">
        <f t="shared" si="23"/>
        <v>0</v>
      </c>
      <c r="U67" s="54">
        <f t="shared" si="24"/>
        <v>1.4000000000000123E-3</v>
      </c>
      <c r="V67" s="55">
        <f t="shared" si="25"/>
        <v>-7.8000000000000014E-3</v>
      </c>
    </row>
    <row r="68" spans="1:22">
      <c r="A68" s="169">
        <v>60</v>
      </c>
      <c r="B68" s="170" t="s">
        <v>104</v>
      </c>
      <c r="C68" s="171" t="s">
        <v>105</v>
      </c>
      <c r="D68" s="41">
        <v>7573182821.1800003</v>
      </c>
      <c r="E68" s="27">
        <f t="shared" si="37"/>
        <v>1.999478112267541E-3</v>
      </c>
      <c r="F68" s="28">
        <v>1</v>
      </c>
      <c r="G68" s="28">
        <v>1</v>
      </c>
      <c r="H68" s="29">
        <v>4288</v>
      </c>
      <c r="I68" s="47">
        <v>0.2099</v>
      </c>
      <c r="J68" s="47">
        <v>0.2099</v>
      </c>
      <c r="K68" s="41">
        <v>7880751358.9499998</v>
      </c>
      <c r="L68" s="27">
        <f t="shared" si="38"/>
        <v>2.0806826168746841E-3</v>
      </c>
      <c r="M68" s="28">
        <v>1</v>
      </c>
      <c r="N68" s="28">
        <v>1</v>
      </c>
      <c r="O68" s="29">
        <v>4336</v>
      </c>
      <c r="P68" s="47">
        <v>0.20569999999999999</v>
      </c>
      <c r="Q68" s="47">
        <v>0.20569999999999999</v>
      </c>
      <c r="R68" s="53">
        <f t="shared" si="21"/>
        <v>4.06128499776632E-2</v>
      </c>
      <c r="S68" s="53">
        <f t="shared" si="22"/>
        <v>0</v>
      </c>
      <c r="T68" s="53">
        <f t="shared" si="23"/>
        <v>1.1194029850746268E-2</v>
      </c>
      <c r="U68" s="54">
        <f t="shared" si="24"/>
        <v>-4.2000000000000093E-3</v>
      </c>
      <c r="V68" s="55">
        <f t="shared" si="25"/>
        <v>-4.2000000000000093E-3</v>
      </c>
    </row>
    <row r="69" spans="1:22">
      <c r="A69" s="169">
        <v>61</v>
      </c>
      <c r="B69" s="170" t="s">
        <v>106</v>
      </c>
      <c r="C69" s="171" t="s">
        <v>107</v>
      </c>
      <c r="D69" s="41">
        <v>130854423862.98</v>
      </c>
      <c r="E69" s="27">
        <f t="shared" si="37"/>
        <v>3.4548295292129355E-2</v>
      </c>
      <c r="F69" s="28">
        <v>1</v>
      </c>
      <c r="G69" s="28">
        <v>1</v>
      </c>
      <c r="H69" s="29">
        <v>6120</v>
      </c>
      <c r="I69" s="47">
        <v>0.1933</v>
      </c>
      <c r="J69" s="47">
        <v>0.1933</v>
      </c>
      <c r="K69" s="41">
        <v>133636478515.92999</v>
      </c>
      <c r="L69" s="27">
        <f t="shared" si="38"/>
        <v>3.5282815706736075E-2</v>
      </c>
      <c r="M69" s="28">
        <v>1</v>
      </c>
      <c r="N69" s="28">
        <v>1</v>
      </c>
      <c r="O69" s="29">
        <v>6143</v>
      </c>
      <c r="P69" s="47">
        <v>0.19189999999999999</v>
      </c>
      <c r="Q69" s="47">
        <v>0.19189999999999999</v>
      </c>
      <c r="R69" s="53">
        <f t="shared" si="21"/>
        <v>2.1260684742788184E-2</v>
      </c>
      <c r="S69" s="53">
        <f t="shared" si="22"/>
        <v>0</v>
      </c>
      <c r="T69" s="53">
        <f t="shared" si="23"/>
        <v>3.758169934640523E-3</v>
      </c>
      <c r="U69" s="54">
        <f t="shared" si="24"/>
        <v>-1.4000000000000123E-3</v>
      </c>
      <c r="V69" s="55">
        <f t="shared" si="25"/>
        <v>-1.4000000000000123E-3</v>
      </c>
    </row>
    <row r="70" spans="1:22">
      <c r="A70" s="33"/>
      <c r="B70" s="34"/>
      <c r="C70" s="35" t="s">
        <v>51</v>
      </c>
      <c r="D70" s="45">
        <f>SUM(D28:D69)</f>
        <v>3754571698722.0146</v>
      </c>
      <c r="E70" s="37">
        <f>(D70/$D$226)</f>
        <v>0.57226030948065976</v>
      </c>
      <c r="F70" s="38"/>
      <c r="G70" s="42"/>
      <c r="H70" s="40">
        <f>SUM(H28:H69)</f>
        <v>492846</v>
      </c>
      <c r="I70" s="52"/>
      <c r="J70" s="52"/>
      <c r="K70" s="45">
        <f>SUM(K28:K69)</f>
        <v>3787579756295.2603</v>
      </c>
      <c r="L70" s="37">
        <f>(K70/$K$226)</f>
        <v>0.57888798043031386</v>
      </c>
      <c r="M70" s="38"/>
      <c r="N70" s="42"/>
      <c r="O70" s="40">
        <f>SUM(O28:O69)</f>
        <v>498735</v>
      </c>
      <c r="P70" s="52"/>
      <c r="Q70" s="52"/>
      <c r="R70" s="53">
        <f t="shared" si="21"/>
        <v>8.7914308799805115E-3</v>
      </c>
      <c r="S70" s="53" t="e">
        <f t="shared" si="22"/>
        <v>#DIV/0!</v>
      </c>
      <c r="T70" s="53">
        <f t="shared" si="23"/>
        <v>1.1948965802705104E-2</v>
      </c>
      <c r="U70" s="54">
        <f t="shared" si="24"/>
        <v>0</v>
      </c>
      <c r="V70" s="55">
        <f t="shared" si="25"/>
        <v>0</v>
      </c>
    </row>
    <row r="71" spans="1:22" ht="3" customHeight="1">
      <c r="A71" s="33"/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</row>
    <row r="72" spans="1:22" ht="15" customHeight="1">
      <c r="A72" s="185" t="s">
        <v>108</v>
      </c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</row>
    <row r="73" spans="1:22">
      <c r="A73" s="169">
        <v>62</v>
      </c>
      <c r="B73" s="170" t="s">
        <v>109</v>
      </c>
      <c r="C73" s="171" t="s">
        <v>19</v>
      </c>
      <c r="D73" s="26">
        <v>575459472.22000003</v>
      </c>
      <c r="E73" s="27">
        <f>(D73/$D$112)</f>
        <v>2.493558132851622E-3</v>
      </c>
      <c r="F73" s="57">
        <v>1.5832999999999999</v>
      </c>
      <c r="G73" s="57">
        <v>1.5832999999999999</v>
      </c>
      <c r="H73" s="29">
        <v>499</v>
      </c>
      <c r="I73" s="47">
        <v>4.4200000000000001E-4</v>
      </c>
      <c r="J73" s="47">
        <v>0.2145</v>
      </c>
      <c r="K73" s="26">
        <v>568852147.51999998</v>
      </c>
      <c r="L73" s="27">
        <f t="shared" ref="L73:L96" si="39">(K73/$K$112)</f>
        <v>2.9841690820525367E-3</v>
      </c>
      <c r="M73" s="57">
        <v>1.5996999999999999</v>
      </c>
      <c r="N73" s="57">
        <v>1.5996999999999999</v>
      </c>
      <c r="O73" s="29">
        <v>499</v>
      </c>
      <c r="P73" s="47">
        <v>5.5950000000000001E-3</v>
      </c>
      <c r="Q73" s="47">
        <v>0.22700000000000001</v>
      </c>
      <c r="R73" s="53">
        <f>((K73-D73)/D73)</f>
        <v>-1.1481824557532083E-2</v>
      </c>
      <c r="S73" s="53">
        <f>((N73-G73)/G73)</f>
        <v>1.0358112802374768E-2</v>
      </c>
      <c r="T73" s="53">
        <f>((O73-H73)/H73)</f>
        <v>0</v>
      </c>
      <c r="U73" s="54">
        <f>P73-I73</f>
        <v>5.1530000000000005E-3</v>
      </c>
      <c r="V73" s="55">
        <f>Q73-J73</f>
        <v>1.2500000000000011E-2</v>
      </c>
    </row>
    <row r="74" spans="1:22">
      <c r="A74" s="169">
        <v>63</v>
      </c>
      <c r="B74" s="170" t="s">
        <v>110</v>
      </c>
      <c r="C74" s="171" t="s">
        <v>21</v>
      </c>
      <c r="D74" s="26">
        <v>1339866432.4300001</v>
      </c>
      <c r="E74" s="27">
        <f>(D74/$D$112)</f>
        <v>5.8058560173346605E-3</v>
      </c>
      <c r="F74" s="57">
        <v>1.3149999999999999</v>
      </c>
      <c r="G74" s="57">
        <v>1.3149999999999999</v>
      </c>
      <c r="H74" s="29">
        <v>1148</v>
      </c>
      <c r="I74" s="47">
        <v>8.7400000000000005E-2</v>
      </c>
      <c r="J74" s="47">
        <v>0.1716</v>
      </c>
      <c r="K74" s="26">
        <v>1349515825.4300001</v>
      </c>
      <c r="L74" s="27">
        <f t="shared" si="39"/>
        <v>7.0794905487233393E-3</v>
      </c>
      <c r="M74" s="57">
        <v>1.3196000000000001</v>
      </c>
      <c r="N74" s="57">
        <v>1.3196000000000001</v>
      </c>
      <c r="O74" s="29">
        <v>1157</v>
      </c>
      <c r="P74" s="47">
        <v>0.18240000000000001</v>
      </c>
      <c r="Q74" s="47">
        <v>0.1724</v>
      </c>
      <c r="R74" s="53">
        <f t="shared" ref="R74:R112" si="40">((K74-D74)/D74)</f>
        <v>7.2017574039075884E-3</v>
      </c>
      <c r="S74" s="53">
        <f t="shared" ref="S74:S112" si="41">((N74-G74)/G74)</f>
        <v>3.4980988593157109E-3</v>
      </c>
      <c r="T74" s="53">
        <f t="shared" ref="T74:T112" si="42">((O74-H74)/H74)</f>
        <v>7.8397212543554005E-3</v>
      </c>
      <c r="U74" s="54">
        <f t="shared" ref="U74:U112" si="43">P74-I74</f>
        <v>9.5000000000000001E-2</v>
      </c>
      <c r="V74" s="55">
        <f t="shared" ref="V74:V112" si="44">Q74-J74</f>
        <v>7.9999999999999516E-4</v>
      </c>
    </row>
    <row r="75" spans="1:22">
      <c r="A75" s="169">
        <v>64</v>
      </c>
      <c r="B75" s="170" t="s">
        <v>111</v>
      </c>
      <c r="C75" s="171" t="s">
        <v>21</v>
      </c>
      <c r="D75" s="26">
        <v>804420832.35000002</v>
      </c>
      <c r="E75" s="27">
        <f>(D75/$D$112)</f>
        <v>3.4856844062421881E-3</v>
      </c>
      <c r="F75" s="57">
        <v>1.1623000000000001</v>
      </c>
      <c r="G75" s="57">
        <v>1.1623000000000001</v>
      </c>
      <c r="H75" s="29">
        <v>452</v>
      </c>
      <c r="I75" s="47">
        <v>0.13489999999999999</v>
      </c>
      <c r="J75" s="47">
        <v>0.12570000000000001</v>
      </c>
      <c r="K75" s="26">
        <v>806947801.24000001</v>
      </c>
      <c r="L75" s="27">
        <f t="shared" si="39"/>
        <v>4.233206624584325E-3</v>
      </c>
      <c r="M75" s="57">
        <v>1.1652</v>
      </c>
      <c r="N75" s="57">
        <v>1.1652</v>
      </c>
      <c r="O75" s="29">
        <v>454</v>
      </c>
      <c r="P75" s="47">
        <v>0.13009999999999999</v>
      </c>
      <c r="Q75" s="47">
        <v>0.12620000000000001</v>
      </c>
      <c r="R75" s="53">
        <f t="shared" si="40"/>
        <v>3.1413518750102588E-3</v>
      </c>
      <c r="S75" s="53">
        <f t="shared" si="41"/>
        <v>2.4950529123289188E-3</v>
      </c>
      <c r="T75" s="53">
        <f t="shared" si="42"/>
        <v>4.4247787610619468E-3</v>
      </c>
      <c r="U75" s="54">
        <f t="shared" si="43"/>
        <v>-4.7999999999999987E-3</v>
      </c>
      <c r="V75" s="55">
        <f t="shared" si="44"/>
        <v>5.0000000000000044E-4</v>
      </c>
    </row>
    <row r="76" spans="1:22">
      <c r="A76" s="169">
        <v>65</v>
      </c>
      <c r="B76" s="170" t="s">
        <v>112</v>
      </c>
      <c r="C76" s="171" t="s">
        <v>113</v>
      </c>
      <c r="D76" s="26">
        <v>308744185.86000001</v>
      </c>
      <c r="E76" s="27">
        <f>(D76/$D$112)</f>
        <v>1.3378380455740095E-3</v>
      </c>
      <c r="F76" s="32">
        <v>1212.08</v>
      </c>
      <c r="G76" s="32">
        <v>1212.08</v>
      </c>
      <c r="H76" s="29">
        <v>109</v>
      </c>
      <c r="I76" s="47">
        <v>-1.1999999999999999E-3</v>
      </c>
      <c r="J76" s="47">
        <v>0.20430000000000001</v>
      </c>
      <c r="K76" s="26">
        <v>310981346.16000003</v>
      </c>
      <c r="L76" s="27">
        <f t="shared" si="39"/>
        <v>1.631392133002577E-3</v>
      </c>
      <c r="M76" s="32">
        <v>1221.31</v>
      </c>
      <c r="N76" s="32">
        <v>1221.31</v>
      </c>
      <c r="O76" s="29">
        <v>109</v>
      </c>
      <c r="P76" s="47">
        <v>3.3999999999999998E-3</v>
      </c>
      <c r="Q76" s="47">
        <v>0.20630000000000001</v>
      </c>
      <c r="R76" s="53">
        <f t="shared" si="40"/>
        <v>7.2459997708732623E-3</v>
      </c>
      <c r="S76" s="53">
        <f t="shared" si="41"/>
        <v>7.6150089103029662E-3</v>
      </c>
      <c r="T76" s="53">
        <f t="shared" si="42"/>
        <v>0</v>
      </c>
      <c r="U76" s="54">
        <f t="shared" si="43"/>
        <v>4.5999999999999999E-3</v>
      </c>
      <c r="V76" s="55">
        <f t="shared" si="44"/>
        <v>2.0000000000000018E-3</v>
      </c>
    </row>
    <row r="77" spans="1:22" ht="15" customHeight="1">
      <c r="A77" s="169">
        <v>66</v>
      </c>
      <c r="B77" s="170" t="s">
        <v>114</v>
      </c>
      <c r="C77" s="171" t="s">
        <v>25</v>
      </c>
      <c r="D77" s="26">
        <v>1617764021.3299999</v>
      </c>
      <c r="E77" s="27">
        <f>(D77/$K$112)</f>
        <v>8.4867067753141116E-3</v>
      </c>
      <c r="F77" s="32">
        <v>1.0452999999999999</v>
      </c>
      <c r="G77" s="32">
        <v>1.0452999999999999</v>
      </c>
      <c r="H77" s="29">
        <v>968</v>
      </c>
      <c r="I77" s="47">
        <v>3.3E-3</v>
      </c>
      <c r="J77" s="47">
        <v>0.1019</v>
      </c>
      <c r="K77" s="26">
        <v>1688113235.2</v>
      </c>
      <c r="L77" s="27">
        <f t="shared" si="39"/>
        <v>8.8557551297816037E-3</v>
      </c>
      <c r="M77" s="32">
        <v>1.0484</v>
      </c>
      <c r="N77" s="32">
        <v>1.0484</v>
      </c>
      <c r="O77" s="29">
        <v>972</v>
      </c>
      <c r="P77" s="47">
        <v>3.0000000000000001E-3</v>
      </c>
      <c r="Q77" s="47">
        <v>0.1047</v>
      </c>
      <c r="R77" s="53">
        <f t="shared" si="40"/>
        <v>4.3485460760936234E-2</v>
      </c>
      <c r="S77" s="53">
        <f t="shared" si="41"/>
        <v>2.9656557925955259E-3</v>
      </c>
      <c r="T77" s="53">
        <f t="shared" si="42"/>
        <v>4.1322314049586778E-3</v>
      </c>
      <c r="U77" s="54">
        <f t="shared" si="43"/>
        <v>-2.9999999999999992E-4</v>
      </c>
      <c r="V77" s="55">
        <f t="shared" si="44"/>
        <v>2.7999999999999969E-3</v>
      </c>
    </row>
    <row r="78" spans="1:22">
      <c r="A78" s="169">
        <v>67</v>
      </c>
      <c r="B78" s="170" t="s">
        <v>115</v>
      </c>
      <c r="C78" s="171" t="s">
        <v>116</v>
      </c>
      <c r="D78" s="26">
        <v>470655712.13</v>
      </c>
      <c r="E78" s="27">
        <f t="shared" ref="E78:E96" si="45">(D78/$D$112)</f>
        <v>2.0394266415101414E-3</v>
      </c>
      <c r="F78" s="32">
        <v>2.6983999999999999</v>
      </c>
      <c r="G78" s="32">
        <v>2.6983999999999999</v>
      </c>
      <c r="H78" s="29">
        <v>1391</v>
      </c>
      <c r="I78" s="47">
        <v>0.1492</v>
      </c>
      <c r="J78" s="47">
        <v>0.14480000000000001</v>
      </c>
      <c r="K78" s="26">
        <v>472015291.63999999</v>
      </c>
      <c r="L78" s="27">
        <f t="shared" si="39"/>
        <v>2.4761679211531425E-3</v>
      </c>
      <c r="M78" s="32">
        <v>2.7052999999999998</v>
      </c>
      <c r="N78" s="32">
        <v>2.7052999999999998</v>
      </c>
      <c r="O78" s="29">
        <v>1391</v>
      </c>
      <c r="P78" s="47">
        <v>0.1333</v>
      </c>
      <c r="Q78" s="47">
        <v>0.1454</v>
      </c>
      <c r="R78" s="53">
        <f t="shared" si="40"/>
        <v>2.8886922541470411E-3</v>
      </c>
      <c r="S78" s="53">
        <f t="shared" si="41"/>
        <v>2.5570708568039974E-3</v>
      </c>
      <c r="T78" s="53">
        <f t="shared" si="42"/>
        <v>0</v>
      </c>
      <c r="U78" s="54">
        <f t="shared" si="43"/>
        <v>-1.5899999999999997E-2</v>
      </c>
      <c r="V78" s="55">
        <f t="shared" si="44"/>
        <v>5.9999999999998943E-4</v>
      </c>
    </row>
    <row r="79" spans="1:22">
      <c r="A79" s="169">
        <v>68</v>
      </c>
      <c r="B79" s="171" t="s">
        <v>322</v>
      </c>
      <c r="C79" s="171" t="s">
        <v>320</v>
      </c>
      <c r="D79" s="26">
        <v>760252227.85000002</v>
      </c>
      <c r="E79" s="27">
        <f t="shared" si="45"/>
        <v>3.2942947632099919E-3</v>
      </c>
      <c r="F79" s="32">
        <v>1051.2</v>
      </c>
      <c r="G79" s="32">
        <v>1051.2</v>
      </c>
      <c r="H79" s="29">
        <v>162</v>
      </c>
      <c r="I79" s="47">
        <v>1.9599999999999999E-3</v>
      </c>
      <c r="J79" s="47">
        <v>4.8410000000000002E-2</v>
      </c>
      <c r="K79" s="26">
        <v>768222792.53999996</v>
      </c>
      <c r="L79" s="27">
        <f t="shared" si="39"/>
        <v>4.0300572224618823E-3</v>
      </c>
      <c r="M79" s="32">
        <v>1054.3699999999999</v>
      </c>
      <c r="N79" s="32">
        <v>1054.3699999999999</v>
      </c>
      <c r="O79" s="29">
        <v>177</v>
      </c>
      <c r="P79" s="47">
        <v>2.6199999999999999E-3</v>
      </c>
      <c r="Q79" s="47">
        <v>5.1970000000000002E-2</v>
      </c>
      <c r="R79" s="53">
        <f t="shared" ref="R79" si="46">((K79-D79)/D79)</f>
        <v>1.0484105666537492E-2</v>
      </c>
      <c r="S79" s="53">
        <f t="shared" ref="S79" si="47">((N79-G79)/G79)</f>
        <v>3.0156012176558648E-3</v>
      </c>
      <c r="T79" s="53">
        <f t="shared" ref="T79" si="48">((O79-H79)/H79)</f>
        <v>9.2592592592592587E-2</v>
      </c>
      <c r="U79" s="54">
        <f t="shared" si="43"/>
        <v>6.6E-4</v>
      </c>
      <c r="V79" s="55">
        <f t="shared" si="44"/>
        <v>3.5600000000000007E-3</v>
      </c>
    </row>
    <row r="80" spans="1:22">
      <c r="A80" s="169">
        <v>69</v>
      </c>
      <c r="B80" s="170" t="s">
        <v>117</v>
      </c>
      <c r="C80" s="171" t="s">
        <v>61</v>
      </c>
      <c r="D80" s="26">
        <v>220117073.5</v>
      </c>
      <c r="E80" s="27">
        <f t="shared" si="45"/>
        <v>9.5380256178246843E-4</v>
      </c>
      <c r="F80" s="32">
        <v>11.87</v>
      </c>
      <c r="G80" s="32">
        <v>11.94</v>
      </c>
      <c r="H80" s="29">
        <v>41</v>
      </c>
      <c r="I80" s="47">
        <v>0.19800000000000001</v>
      </c>
      <c r="J80" s="47">
        <v>0.3</v>
      </c>
      <c r="K80" s="26">
        <v>220966725.53999999</v>
      </c>
      <c r="L80" s="27">
        <f t="shared" si="39"/>
        <v>1.1591800670765209E-3</v>
      </c>
      <c r="M80" s="32">
        <v>11.92</v>
      </c>
      <c r="N80" s="32">
        <v>11.99</v>
      </c>
      <c r="O80" s="29">
        <v>41</v>
      </c>
      <c r="P80" s="47">
        <v>0.19600000000000001</v>
      </c>
      <c r="Q80" s="47">
        <v>0.28999999999999998</v>
      </c>
      <c r="R80" s="53">
        <f t="shared" si="40"/>
        <v>3.860000619170469E-3</v>
      </c>
      <c r="S80" s="53">
        <f t="shared" si="41"/>
        <v>4.1876046901173124E-3</v>
      </c>
      <c r="T80" s="53">
        <f t="shared" si="42"/>
        <v>0</v>
      </c>
      <c r="U80" s="54">
        <f t="shared" si="43"/>
        <v>-2.0000000000000018E-3</v>
      </c>
      <c r="V80" s="55">
        <f t="shared" si="44"/>
        <v>-1.0000000000000009E-2</v>
      </c>
    </row>
    <row r="81" spans="1:22">
      <c r="A81" s="169">
        <v>70</v>
      </c>
      <c r="B81" s="170" t="s">
        <v>118</v>
      </c>
      <c r="C81" s="171" t="s">
        <v>63</v>
      </c>
      <c r="D81" s="26">
        <v>2100105435.21</v>
      </c>
      <c r="E81" s="27">
        <f t="shared" si="45"/>
        <v>9.1000934741965103E-3</v>
      </c>
      <c r="F81" s="26">
        <v>4720.91</v>
      </c>
      <c r="G81" s="26">
        <v>4720.91</v>
      </c>
      <c r="H81" s="29">
        <v>1141</v>
      </c>
      <c r="I81" s="47">
        <v>0.1013</v>
      </c>
      <c r="J81" s="47">
        <v>0.1163</v>
      </c>
      <c r="K81" s="26">
        <v>2104012702.0999999</v>
      </c>
      <c r="L81" s="27">
        <f t="shared" si="39"/>
        <v>1.1037542323125154E-2</v>
      </c>
      <c r="M81" s="26">
        <v>4730.2700000000004</v>
      </c>
      <c r="N81" s="26">
        <v>4730.2700000000004</v>
      </c>
      <c r="O81" s="29">
        <v>1142</v>
      </c>
      <c r="P81" s="47">
        <v>0.1033</v>
      </c>
      <c r="Q81" s="47">
        <v>0.11609999999999999</v>
      </c>
      <c r="R81" s="53">
        <f t="shared" si="40"/>
        <v>1.860509869881442E-3</v>
      </c>
      <c r="S81" s="53">
        <f t="shared" si="41"/>
        <v>1.982668595673415E-3</v>
      </c>
      <c r="T81" s="53">
        <f t="shared" si="42"/>
        <v>8.7642418930762491E-4</v>
      </c>
      <c r="U81" s="54">
        <f t="shared" si="43"/>
        <v>2.0000000000000018E-3</v>
      </c>
      <c r="V81" s="55">
        <f t="shared" si="44"/>
        <v>-2.0000000000000573E-4</v>
      </c>
    </row>
    <row r="82" spans="1:22">
      <c r="A82" s="169">
        <v>71</v>
      </c>
      <c r="B82" s="170" t="s">
        <v>119</v>
      </c>
      <c r="C82" s="171" t="s">
        <v>65</v>
      </c>
      <c r="D82" s="26">
        <v>351321868.69</v>
      </c>
      <c r="E82" s="27">
        <f t="shared" si="45"/>
        <v>1.5223339700031308E-3</v>
      </c>
      <c r="F82" s="57">
        <v>114.06</v>
      </c>
      <c r="G82" s="57">
        <v>114.06</v>
      </c>
      <c r="H82" s="29">
        <v>91</v>
      </c>
      <c r="I82" s="47">
        <v>2.2000000000000001E-3</v>
      </c>
      <c r="J82" s="47">
        <v>0.1263</v>
      </c>
      <c r="K82" s="26">
        <v>352367489.79000002</v>
      </c>
      <c r="L82" s="27">
        <f t="shared" si="39"/>
        <v>1.8485017119757132E-3</v>
      </c>
      <c r="M82" s="57">
        <v>114.3</v>
      </c>
      <c r="N82" s="57">
        <v>114.3</v>
      </c>
      <c r="O82" s="29">
        <v>92</v>
      </c>
      <c r="P82" s="47">
        <v>2.0999999999999999E-3</v>
      </c>
      <c r="Q82" s="47">
        <v>0.1241</v>
      </c>
      <c r="R82" s="53">
        <f t="shared" si="40"/>
        <v>2.9762482588940706E-3</v>
      </c>
      <c r="S82" s="53">
        <f t="shared" si="41"/>
        <v>2.1041557075223119E-3</v>
      </c>
      <c r="T82" s="53">
        <f t="shared" si="42"/>
        <v>1.098901098901099E-2</v>
      </c>
      <c r="U82" s="54">
        <f t="shared" si="43"/>
        <v>-1.0000000000000026E-4</v>
      </c>
      <c r="V82" s="55">
        <f t="shared" si="44"/>
        <v>-2.1999999999999936E-3</v>
      </c>
    </row>
    <row r="83" spans="1:22" ht="13.5" customHeight="1">
      <c r="A83" s="169">
        <v>72</v>
      </c>
      <c r="B83" s="170" t="s">
        <v>120</v>
      </c>
      <c r="C83" s="171" t="s">
        <v>294</v>
      </c>
      <c r="D83" s="26">
        <v>438291756.26999998</v>
      </c>
      <c r="E83" s="27">
        <f t="shared" si="45"/>
        <v>1.8991884331883199E-3</v>
      </c>
      <c r="F83" s="57">
        <v>1.4624999999999999</v>
      </c>
      <c r="G83" s="57">
        <v>1.4624999999999999</v>
      </c>
      <c r="H83" s="29">
        <v>683</v>
      </c>
      <c r="I83" s="47">
        <v>5.0000000000000001E-4</v>
      </c>
      <c r="J83" s="47">
        <v>0.1268</v>
      </c>
      <c r="K83" s="26">
        <v>441804052.37</v>
      </c>
      <c r="L83" s="27">
        <f t="shared" si="39"/>
        <v>2.3176813151816749E-3</v>
      </c>
      <c r="M83" s="57">
        <v>1.4669000000000001</v>
      </c>
      <c r="N83" s="57">
        <v>1.4669000000000001</v>
      </c>
      <c r="O83" s="29">
        <v>730</v>
      </c>
      <c r="P83" s="47">
        <v>3.0000000000000001E-3</v>
      </c>
      <c r="Q83" s="47">
        <v>0.13</v>
      </c>
      <c r="R83" s="53">
        <f t="shared" si="40"/>
        <v>8.013602924889035E-3</v>
      </c>
      <c r="S83" s="53">
        <f t="shared" si="41"/>
        <v>3.0085470085471329E-3</v>
      </c>
      <c r="T83" s="53">
        <f t="shared" si="42"/>
        <v>6.8814055636896049E-2</v>
      </c>
      <c r="U83" s="54">
        <f t="shared" si="43"/>
        <v>2.5000000000000001E-3</v>
      </c>
      <c r="V83" s="55">
        <f t="shared" si="44"/>
        <v>3.2000000000000084E-3</v>
      </c>
    </row>
    <row r="84" spans="1:22" ht="13.5" customHeight="1">
      <c r="A84" s="169">
        <v>73</v>
      </c>
      <c r="B84" s="170" t="s">
        <v>292</v>
      </c>
      <c r="C84" s="171" t="s">
        <v>294</v>
      </c>
      <c r="D84" s="26">
        <v>23368866.100000001</v>
      </c>
      <c r="E84" s="27">
        <f t="shared" si="45"/>
        <v>1.0126104257937757E-4</v>
      </c>
      <c r="F84" s="57">
        <v>0.90110000000000001</v>
      </c>
      <c r="G84" s="57">
        <v>0.90110000000000001</v>
      </c>
      <c r="H84" s="29">
        <v>1</v>
      </c>
      <c r="I84" s="47">
        <v>-2.0000000000000001E-4</v>
      </c>
      <c r="J84" s="47">
        <v>-9.0899999999999995E-2</v>
      </c>
      <c r="K84" s="26">
        <v>22542904.539999999</v>
      </c>
      <c r="L84" s="27">
        <f t="shared" si="39"/>
        <v>1.1825891673471195E-4</v>
      </c>
      <c r="M84" s="57">
        <v>0.86919999999999997</v>
      </c>
      <c r="N84" s="57">
        <v>0.86919999999999997</v>
      </c>
      <c r="O84" s="29">
        <v>1</v>
      </c>
      <c r="P84" s="47">
        <v>-3.5400000000000001E-2</v>
      </c>
      <c r="Q84" s="47">
        <v>-0.1231</v>
      </c>
      <c r="R84" s="53">
        <f t="shared" ref="R84" si="49">((K84-D84)/D84)</f>
        <v>-3.5344528761710112E-2</v>
      </c>
      <c r="S84" s="53">
        <f t="shared" ref="S84" si="50">((N84-G84)/G84)</f>
        <v>-3.54011763400289E-2</v>
      </c>
      <c r="T84" s="53">
        <f t="shared" ref="T84" si="51">((O84-H84)/H84)</f>
        <v>0</v>
      </c>
      <c r="U84" s="54">
        <f t="shared" ref="U84" si="52">P84-I84</f>
        <v>-3.5200000000000002E-2</v>
      </c>
      <c r="V84" s="55">
        <f t="shared" ref="V84" si="53">Q84-J84</f>
        <v>-3.2200000000000006E-2</v>
      </c>
    </row>
    <row r="85" spans="1:22">
      <c r="A85" s="169">
        <v>74</v>
      </c>
      <c r="B85" s="170" t="s">
        <v>122</v>
      </c>
      <c r="C85" s="171" t="s">
        <v>27</v>
      </c>
      <c r="D85" s="26">
        <v>153484053.88</v>
      </c>
      <c r="E85" s="27">
        <f t="shared" si="45"/>
        <v>6.6507100724061917E-4</v>
      </c>
      <c r="F85" s="57">
        <v>131.41159999999999</v>
      </c>
      <c r="G85" s="57">
        <v>131.41159999999999</v>
      </c>
      <c r="H85" s="29">
        <v>306</v>
      </c>
      <c r="I85" s="47">
        <v>8.0599999999999997E-4</v>
      </c>
      <c r="J85" s="47">
        <v>0.13469999999999999</v>
      </c>
      <c r="K85" s="26">
        <v>156759283.13</v>
      </c>
      <c r="L85" s="27">
        <f t="shared" si="39"/>
        <v>8.2235112951703981E-4</v>
      </c>
      <c r="M85" s="57">
        <v>131.8381</v>
      </c>
      <c r="N85" s="57">
        <v>131.8381</v>
      </c>
      <c r="O85" s="29">
        <v>309</v>
      </c>
      <c r="P85" s="47">
        <v>4.8999999999999998E-4</v>
      </c>
      <c r="Q85" s="47">
        <v>0.13850000000000001</v>
      </c>
      <c r="R85" s="53">
        <f t="shared" si="40"/>
        <v>2.1339215164076303E-2</v>
      </c>
      <c r="S85" s="53">
        <f t="shared" si="41"/>
        <v>3.2455277920670957E-3</v>
      </c>
      <c r="T85" s="53">
        <f t="shared" si="42"/>
        <v>9.8039215686274508E-3</v>
      </c>
      <c r="U85" s="54">
        <f t="shared" si="43"/>
        <v>-3.1599999999999998E-4</v>
      </c>
      <c r="V85" s="55">
        <f t="shared" si="44"/>
        <v>3.8000000000000256E-3</v>
      </c>
    </row>
    <row r="86" spans="1:22">
      <c r="A86" s="169">
        <v>75</v>
      </c>
      <c r="B86" s="170" t="s">
        <v>123</v>
      </c>
      <c r="C86" s="171" t="s">
        <v>94</v>
      </c>
      <c r="D86" s="26">
        <v>2365315011.1199999</v>
      </c>
      <c r="E86" s="27">
        <f t="shared" si="45"/>
        <v>1.0249289076745714E-2</v>
      </c>
      <c r="F86" s="32">
        <v>1224.19</v>
      </c>
      <c r="G86" s="32">
        <v>1224.19</v>
      </c>
      <c r="H86" s="29">
        <v>362</v>
      </c>
      <c r="I86" s="47">
        <v>1.9599999999999999E-2</v>
      </c>
      <c r="J86" s="47">
        <v>0.2109</v>
      </c>
      <c r="K86" s="26">
        <v>2469984947.9400001</v>
      </c>
      <c r="L86" s="27">
        <f t="shared" si="39"/>
        <v>1.2957413884982378E-2</v>
      </c>
      <c r="M86" s="32">
        <v>1228.06</v>
      </c>
      <c r="N86" s="32">
        <v>1228.06</v>
      </c>
      <c r="O86" s="29">
        <v>363</v>
      </c>
      <c r="P86" s="47">
        <v>1.9599999999999999E-2</v>
      </c>
      <c r="Q86" s="47">
        <v>0.21429999999999999</v>
      </c>
      <c r="R86" s="53">
        <f t="shared" si="40"/>
        <v>4.4252007165184279E-2</v>
      </c>
      <c r="S86" s="53">
        <f t="shared" si="41"/>
        <v>3.1612739852472987E-3</v>
      </c>
      <c r="T86" s="53">
        <f t="shared" si="42"/>
        <v>2.7624309392265192E-3</v>
      </c>
      <c r="U86" s="54">
        <f t="shared" si="43"/>
        <v>0</v>
      </c>
      <c r="V86" s="55">
        <f t="shared" si="44"/>
        <v>3.3999999999999864E-3</v>
      </c>
    </row>
    <row r="87" spans="1:22">
      <c r="A87" s="169">
        <v>76</v>
      </c>
      <c r="B87" s="170" t="s">
        <v>124</v>
      </c>
      <c r="C87" s="171" t="s">
        <v>68</v>
      </c>
      <c r="D87" s="26">
        <v>161560581.13</v>
      </c>
      <c r="E87" s="27">
        <f t="shared" si="45"/>
        <v>7.0006789439192832E-4</v>
      </c>
      <c r="F87" s="32">
        <v>1105.6600000000001</v>
      </c>
      <c r="G87" s="32">
        <v>1126.52</v>
      </c>
      <c r="H87" s="29">
        <v>72</v>
      </c>
      <c r="I87" s="47">
        <v>-8.2000000000000007E-3</v>
      </c>
      <c r="J87" s="47">
        <v>0.1042</v>
      </c>
      <c r="K87" s="26">
        <v>162031304.33000001</v>
      </c>
      <c r="L87" s="27">
        <f t="shared" si="39"/>
        <v>8.5000788133480891E-4</v>
      </c>
      <c r="M87" s="32">
        <v>1110.79</v>
      </c>
      <c r="N87" s="32">
        <v>1132.3499999999999</v>
      </c>
      <c r="O87" s="29">
        <v>70</v>
      </c>
      <c r="P87" s="47">
        <v>5.4000000000000003E-3</v>
      </c>
      <c r="Q87" s="47">
        <v>0.1096</v>
      </c>
      <c r="R87" s="53">
        <f t="shared" si="40"/>
        <v>2.913601800065634E-3</v>
      </c>
      <c r="S87" s="53">
        <f t="shared" si="41"/>
        <v>5.1752299115860592E-3</v>
      </c>
      <c r="T87" s="53">
        <f t="shared" si="42"/>
        <v>-2.7777777777777776E-2</v>
      </c>
      <c r="U87" s="54">
        <f t="shared" si="43"/>
        <v>1.3600000000000001E-2</v>
      </c>
      <c r="V87" s="55">
        <f t="shared" si="44"/>
        <v>5.400000000000002E-3</v>
      </c>
    </row>
    <row r="88" spans="1:22">
      <c r="A88" s="169">
        <v>77</v>
      </c>
      <c r="B88" s="170" t="s">
        <v>125</v>
      </c>
      <c r="C88" s="171" t="s">
        <v>71</v>
      </c>
      <c r="D88" s="26">
        <v>682109373.75</v>
      </c>
      <c r="E88" s="27">
        <f t="shared" si="45"/>
        <v>2.9556892509684635E-3</v>
      </c>
      <c r="F88" s="58">
        <v>1.1388</v>
      </c>
      <c r="G88" s="58">
        <v>1.1388</v>
      </c>
      <c r="H88" s="29">
        <v>53</v>
      </c>
      <c r="I88" s="47">
        <v>1.5E-3</v>
      </c>
      <c r="J88" s="47">
        <v>0.1096</v>
      </c>
      <c r="K88" s="26">
        <v>691347441.75999999</v>
      </c>
      <c r="L88" s="27">
        <f t="shared" si="39"/>
        <v>3.6267730897223574E-3</v>
      </c>
      <c r="M88" s="58">
        <v>1.1407</v>
      </c>
      <c r="N88" s="58">
        <v>1.1407</v>
      </c>
      <c r="O88" s="29">
        <v>53</v>
      </c>
      <c r="P88" s="47">
        <v>1.5E-3</v>
      </c>
      <c r="Q88" s="47">
        <v>0.1094</v>
      </c>
      <c r="R88" s="53">
        <f t="shared" si="40"/>
        <v>1.3543382286644598E-2</v>
      </c>
      <c r="S88" s="53">
        <f t="shared" si="41"/>
        <v>1.6684229012996249E-3</v>
      </c>
      <c r="T88" s="53">
        <f t="shared" si="42"/>
        <v>0</v>
      </c>
      <c r="U88" s="54">
        <f t="shared" si="43"/>
        <v>0</v>
      </c>
      <c r="V88" s="55">
        <f t="shared" si="44"/>
        <v>-2.0000000000000573E-4</v>
      </c>
    </row>
    <row r="89" spans="1:22">
      <c r="A89" s="169">
        <v>78</v>
      </c>
      <c r="B89" s="170" t="s">
        <v>126</v>
      </c>
      <c r="C89" s="171" t="s">
        <v>29</v>
      </c>
      <c r="D89" s="58">
        <v>11730240517.299999</v>
      </c>
      <c r="E89" s="27">
        <f t="shared" si="45"/>
        <v>5.0829012387924769E-2</v>
      </c>
      <c r="F89" s="58">
        <v>1734.17</v>
      </c>
      <c r="G89" s="58">
        <v>1734.17</v>
      </c>
      <c r="H89" s="29">
        <v>2066</v>
      </c>
      <c r="I89" s="47">
        <v>8.9999999999999998E-4</v>
      </c>
      <c r="J89" s="47">
        <v>2.4299999999999999E-2</v>
      </c>
      <c r="K89" s="58">
        <v>11739130590.690001</v>
      </c>
      <c r="L89" s="27">
        <f t="shared" si="39"/>
        <v>6.1582874762167568E-2</v>
      </c>
      <c r="M89" s="58">
        <v>1735.51</v>
      </c>
      <c r="N89" s="58">
        <v>1735.51</v>
      </c>
      <c r="O89" s="29">
        <v>2069</v>
      </c>
      <c r="P89" s="47">
        <v>0.08</v>
      </c>
      <c r="Q89" s="47">
        <v>2.5100000000000001E-2</v>
      </c>
      <c r="R89" s="53">
        <f t="shared" si="40"/>
        <v>7.5787647976101043E-4</v>
      </c>
      <c r="S89" s="53">
        <f t="shared" si="41"/>
        <v>7.727039448265845E-4</v>
      </c>
      <c r="T89" s="53">
        <f t="shared" si="42"/>
        <v>1.4520813165537271E-3</v>
      </c>
      <c r="U89" s="54">
        <f t="shared" si="43"/>
        <v>7.9100000000000004E-2</v>
      </c>
      <c r="V89" s="55">
        <f t="shared" si="44"/>
        <v>8.000000000000021E-4</v>
      </c>
    </row>
    <row r="90" spans="1:22">
      <c r="A90" s="169">
        <v>79</v>
      </c>
      <c r="B90" s="170" t="s">
        <v>127</v>
      </c>
      <c r="C90" s="171" t="s">
        <v>76</v>
      </c>
      <c r="D90" s="26">
        <v>23226907.09</v>
      </c>
      <c r="E90" s="27">
        <f t="shared" si="45"/>
        <v>1.0064591143460472E-4</v>
      </c>
      <c r="F90" s="57">
        <v>0.70940000000000003</v>
      </c>
      <c r="G90" s="57">
        <v>0.70940000000000003</v>
      </c>
      <c r="H90" s="29">
        <v>745</v>
      </c>
      <c r="I90" s="47">
        <v>2.3E-3</v>
      </c>
      <c r="J90" s="47">
        <v>-1.0200000000000001E-2</v>
      </c>
      <c r="K90" s="26">
        <v>23270860.539999999</v>
      </c>
      <c r="L90" s="27">
        <f t="shared" si="39"/>
        <v>1.2207773643639597E-4</v>
      </c>
      <c r="M90" s="57">
        <v>0.7107</v>
      </c>
      <c r="N90" s="57">
        <v>0.7107</v>
      </c>
      <c r="O90" s="29">
        <v>745</v>
      </c>
      <c r="P90" s="47">
        <v>1.8E-3</v>
      </c>
      <c r="Q90" s="47">
        <v>-8.3999999999999995E-3</v>
      </c>
      <c r="R90" s="53">
        <f t="shared" si="40"/>
        <v>1.8923505324961135E-3</v>
      </c>
      <c r="S90" s="53">
        <f t="shared" si="41"/>
        <v>1.8325345362277528E-3</v>
      </c>
      <c r="T90" s="53">
        <f t="shared" si="42"/>
        <v>0</v>
      </c>
      <c r="U90" s="54">
        <f t="shared" si="43"/>
        <v>-5.0000000000000001E-4</v>
      </c>
      <c r="V90" s="55">
        <f t="shared" si="44"/>
        <v>1.8000000000000013E-3</v>
      </c>
    </row>
    <row r="91" spans="1:22">
      <c r="A91" s="169">
        <v>80</v>
      </c>
      <c r="B91" s="170" t="s">
        <v>128</v>
      </c>
      <c r="C91" s="171" t="s">
        <v>35</v>
      </c>
      <c r="D91" s="26">
        <v>10617069669.93</v>
      </c>
      <c r="E91" s="27">
        <f t="shared" si="45"/>
        <v>4.6005464677423946E-2</v>
      </c>
      <c r="F91" s="57">
        <v>1</v>
      </c>
      <c r="G91" s="57">
        <v>1</v>
      </c>
      <c r="H91" s="29">
        <v>4464</v>
      </c>
      <c r="I91" s="47">
        <v>0.06</v>
      </c>
      <c r="J91" s="47">
        <v>0.06</v>
      </c>
      <c r="K91" s="26">
        <v>10624082675.26</v>
      </c>
      <c r="L91" s="27">
        <f t="shared" si="39"/>
        <v>5.5733390799172867E-2</v>
      </c>
      <c r="M91" s="57">
        <v>1</v>
      </c>
      <c r="N91" s="57">
        <v>1</v>
      </c>
      <c r="O91" s="29">
        <v>4476</v>
      </c>
      <c r="P91" s="47">
        <v>0.06</v>
      </c>
      <c r="Q91" s="47">
        <v>0.06</v>
      </c>
      <c r="R91" s="53">
        <f t="shared" si="40"/>
        <v>6.605405773932499E-4</v>
      </c>
      <c r="S91" s="53">
        <f t="shared" si="41"/>
        <v>0</v>
      </c>
      <c r="T91" s="53">
        <f t="shared" si="42"/>
        <v>2.6881720430107529E-3</v>
      </c>
      <c r="U91" s="54">
        <f t="shared" si="43"/>
        <v>0</v>
      </c>
      <c r="V91" s="55">
        <f t="shared" si="44"/>
        <v>0</v>
      </c>
    </row>
    <row r="92" spans="1:22">
      <c r="A92" s="169">
        <v>81</v>
      </c>
      <c r="B92" s="170" t="s">
        <v>129</v>
      </c>
      <c r="C92" s="171" t="s">
        <v>130</v>
      </c>
      <c r="D92" s="26">
        <v>1565299406.6800001</v>
      </c>
      <c r="E92" s="27">
        <f t="shared" si="45"/>
        <v>6.782693229146361E-3</v>
      </c>
      <c r="F92" s="26">
        <v>262.68</v>
      </c>
      <c r="G92" s="26">
        <v>266.08</v>
      </c>
      <c r="H92" s="29">
        <v>562</v>
      </c>
      <c r="I92" s="47">
        <v>3.0000000000000001E-3</v>
      </c>
      <c r="J92" s="47">
        <v>0.18559999999999999</v>
      </c>
      <c r="K92" s="26">
        <v>1561299406.6800001</v>
      </c>
      <c r="L92" s="27">
        <f t="shared" si="39"/>
        <v>8.190496313591953E-3</v>
      </c>
      <c r="M92" s="26">
        <v>262.7</v>
      </c>
      <c r="N92" s="26">
        <v>266.81</v>
      </c>
      <c r="O92" s="29">
        <v>562</v>
      </c>
      <c r="P92" s="47">
        <v>3.0000000000000001E-3</v>
      </c>
      <c r="Q92" s="47">
        <v>0.18559999999999999</v>
      </c>
      <c r="R92" s="53">
        <f t="shared" si="40"/>
        <v>-2.5554216547516617E-3</v>
      </c>
      <c r="S92" s="53">
        <f t="shared" si="41"/>
        <v>2.7435357787132376E-3</v>
      </c>
      <c r="T92" s="53">
        <f t="shared" si="42"/>
        <v>0</v>
      </c>
      <c r="U92" s="54">
        <f t="shared" si="43"/>
        <v>0</v>
      </c>
      <c r="V92" s="55">
        <f t="shared" si="44"/>
        <v>0</v>
      </c>
    </row>
    <row r="93" spans="1:22">
      <c r="A93" s="169">
        <v>82</v>
      </c>
      <c r="B93" s="170" t="s">
        <v>131</v>
      </c>
      <c r="C93" s="171" t="s">
        <v>39</v>
      </c>
      <c r="D93" s="26">
        <v>1137270469.73</v>
      </c>
      <c r="E93" s="27">
        <f t="shared" si="45"/>
        <v>4.9279752370868461E-3</v>
      </c>
      <c r="F93" s="57">
        <v>3.89</v>
      </c>
      <c r="G93" s="57">
        <v>3.89</v>
      </c>
      <c r="H93" s="43">
        <v>769</v>
      </c>
      <c r="I93" s="50">
        <v>1.6000000000000001E-3</v>
      </c>
      <c r="J93" s="50">
        <v>0.1111</v>
      </c>
      <c r="K93" s="26">
        <v>1138624231.71</v>
      </c>
      <c r="L93" s="27">
        <f t="shared" si="39"/>
        <v>5.973164104518639E-3</v>
      </c>
      <c r="M93" s="57">
        <v>3.89</v>
      </c>
      <c r="N93" s="57">
        <v>3.89</v>
      </c>
      <c r="O93" s="43">
        <v>768</v>
      </c>
      <c r="P93" s="50">
        <v>1.1999999999999999E-3</v>
      </c>
      <c r="Q93" s="50">
        <v>0.10979999999999999</v>
      </c>
      <c r="R93" s="53">
        <f t="shared" si="40"/>
        <v>1.1903606187202032E-3</v>
      </c>
      <c r="S93" s="53">
        <f t="shared" si="41"/>
        <v>0</v>
      </c>
      <c r="T93" s="53">
        <f t="shared" si="42"/>
        <v>-1.3003901170351106E-3</v>
      </c>
      <c r="U93" s="54">
        <f t="shared" si="43"/>
        <v>-4.0000000000000018E-4</v>
      </c>
      <c r="V93" s="55">
        <f t="shared" si="44"/>
        <v>-1.3000000000000095E-3</v>
      </c>
    </row>
    <row r="94" spans="1:22">
      <c r="A94" s="169">
        <v>83</v>
      </c>
      <c r="B94" s="170" t="s">
        <v>132</v>
      </c>
      <c r="C94" s="171" t="s">
        <v>41</v>
      </c>
      <c r="D94" s="26">
        <v>629687095.85000002</v>
      </c>
      <c r="E94" s="27">
        <f t="shared" si="45"/>
        <v>2.72853511812246E-3</v>
      </c>
      <c r="F94" s="57">
        <v>108.14</v>
      </c>
      <c r="G94" s="57">
        <v>108.14</v>
      </c>
      <c r="H94" s="43">
        <v>132</v>
      </c>
      <c r="I94" s="50">
        <v>0.152</v>
      </c>
      <c r="J94" s="50">
        <v>0.17530000000000001</v>
      </c>
      <c r="K94" s="26">
        <v>633793006.60000002</v>
      </c>
      <c r="L94" s="27">
        <f t="shared" si="39"/>
        <v>3.324845485707413E-3</v>
      </c>
      <c r="M94" s="57">
        <v>108.39</v>
      </c>
      <c r="N94" s="57">
        <v>108.39</v>
      </c>
      <c r="O94" s="43">
        <v>145</v>
      </c>
      <c r="P94" s="50">
        <v>0.14990000000000001</v>
      </c>
      <c r="Q94" s="50">
        <v>0.1731</v>
      </c>
      <c r="R94" s="53">
        <f t="shared" si="40"/>
        <v>6.5205572371743242E-3</v>
      </c>
      <c r="S94" s="53">
        <f t="shared" si="41"/>
        <v>2.3118180136859627E-3</v>
      </c>
      <c r="T94" s="53">
        <f t="shared" si="42"/>
        <v>9.8484848484848481E-2</v>
      </c>
      <c r="U94" s="54">
        <f t="shared" si="43"/>
        <v>-2.0999999999999908E-3</v>
      </c>
      <c r="V94" s="55">
        <f t="shared" si="44"/>
        <v>-2.2000000000000075E-3</v>
      </c>
    </row>
    <row r="95" spans="1:22">
      <c r="A95" s="169">
        <v>84</v>
      </c>
      <c r="B95" s="171" t="s">
        <v>133</v>
      </c>
      <c r="C95" s="174" t="s">
        <v>45</v>
      </c>
      <c r="D95" s="26">
        <v>984053265.30999994</v>
      </c>
      <c r="E95" s="27">
        <f t="shared" si="45"/>
        <v>4.2640605313293929E-3</v>
      </c>
      <c r="F95" s="57">
        <v>107.32</v>
      </c>
      <c r="G95" s="57">
        <v>107.68</v>
      </c>
      <c r="H95" s="29">
        <v>289</v>
      </c>
      <c r="I95" s="47">
        <v>2.3999999999999998E-3</v>
      </c>
      <c r="J95" s="47">
        <v>0.11459999999999999</v>
      </c>
      <c r="K95" s="26">
        <v>989443388.08000004</v>
      </c>
      <c r="L95" s="27">
        <f t="shared" si="39"/>
        <v>5.1905690784894752E-3</v>
      </c>
      <c r="M95" s="57">
        <v>107.52</v>
      </c>
      <c r="N95" s="57">
        <v>107.92</v>
      </c>
      <c r="O95" s="29">
        <v>289</v>
      </c>
      <c r="P95" s="47">
        <v>6.1000000000000004E-3</v>
      </c>
      <c r="Q95" s="47">
        <v>0.1053</v>
      </c>
      <c r="R95" s="53">
        <f t="shared" si="40"/>
        <v>5.4774705394652441E-3</v>
      </c>
      <c r="S95" s="53">
        <f t="shared" si="41"/>
        <v>2.2288261515601305E-3</v>
      </c>
      <c r="T95" s="53">
        <f t="shared" si="42"/>
        <v>0</v>
      </c>
      <c r="U95" s="54">
        <f t="shared" si="43"/>
        <v>3.7000000000000006E-3</v>
      </c>
      <c r="V95" s="55">
        <f t="shared" si="44"/>
        <v>-9.2999999999999888E-3</v>
      </c>
    </row>
    <row r="96" spans="1:22">
      <c r="A96" s="169">
        <v>85</v>
      </c>
      <c r="B96" s="170" t="s">
        <v>134</v>
      </c>
      <c r="C96" s="171" t="s">
        <v>17</v>
      </c>
      <c r="D96" s="124">
        <v>1545554786.03</v>
      </c>
      <c r="E96" s="27">
        <f t="shared" si="45"/>
        <v>6.6971366230278761E-3</v>
      </c>
      <c r="F96" s="57">
        <v>374.7013</v>
      </c>
      <c r="G96" s="57">
        <v>374.7013</v>
      </c>
      <c r="H96" s="29">
        <v>90</v>
      </c>
      <c r="I96" s="47">
        <v>2.5000000000000001E-3</v>
      </c>
      <c r="J96" s="47">
        <v>9.06E-2</v>
      </c>
      <c r="K96" s="124">
        <v>1549824512.95</v>
      </c>
      <c r="L96" s="27">
        <f t="shared" si="39"/>
        <v>8.1302996117983643E-3</v>
      </c>
      <c r="M96" s="57">
        <v>375.68270000000001</v>
      </c>
      <c r="N96" s="57">
        <v>375.68270000000001</v>
      </c>
      <c r="O96" s="29">
        <v>90</v>
      </c>
      <c r="P96" s="47">
        <v>2.5999999999999999E-3</v>
      </c>
      <c r="Q96" s="47">
        <v>9.3399999999999997E-2</v>
      </c>
      <c r="R96" s="53">
        <f t="shared" si="40"/>
        <v>2.7625852920863062E-3</v>
      </c>
      <c r="S96" s="53">
        <f t="shared" si="41"/>
        <v>2.6191529092640131E-3</v>
      </c>
      <c r="T96" s="53">
        <f t="shared" si="42"/>
        <v>0</v>
      </c>
      <c r="U96" s="54">
        <f t="shared" si="43"/>
        <v>9.9999999999999829E-5</v>
      </c>
      <c r="V96" s="55">
        <f t="shared" si="44"/>
        <v>2.7999999999999969E-3</v>
      </c>
    </row>
    <row r="97" spans="1:22">
      <c r="A97" s="169">
        <v>86</v>
      </c>
      <c r="B97" s="170" t="s">
        <v>135</v>
      </c>
      <c r="C97" s="171" t="s">
        <v>85</v>
      </c>
      <c r="D97" s="41">
        <v>1767304283</v>
      </c>
      <c r="E97" s="27">
        <f>(D97/$K$70)</f>
        <v>4.6660516654800443E-4</v>
      </c>
      <c r="F97" s="57">
        <v>102.35</v>
      </c>
      <c r="G97" s="57">
        <v>102.35</v>
      </c>
      <c r="H97" s="29">
        <v>402</v>
      </c>
      <c r="I97" s="47">
        <v>6.9999999999999999E-4</v>
      </c>
      <c r="J97" s="47">
        <v>0.1234</v>
      </c>
      <c r="K97" s="41">
        <v>1772276976</v>
      </c>
      <c r="L97" s="27">
        <f>(K97/$K$70)</f>
        <v>4.6791806114559938E-4</v>
      </c>
      <c r="M97" s="57">
        <v>103.08</v>
      </c>
      <c r="N97" s="57">
        <v>103.08</v>
      </c>
      <c r="O97" s="29">
        <v>402</v>
      </c>
      <c r="P97" s="47">
        <v>7.1999999999999998E-3</v>
      </c>
      <c r="Q97" s="47">
        <v>0.13059999999999999</v>
      </c>
      <c r="R97" s="53">
        <f t="shared" si="40"/>
        <v>2.8137163746125545E-3</v>
      </c>
      <c r="S97" s="53">
        <f t="shared" si="41"/>
        <v>7.1323888617489404E-3</v>
      </c>
      <c r="T97" s="53">
        <f t="shared" si="42"/>
        <v>0</v>
      </c>
      <c r="U97" s="54">
        <f t="shared" si="43"/>
        <v>6.4999999999999997E-3</v>
      </c>
      <c r="V97" s="55">
        <f t="shared" si="44"/>
        <v>7.1999999999999981E-3</v>
      </c>
    </row>
    <row r="98" spans="1:22">
      <c r="A98" s="169">
        <v>87</v>
      </c>
      <c r="B98" s="170" t="s">
        <v>136</v>
      </c>
      <c r="C98" s="171" t="s">
        <v>43</v>
      </c>
      <c r="D98" s="26">
        <v>64015892.649999999</v>
      </c>
      <c r="E98" s="27">
        <f t="shared" ref="E98:E111" si="54">(D98/$D$112)</f>
        <v>2.7739112388463355E-4</v>
      </c>
      <c r="F98" s="26">
        <v>12.79</v>
      </c>
      <c r="G98" s="26">
        <v>13.27</v>
      </c>
      <c r="H98" s="29">
        <v>59</v>
      </c>
      <c r="I98" s="47">
        <v>0.69</v>
      </c>
      <c r="J98" s="47">
        <v>7.1199999999999999E-2</v>
      </c>
      <c r="K98" s="26">
        <v>59357915.109999999</v>
      </c>
      <c r="L98" s="27">
        <f t="shared" ref="L98:L111" si="55">(K98/$K$112)</f>
        <v>3.1138856699162472E-4</v>
      </c>
      <c r="M98" s="26">
        <v>12.79</v>
      </c>
      <c r="N98" s="26">
        <v>13.12</v>
      </c>
      <c r="O98" s="29">
        <v>59</v>
      </c>
      <c r="P98" s="47">
        <v>0</v>
      </c>
      <c r="Q98" s="47">
        <v>7.1199999999999999E-2</v>
      </c>
      <c r="R98" s="53">
        <f t="shared" si="40"/>
        <v>-7.2762830403178005E-2</v>
      </c>
      <c r="S98" s="53">
        <f t="shared" si="41"/>
        <v>-1.130369253956295E-2</v>
      </c>
      <c r="T98" s="53">
        <f t="shared" si="42"/>
        <v>0</v>
      </c>
      <c r="U98" s="54">
        <f t="shared" si="43"/>
        <v>-0.69</v>
      </c>
      <c r="V98" s="55">
        <f t="shared" si="44"/>
        <v>0</v>
      </c>
    </row>
    <row r="99" spans="1:22">
      <c r="A99" s="169">
        <v>88</v>
      </c>
      <c r="B99" s="170" t="s">
        <v>137</v>
      </c>
      <c r="C99" s="171" t="s">
        <v>138</v>
      </c>
      <c r="D99" s="26">
        <v>717857961.87</v>
      </c>
      <c r="E99" s="27">
        <f t="shared" si="54"/>
        <v>3.1105936133915915E-3</v>
      </c>
      <c r="F99" s="26">
        <v>147.38</v>
      </c>
      <c r="G99" s="26">
        <v>147.38</v>
      </c>
      <c r="H99" s="29">
        <v>154</v>
      </c>
      <c r="I99" s="47">
        <v>0.18287400000000001</v>
      </c>
      <c r="J99" s="47">
        <v>0.1943</v>
      </c>
      <c r="K99" s="26">
        <v>719994844</v>
      </c>
      <c r="L99" s="27">
        <f t="shared" si="55"/>
        <v>3.7770558871389305E-3</v>
      </c>
      <c r="M99" s="26">
        <v>147.86000000000001</v>
      </c>
      <c r="N99" s="26">
        <v>147.86000000000001</v>
      </c>
      <c r="O99" s="29">
        <v>155</v>
      </c>
      <c r="P99" s="47">
        <v>0.18679999999999999</v>
      </c>
      <c r="Q99" s="47">
        <v>0.19400000000000001</v>
      </c>
      <c r="R99" s="53">
        <f t="shared" si="40"/>
        <v>2.9767478296590551E-3</v>
      </c>
      <c r="S99" s="53">
        <f t="shared" si="41"/>
        <v>3.2568869588819258E-3</v>
      </c>
      <c r="T99" s="53">
        <f t="shared" si="42"/>
        <v>6.4935064935064939E-3</v>
      </c>
      <c r="U99" s="54">
        <f t="shared" si="43"/>
        <v>3.9259999999999851E-3</v>
      </c>
      <c r="V99" s="55">
        <f t="shared" si="44"/>
        <v>-2.9999999999999472E-4</v>
      </c>
    </row>
    <row r="100" spans="1:22">
      <c r="A100" s="169">
        <v>89</v>
      </c>
      <c r="B100" s="170" t="s">
        <v>139</v>
      </c>
      <c r="C100" s="171" t="s">
        <v>140</v>
      </c>
      <c r="D100" s="26">
        <v>9841011755.1599998</v>
      </c>
      <c r="E100" s="27">
        <f t="shared" si="54"/>
        <v>4.2642681339314613E-2</v>
      </c>
      <c r="F100" s="26">
        <v>1.1100000000000001</v>
      </c>
      <c r="G100" s="26">
        <v>1.1100000000000001</v>
      </c>
      <c r="H100" s="29">
        <v>4935</v>
      </c>
      <c r="I100" s="47">
        <v>0.19009999999999999</v>
      </c>
      <c r="J100" s="47">
        <v>0.19009999999999999</v>
      </c>
      <c r="K100" s="26">
        <v>9841173843.6900005</v>
      </c>
      <c r="L100" s="27">
        <f t="shared" si="55"/>
        <v>5.1626291371979563E-2</v>
      </c>
      <c r="M100" s="26">
        <v>1.1100000000000001</v>
      </c>
      <c r="N100" s="26">
        <v>1.1100000000000001</v>
      </c>
      <c r="O100" s="29">
        <v>4953</v>
      </c>
      <c r="P100" s="47">
        <v>0.19020000000000001</v>
      </c>
      <c r="Q100" s="47">
        <v>0.19020000000000001</v>
      </c>
      <c r="R100" s="53">
        <f t="shared" si="40"/>
        <v>1.6470718055559453E-5</v>
      </c>
      <c r="S100" s="53">
        <f t="shared" si="41"/>
        <v>0</v>
      </c>
      <c r="T100" s="53">
        <f t="shared" si="42"/>
        <v>3.64741641337386E-3</v>
      </c>
      <c r="U100" s="54">
        <f t="shared" si="43"/>
        <v>1.0000000000001674E-4</v>
      </c>
      <c r="V100" s="55">
        <f t="shared" si="44"/>
        <v>1.0000000000001674E-4</v>
      </c>
    </row>
    <row r="101" spans="1:22" ht="14.25" customHeight="1">
      <c r="A101" s="169">
        <v>90</v>
      </c>
      <c r="B101" s="170" t="s">
        <v>141</v>
      </c>
      <c r="C101" s="171" t="s">
        <v>47</v>
      </c>
      <c r="D101" s="26">
        <v>7529741811.4099998</v>
      </c>
      <c r="E101" s="27">
        <f t="shared" si="54"/>
        <v>3.2627578202303428E-2</v>
      </c>
      <c r="F101" s="26">
        <v>5176.01</v>
      </c>
      <c r="G101" s="26">
        <v>5176.01</v>
      </c>
      <c r="H101" s="29">
        <v>235</v>
      </c>
      <c r="I101" s="47">
        <v>0</v>
      </c>
      <c r="J101" s="47">
        <v>1.6999999999999999E-3</v>
      </c>
      <c r="K101" s="26">
        <v>7529334567.5799999</v>
      </c>
      <c r="L101" s="27">
        <f t="shared" si="55"/>
        <v>3.9498501540264769E-2</v>
      </c>
      <c r="M101" s="26">
        <v>5176.07</v>
      </c>
      <c r="N101" s="26">
        <v>5176.07</v>
      </c>
      <c r="O101" s="29">
        <v>234</v>
      </c>
      <c r="P101" s="47">
        <v>0</v>
      </c>
      <c r="Q101" s="47">
        <v>1.6999999999999999E-3</v>
      </c>
      <c r="R101" s="53">
        <f t="shared" si="40"/>
        <v>-5.4084700405373435E-5</v>
      </c>
      <c r="S101" s="53">
        <f t="shared" si="41"/>
        <v>1.1591940510062901E-5</v>
      </c>
      <c r="T101" s="53">
        <f t="shared" si="42"/>
        <v>-4.2553191489361703E-3</v>
      </c>
      <c r="U101" s="54">
        <f t="shared" si="43"/>
        <v>0</v>
      </c>
      <c r="V101" s="55">
        <f t="shared" si="44"/>
        <v>0</v>
      </c>
    </row>
    <row r="102" spans="1:22" ht="13.5" customHeight="1">
      <c r="A102" s="169">
        <v>91</v>
      </c>
      <c r="B102" s="170" t="s">
        <v>142</v>
      </c>
      <c r="C102" s="171" t="s">
        <v>47</v>
      </c>
      <c r="D102" s="26">
        <v>16666310830.85</v>
      </c>
      <c r="E102" s="27">
        <f t="shared" si="54"/>
        <v>7.2217796253445238E-2</v>
      </c>
      <c r="F102" s="57">
        <v>259.17</v>
      </c>
      <c r="G102" s="57">
        <v>259.17</v>
      </c>
      <c r="H102" s="29">
        <v>6131</v>
      </c>
      <c r="I102" s="47">
        <v>0</v>
      </c>
      <c r="J102" s="47">
        <v>1.1999999999999999E-3</v>
      </c>
      <c r="K102" s="26">
        <v>16671978509.809999</v>
      </c>
      <c r="L102" s="27">
        <f t="shared" si="55"/>
        <v>8.7460341008680317E-2</v>
      </c>
      <c r="M102" s="57">
        <v>259.17</v>
      </c>
      <c r="N102" s="57">
        <v>259.17</v>
      </c>
      <c r="O102" s="29">
        <v>6125</v>
      </c>
      <c r="P102" s="47">
        <v>0</v>
      </c>
      <c r="Q102" s="47">
        <v>1.1999999999999999E-3</v>
      </c>
      <c r="R102" s="53">
        <f t="shared" si="40"/>
        <v>3.4006799810237467E-4</v>
      </c>
      <c r="S102" s="53">
        <f t="shared" si="41"/>
        <v>0</v>
      </c>
      <c r="T102" s="53">
        <f t="shared" si="42"/>
        <v>-9.7863317566465493E-4</v>
      </c>
      <c r="U102" s="54">
        <f t="shared" si="43"/>
        <v>0</v>
      </c>
      <c r="V102" s="55">
        <f t="shared" si="44"/>
        <v>0</v>
      </c>
    </row>
    <row r="103" spans="1:22" ht="13.5" customHeight="1">
      <c r="A103" s="169">
        <v>92</v>
      </c>
      <c r="B103" s="170" t="s">
        <v>143</v>
      </c>
      <c r="C103" s="171" t="s">
        <v>47</v>
      </c>
      <c r="D103" s="26">
        <v>527853248.63999999</v>
      </c>
      <c r="E103" s="27">
        <f t="shared" si="54"/>
        <v>2.287272735333864E-3</v>
      </c>
      <c r="F103" s="32">
        <v>8718.6200000000008</v>
      </c>
      <c r="G103" s="32">
        <v>8755.5499999999993</v>
      </c>
      <c r="H103" s="29">
        <v>15</v>
      </c>
      <c r="I103" s="47">
        <v>-2.3900000000000001E-2</v>
      </c>
      <c r="J103" s="47">
        <v>0.28320000000000001</v>
      </c>
      <c r="K103" s="26">
        <v>527675048.20999998</v>
      </c>
      <c r="L103" s="27">
        <f t="shared" si="55"/>
        <v>2.7681561388207656E-3</v>
      </c>
      <c r="M103" s="32">
        <v>8716.02</v>
      </c>
      <c r="N103" s="32">
        <v>8752.36</v>
      </c>
      <c r="O103" s="29">
        <v>15</v>
      </c>
      <c r="P103" s="47">
        <v>-4.0000000000000002E-4</v>
      </c>
      <c r="Q103" s="47">
        <v>0.28270000000000001</v>
      </c>
      <c r="R103" s="53">
        <f t="shared" si="40"/>
        <v>-3.3759464483573015E-4</v>
      </c>
      <c r="S103" s="53">
        <f t="shared" si="41"/>
        <v>-3.6434033270310725E-4</v>
      </c>
      <c r="T103" s="53">
        <f t="shared" si="42"/>
        <v>0</v>
      </c>
      <c r="U103" s="54">
        <f t="shared" si="43"/>
        <v>2.35E-2</v>
      </c>
      <c r="V103" s="55">
        <f t="shared" si="44"/>
        <v>-5.0000000000000044E-4</v>
      </c>
    </row>
    <row r="104" spans="1:22" ht="15" customHeight="1">
      <c r="A104" s="169">
        <v>93</v>
      </c>
      <c r="B104" s="170" t="s">
        <v>144</v>
      </c>
      <c r="C104" s="171" t="s">
        <v>47</v>
      </c>
      <c r="D104" s="26">
        <v>6383894648.0600004</v>
      </c>
      <c r="E104" s="27">
        <f t="shared" si="54"/>
        <v>2.7662438777012986E-2</v>
      </c>
      <c r="F104" s="57">
        <v>153.35</v>
      </c>
      <c r="G104" s="57">
        <v>153.35</v>
      </c>
      <c r="H104" s="29">
        <v>4857</v>
      </c>
      <c r="I104" s="47">
        <v>3.0000000000000001E-3</v>
      </c>
      <c r="J104" s="47">
        <v>0.11219999999999999</v>
      </c>
      <c r="K104" s="26">
        <v>6463336700.3100004</v>
      </c>
      <c r="L104" s="27">
        <f t="shared" si="55"/>
        <v>3.3906331604878819E-2</v>
      </c>
      <c r="M104" s="57">
        <v>153.75</v>
      </c>
      <c r="N104" s="57">
        <v>153.75</v>
      </c>
      <c r="O104" s="29">
        <v>4878</v>
      </c>
      <c r="P104" s="47">
        <v>2.5999999999999999E-3</v>
      </c>
      <c r="Q104" s="47">
        <v>0.11509999999999999</v>
      </c>
      <c r="R104" s="53">
        <f t="shared" si="40"/>
        <v>1.2444135849601093E-2</v>
      </c>
      <c r="S104" s="53">
        <f t="shared" si="41"/>
        <v>2.6084121291164377E-3</v>
      </c>
      <c r="T104" s="53">
        <f t="shared" si="42"/>
        <v>4.3236565781346508E-3</v>
      </c>
      <c r="U104" s="54">
        <f t="shared" si="43"/>
        <v>-4.0000000000000018E-4</v>
      </c>
      <c r="V104" s="55">
        <f t="shared" si="44"/>
        <v>2.8999999999999998E-3</v>
      </c>
    </row>
    <row r="105" spans="1:22" ht="15" customHeight="1">
      <c r="A105" s="169">
        <v>94</v>
      </c>
      <c r="B105" s="170" t="s">
        <v>145</v>
      </c>
      <c r="C105" s="171" t="s">
        <v>47</v>
      </c>
      <c r="D105" s="26">
        <v>7030455208.71</v>
      </c>
      <c r="E105" s="27">
        <f t="shared" si="54"/>
        <v>3.0464089322741684E-2</v>
      </c>
      <c r="F105" s="57">
        <v>382.84</v>
      </c>
      <c r="G105" s="57">
        <v>383.46</v>
      </c>
      <c r="H105" s="29">
        <v>10500</v>
      </c>
      <c r="I105" s="47">
        <v>-4.0000000000000001E-3</v>
      </c>
      <c r="J105" s="47">
        <v>8.2500000000000004E-2</v>
      </c>
      <c r="K105" s="26">
        <v>7016291287.0200005</v>
      </c>
      <c r="L105" s="27">
        <f t="shared" si="55"/>
        <v>3.6807102901309771E-2</v>
      </c>
      <c r="M105" s="57">
        <v>382.51</v>
      </c>
      <c r="N105" s="57">
        <v>383.12</v>
      </c>
      <c r="O105" s="29">
        <v>10520</v>
      </c>
      <c r="P105" s="47">
        <v>-8.9999999999999998E-4</v>
      </c>
      <c r="Q105" s="47">
        <v>8.1500000000000003E-2</v>
      </c>
      <c r="R105" s="53">
        <f t="shared" si="40"/>
        <v>-2.0146521483348561E-3</v>
      </c>
      <c r="S105" s="53">
        <f t="shared" si="41"/>
        <v>-8.8666353726588173E-4</v>
      </c>
      <c r="T105" s="53">
        <f t="shared" si="42"/>
        <v>1.9047619047619048E-3</v>
      </c>
      <c r="U105" s="54">
        <f t="shared" si="43"/>
        <v>3.1000000000000003E-3</v>
      </c>
      <c r="V105" s="55">
        <f t="shared" si="44"/>
        <v>-1.0000000000000009E-3</v>
      </c>
    </row>
    <row r="106" spans="1:22" ht="15" customHeight="1">
      <c r="A106" s="169">
        <v>95</v>
      </c>
      <c r="B106" s="170" t="s">
        <v>314</v>
      </c>
      <c r="C106" s="171" t="s">
        <v>99</v>
      </c>
      <c r="D106" s="26">
        <v>86777802.409999996</v>
      </c>
      <c r="E106" s="27">
        <f t="shared" si="54"/>
        <v>3.7602212735447283E-4</v>
      </c>
      <c r="F106" s="57">
        <v>103.819</v>
      </c>
      <c r="G106" s="57">
        <v>103.819</v>
      </c>
      <c r="H106" s="29">
        <v>23</v>
      </c>
      <c r="I106" s="47">
        <v>0.17760000000000001</v>
      </c>
      <c r="J106" s="47">
        <v>0.17419999999999999</v>
      </c>
      <c r="K106" s="26">
        <v>89024572.469999999</v>
      </c>
      <c r="L106" s="27">
        <f t="shared" si="55"/>
        <v>4.6701832429766655E-4</v>
      </c>
      <c r="M106" s="57">
        <v>104.113</v>
      </c>
      <c r="N106" s="57">
        <v>104.113</v>
      </c>
      <c r="O106" s="29">
        <v>24</v>
      </c>
      <c r="P106" s="47">
        <v>0.1794</v>
      </c>
      <c r="Q106" s="47">
        <v>0.17460000000000001</v>
      </c>
      <c r="R106" s="53">
        <f t="shared" ref="R106" si="56">((K106-D106)/D106)</f>
        <v>2.589106888631109E-2</v>
      </c>
      <c r="S106" s="53">
        <f t="shared" ref="S106" si="57">((N106-G106)/G106)</f>
        <v>2.8318515878596106E-3</v>
      </c>
      <c r="T106" s="53">
        <f t="shared" ref="T106" si="58">((O106-H106)/H106)</f>
        <v>4.3478260869565216E-2</v>
      </c>
      <c r="U106" s="54">
        <f t="shared" ref="U106" si="59">P106-I106</f>
        <v>1.799999999999996E-3</v>
      </c>
      <c r="V106" s="55">
        <f t="shared" ref="V106" si="60">Q106-J106</f>
        <v>4.0000000000001146E-4</v>
      </c>
    </row>
    <row r="107" spans="1:22">
      <c r="A107" s="169">
        <v>96</v>
      </c>
      <c r="B107" s="170" t="s">
        <v>146</v>
      </c>
      <c r="C107" s="171" t="s">
        <v>50</v>
      </c>
      <c r="D107" s="26">
        <v>85752438855.770004</v>
      </c>
      <c r="E107" s="27">
        <f t="shared" si="54"/>
        <v>0.37157906271967545</v>
      </c>
      <c r="F107" s="26">
        <v>1.9258</v>
      </c>
      <c r="G107" s="26">
        <v>1.9258</v>
      </c>
      <c r="H107" s="29">
        <v>6656</v>
      </c>
      <c r="I107" s="47">
        <v>8.1699999999999995E-2</v>
      </c>
      <c r="J107" s="47">
        <v>8.6999999999999994E-2</v>
      </c>
      <c r="K107" s="26">
        <v>44525094922.839996</v>
      </c>
      <c r="L107" s="27">
        <f t="shared" si="55"/>
        <v>0.23357635586586578</v>
      </c>
      <c r="M107" s="26">
        <v>1.9280999999999999</v>
      </c>
      <c r="N107" s="26">
        <v>1.9280999999999999</v>
      </c>
      <c r="O107" s="29">
        <v>6677</v>
      </c>
      <c r="P107" s="47">
        <v>7.8700000000000006E-2</v>
      </c>
      <c r="Q107" s="47">
        <v>8.6599999999999996E-2</v>
      </c>
      <c r="R107" s="53">
        <f t="shared" si="40"/>
        <v>-0.48077167813584526</v>
      </c>
      <c r="S107" s="53">
        <f t="shared" si="41"/>
        <v>1.1943088586561267E-3</v>
      </c>
      <c r="T107" s="53">
        <f t="shared" si="42"/>
        <v>3.155048076923077E-3</v>
      </c>
      <c r="U107" s="54">
        <f t="shared" si="43"/>
        <v>-2.9999999999999888E-3</v>
      </c>
      <c r="V107" s="55">
        <f t="shared" si="44"/>
        <v>-3.9999999999999758E-4</v>
      </c>
    </row>
    <row r="108" spans="1:22">
      <c r="A108" s="169">
        <v>97</v>
      </c>
      <c r="B108" s="170" t="s">
        <v>147</v>
      </c>
      <c r="C108" s="171" t="s">
        <v>50</v>
      </c>
      <c r="D108" s="26">
        <v>51441466837.18</v>
      </c>
      <c r="E108" s="27">
        <f t="shared" si="54"/>
        <v>0.22290412129775192</v>
      </c>
      <c r="F108" s="26">
        <v>121.9823</v>
      </c>
      <c r="G108" s="26">
        <v>121.9823</v>
      </c>
      <c r="H108" s="29">
        <v>886</v>
      </c>
      <c r="I108" s="47">
        <v>0.19570000000000001</v>
      </c>
      <c r="J108" s="47">
        <v>0.20910000000000001</v>
      </c>
      <c r="K108" s="26">
        <v>52193202947.910004</v>
      </c>
      <c r="L108" s="27">
        <f t="shared" si="55"/>
        <v>0.27380285582022929</v>
      </c>
      <c r="M108" s="26">
        <v>122.3378</v>
      </c>
      <c r="N108" s="26">
        <v>122.3378</v>
      </c>
      <c r="O108" s="29">
        <v>900</v>
      </c>
      <c r="P108" s="47">
        <v>0.19409999999999999</v>
      </c>
      <c r="Q108" s="47">
        <v>0.2087</v>
      </c>
      <c r="R108" s="53">
        <f t="shared" ref="R108:R110" si="61">((K108-D108)/D108)</f>
        <v>1.4613426812057314E-2</v>
      </c>
      <c r="S108" s="53">
        <f t="shared" ref="S108:S110" si="62">((N108-G108)/G108)</f>
        <v>2.9143572469121043E-3</v>
      </c>
      <c r="T108" s="53">
        <f t="shared" ref="T108:T110" si="63">((O108-H108)/H108)</f>
        <v>1.580135440180587E-2</v>
      </c>
      <c r="U108" s="54">
        <f t="shared" ref="U108:U110" si="64">P108-I108</f>
        <v>-1.6000000000000181E-3</v>
      </c>
      <c r="V108" s="55">
        <f t="shared" ref="V108:V110" si="65">Q108-J108</f>
        <v>-4.0000000000001146E-4</v>
      </c>
    </row>
    <row r="109" spans="1:22">
      <c r="A109" s="169">
        <v>98</v>
      </c>
      <c r="B109" s="170" t="s">
        <v>148</v>
      </c>
      <c r="C109" s="170" t="s">
        <v>149</v>
      </c>
      <c r="D109" s="26">
        <v>104353656.84</v>
      </c>
      <c r="E109" s="27">
        <f t="shared" si="54"/>
        <v>4.521811218127094E-4</v>
      </c>
      <c r="F109" s="26">
        <v>119.06</v>
      </c>
      <c r="G109" s="26">
        <v>119.06</v>
      </c>
      <c r="H109" s="59">
        <v>85</v>
      </c>
      <c r="I109" s="60">
        <v>2.2000000000000001E-3</v>
      </c>
      <c r="J109" s="60">
        <v>7.8399999999999997E-2</v>
      </c>
      <c r="K109" s="26">
        <v>110125735.5</v>
      </c>
      <c r="L109" s="61">
        <f t="shared" si="55"/>
        <v>5.7771393929007041E-4</v>
      </c>
      <c r="M109" s="26">
        <v>119.06</v>
      </c>
      <c r="N109" s="26">
        <v>119.21</v>
      </c>
      <c r="O109" s="59">
        <v>85</v>
      </c>
      <c r="P109" s="60">
        <v>1.1999999999999999E-3</v>
      </c>
      <c r="Q109" s="60">
        <v>7.9799999999999996E-2</v>
      </c>
      <c r="R109" s="53">
        <f t="shared" si="61"/>
        <v>5.5312663061247797E-2</v>
      </c>
      <c r="S109" s="53">
        <f t="shared" si="62"/>
        <v>1.2598689736266712E-3</v>
      </c>
      <c r="T109" s="53">
        <f t="shared" si="63"/>
        <v>0</v>
      </c>
      <c r="U109" s="54">
        <f t="shared" si="64"/>
        <v>-1.0000000000000002E-3</v>
      </c>
      <c r="V109" s="55">
        <f t="shared" si="65"/>
        <v>1.3999999999999985E-3</v>
      </c>
    </row>
    <row r="110" spans="1:22">
      <c r="A110" s="169">
        <v>99</v>
      </c>
      <c r="B110" s="170" t="s">
        <v>150</v>
      </c>
      <c r="C110" s="171" t="s">
        <v>105</v>
      </c>
      <c r="D110" s="26">
        <v>316503096.63</v>
      </c>
      <c r="E110" s="27">
        <f t="shared" si="54"/>
        <v>1.371458649607106E-3</v>
      </c>
      <c r="F110" s="26">
        <v>1.3</v>
      </c>
      <c r="G110" s="26">
        <v>1.3</v>
      </c>
      <c r="H110" s="29">
        <v>564</v>
      </c>
      <c r="I110" s="47">
        <v>7.9000000000000008E-3</v>
      </c>
      <c r="J110" s="47">
        <v>0.2079</v>
      </c>
      <c r="K110" s="26">
        <v>318672069.49000001</v>
      </c>
      <c r="L110" s="27">
        <f t="shared" si="55"/>
        <v>1.671737271682394E-3</v>
      </c>
      <c r="M110" s="26">
        <v>1.31</v>
      </c>
      <c r="N110" s="26">
        <v>1.31</v>
      </c>
      <c r="O110" s="29">
        <v>572</v>
      </c>
      <c r="P110" s="47">
        <v>4.5999999999999999E-3</v>
      </c>
      <c r="Q110" s="47">
        <v>0.2145</v>
      </c>
      <c r="R110" s="53">
        <f t="shared" si="61"/>
        <v>6.8529277694100972E-3</v>
      </c>
      <c r="S110" s="53">
        <f t="shared" si="62"/>
        <v>7.6923076923076988E-3</v>
      </c>
      <c r="T110" s="53">
        <f t="shared" si="63"/>
        <v>1.4184397163120567E-2</v>
      </c>
      <c r="U110" s="54">
        <f t="shared" si="64"/>
        <v>-3.3000000000000008E-3</v>
      </c>
      <c r="V110" s="55">
        <f t="shared" si="65"/>
        <v>6.5999999999999948E-3</v>
      </c>
    </row>
    <row r="111" spans="1:22">
      <c r="A111" s="169">
        <v>100</v>
      </c>
      <c r="B111" s="170" t="s">
        <v>151</v>
      </c>
      <c r="C111" s="171" t="s">
        <v>107</v>
      </c>
      <c r="D111" s="26">
        <v>1943221614.3699999</v>
      </c>
      <c r="E111" s="27">
        <f t="shared" si="54"/>
        <v>8.4202907317735606E-3</v>
      </c>
      <c r="F111" s="57">
        <v>29.425599999999999</v>
      </c>
      <c r="G111" s="57">
        <v>29.425599999999999</v>
      </c>
      <c r="H111" s="29">
        <v>1292</v>
      </c>
      <c r="I111" s="47">
        <v>0</v>
      </c>
      <c r="J111" s="47">
        <v>0.1222</v>
      </c>
      <c r="K111" s="26">
        <v>1939822524.53</v>
      </c>
      <c r="L111" s="27">
        <f t="shared" si="55"/>
        <v>1.0176209103909553E-2</v>
      </c>
      <c r="M111" s="57">
        <v>29.482500000000002</v>
      </c>
      <c r="N111" s="57">
        <v>29.482500000000002</v>
      </c>
      <c r="O111" s="29">
        <v>1291</v>
      </c>
      <c r="P111" s="47">
        <v>0</v>
      </c>
      <c r="Q111" s="47">
        <v>0.1217</v>
      </c>
      <c r="R111" s="53">
        <f t="shared" si="40"/>
        <v>-1.7492033923788525E-3</v>
      </c>
      <c r="S111" s="53">
        <f t="shared" si="41"/>
        <v>1.933690392039666E-3</v>
      </c>
      <c r="T111" s="53">
        <f t="shared" si="42"/>
        <v>-7.7399380804953565E-4</v>
      </c>
      <c r="U111" s="54">
        <f t="shared" si="43"/>
        <v>0</v>
      </c>
      <c r="V111" s="55">
        <f t="shared" si="44"/>
        <v>-5.0000000000000044E-4</v>
      </c>
    </row>
    <row r="112" spans="1:22">
      <c r="A112" s="33"/>
      <c r="B112" s="34"/>
      <c r="C112" s="35" t="s">
        <v>51</v>
      </c>
      <c r="D112" s="45">
        <f>SUM(D73:D111)</f>
        <v>230778446525.29001</v>
      </c>
      <c r="E112" s="37">
        <f>(D112/$D$226)</f>
        <v>3.5174543417290684E-2</v>
      </c>
      <c r="F112" s="38"/>
      <c r="G112" s="42"/>
      <c r="H112" s="40">
        <f>SUM(H73:H111)</f>
        <v>53390</v>
      </c>
      <c r="I112" s="50"/>
      <c r="J112" s="50"/>
      <c r="K112" s="45">
        <f>SUM(K73:K111)</f>
        <v>190623296428.20999</v>
      </c>
      <c r="L112" s="37">
        <f>(K112/$K$226)</f>
        <v>2.9134577274283348E-2</v>
      </c>
      <c r="M112" s="38"/>
      <c r="N112" s="42"/>
      <c r="O112" s="40">
        <f>SUM(O73:O111)</f>
        <v>53594</v>
      </c>
      <c r="P112" s="50"/>
      <c r="Q112" s="50"/>
      <c r="R112" s="53">
        <f t="shared" si="40"/>
        <v>-0.17399870179245525</v>
      </c>
      <c r="S112" s="53" t="e">
        <f t="shared" si="41"/>
        <v>#DIV/0!</v>
      </c>
      <c r="T112" s="53">
        <f t="shared" si="42"/>
        <v>3.8209402509833301E-3</v>
      </c>
      <c r="U112" s="54">
        <f t="shared" si="43"/>
        <v>0</v>
      </c>
      <c r="V112" s="55">
        <f t="shared" si="44"/>
        <v>0</v>
      </c>
    </row>
    <row r="113" spans="1:28" ht="3.75" customHeight="1">
      <c r="A113" s="33"/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1"/>
      <c r="U113" s="181"/>
      <c r="V113" s="181"/>
    </row>
    <row r="114" spans="1:28" ht="15" customHeight="1">
      <c r="A114" s="185" t="s">
        <v>152</v>
      </c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</row>
    <row r="115" spans="1:28">
      <c r="A115" s="184" t="s">
        <v>153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Z115" s="62"/>
      <c r="AB115" s="65"/>
    </row>
    <row r="116" spans="1:28" ht="16.5" customHeight="1">
      <c r="A116" s="169">
        <v>101</v>
      </c>
      <c r="B116" s="170" t="s">
        <v>154</v>
      </c>
      <c r="C116" s="171" t="s">
        <v>17</v>
      </c>
      <c r="D116" s="26">
        <v>2965530224.6949344</v>
      </c>
      <c r="E116" s="27">
        <f t="shared" ref="E116:E121" si="66">(D116/$D$154)</f>
        <v>1.4877820301139597E-3</v>
      </c>
      <c r="F116" s="26">
        <v>172734.78683083999</v>
      </c>
      <c r="G116" s="26">
        <v>172734.78683083999</v>
      </c>
      <c r="H116" s="29">
        <v>190</v>
      </c>
      <c r="I116" s="47">
        <v>1.1000000000000001E-3</v>
      </c>
      <c r="J116" s="47">
        <v>4.2099999999999999E-2</v>
      </c>
      <c r="K116" s="26">
        <f>1940759.82*W135</f>
        <v>2939993200.319922</v>
      </c>
      <c r="L116" s="27">
        <f t="shared" ref="L116:L132" si="67">(K116/$K$154)</f>
        <v>1.4818474698336549E-3</v>
      </c>
      <c r="M116" s="26">
        <f>112.8857*W135</f>
        <v>171006.83299046999</v>
      </c>
      <c r="N116" s="26">
        <f>112.8857*W135</f>
        <v>171006.83299046999</v>
      </c>
      <c r="O116" s="29">
        <v>190</v>
      </c>
      <c r="P116" s="47">
        <v>8.9999999999999998E-4</v>
      </c>
      <c r="Q116" s="47">
        <v>4.3099999999999999E-2</v>
      </c>
      <c r="R116" s="54">
        <f>((K116-D116)/D116)</f>
        <v>-8.6112844719494989E-3</v>
      </c>
      <c r="S116" s="54">
        <f>((N116-G116)/G116)</f>
        <v>-1.0003508106691865E-2</v>
      </c>
      <c r="T116" s="54">
        <f>((O116-H116)/H116)</f>
        <v>0</v>
      </c>
      <c r="U116" s="54">
        <f>P116-I116</f>
        <v>-2.0000000000000009E-4</v>
      </c>
      <c r="V116" s="55">
        <f>Q116-J116</f>
        <v>1.0000000000000009E-3</v>
      </c>
      <c r="X116" s="62"/>
      <c r="Y116" s="66"/>
      <c r="Z116" s="62"/>
      <c r="AA116" s="67"/>
    </row>
    <row r="117" spans="1:28" ht="16.5" customHeight="1">
      <c r="A117" s="169">
        <v>102</v>
      </c>
      <c r="B117" s="170" t="s">
        <v>155</v>
      </c>
      <c r="C117" s="171" t="s">
        <v>55</v>
      </c>
      <c r="D117" s="26">
        <v>5441379334.3265076</v>
      </c>
      <c r="E117" s="27">
        <f t="shared" si="66"/>
        <v>2.729895087640604E-3</v>
      </c>
      <c r="F117" s="26">
        <v>153157.03</v>
      </c>
      <c r="G117" s="26">
        <v>153157.03</v>
      </c>
      <c r="H117" s="29">
        <v>82</v>
      </c>
      <c r="I117" s="47">
        <v>-5.2350000000000001E-3</v>
      </c>
      <c r="J117" s="47">
        <v>7.0429000000000005E-2</v>
      </c>
      <c r="K117" s="26">
        <f>3609016.78*W135</f>
        <v>5467180783.3699379</v>
      </c>
      <c r="L117" s="27">
        <f t="shared" si="67"/>
        <v>2.7556281456971861E-3</v>
      </c>
      <c r="M117" s="26">
        <f>100*W135</f>
        <v>151486.71</v>
      </c>
      <c r="N117" s="26">
        <f>100*W135</f>
        <v>151486.71</v>
      </c>
      <c r="O117" s="29">
        <v>83</v>
      </c>
      <c r="P117" s="47">
        <v>7.3699999999999998E-3</v>
      </c>
      <c r="Q117" s="47">
        <v>7.7798999999999993E-2</v>
      </c>
      <c r="R117" s="54">
        <f>((K117-D117)/D117)</f>
        <v>4.7417111467792632E-3</v>
      </c>
      <c r="S117" s="54">
        <f>((N117-G117)/G117)</f>
        <v>-1.0905930991218666E-2</v>
      </c>
      <c r="T117" s="54">
        <f>((O117-H117)/H117)</f>
        <v>1.2195121951219513E-2</v>
      </c>
      <c r="U117" s="54">
        <f>P117-I117</f>
        <v>1.2605E-2</v>
      </c>
      <c r="V117" s="55">
        <f>Q117-J117</f>
        <v>7.3699999999999877E-3</v>
      </c>
      <c r="X117" s="62"/>
      <c r="Y117" s="66"/>
      <c r="Z117" s="62"/>
      <c r="AA117" s="67"/>
    </row>
    <row r="118" spans="1:28">
      <c r="A118" s="169">
        <v>103</v>
      </c>
      <c r="B118" s="170" t="s">
        <v>156</v>
      </c>
      <c r="C118" s="171" t="s">
        <v>21</v>
      </c>
      <c r="D118" s="26">
        <v>16881882576.961676</v>
      </c>
      <c r="E118" s="27">
        <f t="shared" si="66"/>
        <v>8.4695011109122247E-3</v>
      </c>
      <c r="F118" s="26">
        <v>1832.06439286</v>
      </c>
      <c r="G118" s="26">
        <v>1832.06439286</v>
      </c>
      <c r="H118" s="29">
        <v>316</v>
      </c>
      <c r="I118" s="47">
        <v>1.3100000000000001E-2</v>
      </c>
      <c r="J118" s="47">
        <v>8.0399999999999999E-2</v>
      </c>
      <c r="K118" s="26">
        <f>11090573.97*W135</f>
        <v>16800745627.269388</v>
      </c>
      <c r="L118" s="27">
        <f t="shared" si="67"/>
        <v>8.4680952310974243E-3</v>
      </c>
      <c r="M118" s="26">
        <f>1.1975*W135</f>
        <v>1814.05335225</v>
      </c>
      <c r="N118" s="26">
        <f>1.1975*W135</f>
        <v>1814.05335225</v>
      </c>
      <c r="O118" s="29">
        <v>316</v>
      </c>
      <c r="P118" s="47">
        <v>5.67E-2</v>
      </c>
      <c r="Q118" s="47">
        <v>7.9799999999999996E-2</v>
      </c>
      <c r="R118" s="54">
        <f t="shared" ref="R118:R130" si="68">((K118-D118)/D118)</f>
        <v>-4.8061553160554035E-3</v>
      </c>
      <c r="S118" s="54">
        <f t="shared" ref="S118:S130" si="69">((N118-G118)/G118)</f>
        <v>-9.8310084952217894E-3</v>
      </c>
      <c r="T118" s="54">
        <f t="shared" ref="T118:T130" si="70">((O118-H118)/H118)</f>
        <v>0</v>
      </c>
      <c r="U118" s="54">
        <f t="shared" ref="U118:U130" si="71">P118-I118</f>
        <v>4.36E-2</v>
      </c>
      <c r="V118" s="55">
        <f t="shared" ref="V118:V130" si="72">Q118-J118</f>
        <v>-6.0000000000000331E-4</v>
      </c>
    </row>
    <row r="119" spans="1:28">
      <c r="A119" s="169">
        <v>104</v>
      </c>
      <c r="B119" s="170" t="s">
        <v>286</v>
      </c>
      <c r="C119" s="171" t="s">
        <v>21</v>
      </c>
      <c r="D119" s="26">
        <v>3415404387.9852133</v>
      </c>
      <c r="E119" s="27">
        <f t="shared" si="66"/>
        <v>1.7134801836455708E-3</v>
      </c>
      <c r="F119" s="26">
        <v>1584.4094753500001</v>
      </c>
      <c r="G119" s="26">
        <v>1584.4094753500001</v>
      </c>
      <c r="H119" s="29">
        <v>89</v>
      </c>
      <c r="I119" s="47">
        <v>5.5500000000000001E-2</v>
      </c>
      <c r="J119" s="47">
        <v>5.2299999999999999E-2</v>
      </c>
      <c r="K119" s="26">
        <f>2224758.28*W135</f>
        <v>3370213123.8245873</v>
      </c>
      <c r="L119" s="27">
        <f t="shared" si="67"/>
        <v>1.6986916125507345E-3</v>
      </c>
      <c r="M119" s="26">
        <f>1.0353*W135</f>
        <v>1568.34190863</v>
      </c>
      <c r="N119" s="26">
        <f>1.0353*W135</f>
        <v>1568.34190863</v>
      </c>
      <c r="O119" s="29">
        <v>89</v>
      </c>
      <c r="P119" s="47">
        <v>4.0300000000000002E-2</v>
      </c>
      <c r="Q119" s="47">
        <v>5.1999999999999998E-2</v>
      </c>
      <c r="R119" s="54">
        <f t="shared" si="68"/>
        <v>-1.3231599842057001E-2</v>
      </c>
      <c r="S119" s="54">
        <f t="shared" ref="S119" si="73">((N119-G119)/G119)</f>
        <v>-1.0141044325962953E-2</v>
      </c>
      <c r="T119" s="54">
        <f t="shared" ref="T119" si="74">((O119-H119)/H119)</f>
        <v>0</v>
      </c>
      <c r="U119" s="54">
        <f t="shared" ref="U119" si="75">P119-I119</f>
        <v>-1.5199999999999998E-2</v>
      </c>
      <c r="V119" s="55">
        <f t="shared" ref="V119" si="76">Q119-J119</f>
        <v>-3.0000000000000165E-4</v>
      </c>
    </row>
    <row r="120" spans="1:28">
      <c r="A120" s="169">
        <v>105</v>
      </c>
      <c r="B120" s="170" t="s">
        <v>157</v>
      </c>
      <c r="C120" s="171" t="s">
        <v>25</v>
      </c>
      <c r="D120" s="26">
        <v>26751497567.589146</v>
      </c>
      <c r="E120" s="27">
        <f t="shared" si="66"/>
        <v>1.3421005467509852E-2</v>
      </c>
      <c r="F120" s="26">
        <v>1703.1061736000001</v>
      </c>
      <c r="G120" s="26">
        <v>1703.1061736000001</v>
      </c>
      <c r="H120" s="29">
        <v>514</v>
      </c>
      <c r="I120" s="47">
        <v>1.6999999999999999E-3</v>
      </c>
      <c r="J120" s="47">
        <v>6.8699999999999997E-2</v>
      </c>
      <c r="K120" s="26">
        <f>18003196.43*W135</f>
        <v>27272449966.644451</v>
      </c>
      <c r="L120" s="27">
        <f t="shared" si="67"/>
        <v>1.3746157975752913E-2</v>
      </c>
      <c r="M120" s="26">
        <f xml:space="preserve"> 1.1136*W135</f>
        <v>1686.9560025599999</v>
      </c>
      <c r="N120" s="26">
        <f xml:space="preserve"> 1.1136*W135</f>
        <v>1686.9560025599999</v>
      </c>
      <c r="O120" s="29">
        <v>526</v>
      </c>
      <c r="P120" s="47">
        <v>1.4E-3</v>
      </c>
      <c r="Q120" s="47">
        <v>7.0199999999999999E-2</v>
      </c>
      <c r="R120" s="54">
        <f t="shared" si="68"/>
        <v>1.9473765823355881E-2</v>
      </c>
      <c r="S120" s="54">
        <f t="shared" ref="S120:T123" si="77">((N120-G120)/G120)</f>
        <v>-9.4827740573931868E-3</v>
      </c>
      <c r="T120" s="54">
        <f t="shared" si="77"/>
        <v>2.3346303501945526E-2</v>
      </c>
      <c r="U120" s="54">
        <f t="shared" si="71"/>
        <v>-2.9999999999999992E-4</v>
      </c>
      <c r="V120" s="55">
        <f t="shared" si="72"/>
        <v>1.5000000000000013E-3</v>
      </c>
    </row>
    <row r="121" spans="1:28">
      <c r="A121" s="169">
        <v>106</v>
      </c>
      <c r="B121" s="170" t="s">
        <v>158</v>
      </c>
      <c r="C121" s="171" t="s">
        <v>61</v>
      </c>
      <c r="D121" s="26">
        <v>1065698456.0865371</v>
      </c>
      <c r="E121" s="27">
        <f t="shared" si="66"/>
        <v>5.3465211694102516E-4</v>
      </c>
      <c r="F121" s="26">
        <v>1684.7273300000002</v>
      </c>
      <c r="G121" s="26">
        <v>1700.0430330000002</v>
      </c>
      <c r="H121" s="29">
        <v>49</v>
      </c>
      <c r="I121" s="47">
        <v>0.161</v>
      </c>
      <c r="J121" s="47">
        <v>0.14599999999999999</v>
      </c>
      <c r="K121" s="26">
        <f>723745.86*W135</f>
        <v>1096378792.075206</v>
      </c>
      <c r="L121" s="27">
        <f t="shared" si="67"/>
        <v>5.5260880836021362E-4</v>
      </c>
      <c r="M121" s="26">
        <f>1.1008*W135</f>
        <v>1667.5657036799998</v>
      </c>
      <c r="N121" s="26">
        <f>1.11*W135</f>
        <v>1681.502481</v>
      </c>
      <c r="O121" s="29">
        <v>51</v>
      </c>
      <c r="P121" s="47">
        <v>0.10299999999999999</v>
      </c>
      <c r="Q121" s="47">
        <v>0.14399999999999999</v>
      </c>
      <c r="R121" s="54">
        <f t="shared" si="68"/>
        <v>2.8788946641936024E-2</v>
      </c>
      <c r="S121" s="54">
        <f t="shared" si="77"/>
        <v>-1.0905930991218714E-2</v>
      </c>
      <c r="T121" s="54">
        <f t="shared" si="77"/>
        <v>4.0816326530612242E-2</v>
      </c>
      <c r="U121" s="54">
        <f t="shared" si="71"/>
        <v>-5.800000000000001E-2</v>
      </c>
      <c r="V121" s="55">
        <f t="shared" si="72"/>
        <v>-2.0000000000000018E-3</v>
      </c>
    </row>
    <row r="122" spans="1:28">
      <c r="A122" s="169">
        <v>107</v>
      </c>
      <c r="B122" s="170" t="s">
        <v>159</v>
      </c>
      <c r="C122" s="171" t="s">
        <v>27</v>
      </c>
      <c r="D122" s="26">
        <v>649693683.46170604</v>
      </c>
      <c r="E122" s="27">
        <v>0</v>
      </c>
      <c r="F122" s="26">
        <v>2059.1962683500001</v>
      </c>
      <c r="G122" s="26">
        <v>2059.1962683500001</v>
      </c>
      <c r="H122" s="29">
        <v>59</v>
      </c>
      <c r="I122" s="47">
        <v>4.7999999999999996E-3</v>
      </c>
      <c r="J122" s="47">
        <v>0.1198</v>
      </c>
      <c r="K122" s="26">
        <f>431090.35*W135</f>
        <v>653044588.34248495</v>
      </c>
      <c r="L122" s="27">
        <f t="shared" si="67"/>
        <v>3.2915466294907358E-4</v>
      </c>
      <c r="M122" s="26">
        <f>1.3349*W135</f>
        <v>2022.1960917899999</v>
      </c>
      <c r="N122" s="26">
        <f>1.3349*W135</f>
        <v>2022.1960917899999</v>
      </c>
      <c r="O122" s="29">
        <v>60</v>
      </c>
      <c r="P122" s="47">
        <v>4.46E-4</v>
      </c>
      <c r="Q122" s="47">
        <v>0.1211</v>
      </c>
      <c r="R122" s="54">
        <f t="shared" si="68"/>
        <v>5.1576688616157933E-3</v>
      </c>
      <c r="S122" s="54">
        <f t="shared" si="77"/>
        <v>-1.7968261271980576E-2</v>
      </c>
      <c r="T122" s="54">
        <f t="shared" si="77"/>
        <v>1.6949152542372881E-2</v>
      </c>
      <c r="U122" s="54">
        <f t="shared" si="71"/>
        <v>-4.3539999999999994E-3</v>
      </c>
      <c r="V122" s="55">
        <f t="shared" si="72"/>
        <v>1.2999999999999956E-3</v>
      </c>
    </row>
    <row r="123" spans="1:28">
      <c r="A123" s="169">
        <v>108</v>
      </c>
      <c r="B123" s="170" t="s">
        <v>160</v>
      </c>
      <c r="C123" s="171" t="s">
        <v>68</v>
      </c>
      <c r="D123" s="26">
        <v>1940048139.7540751</v>
      </c>
      <c r="E123" s="27">
        <f t="shared" ref="E123:E132" si="78">(D123/$D$154)</f>
        <v>9.7330613454767645E-4</v>
      </c>
      <c r="F123" s="26">
        <v>164505.96592300001</v>
      </c>
      <c r="G123" s="26">
        <v>164980.75271600002</v>
      </c>
      <c r="H123" s="29">
        <v>86</v>
      </c>
      <c r="I123" s="47">
        <v>1.1999999999999999E-3</v>
      </c>
      <c r="J123" s="47">
        <v>3.7600000000000001E-2</v>
      </c>
      <c r="K123" s="26">
        <f>1267421.02*W135</f>
        <v>1919974405.046442</v>
      </c>
      <c r="L123" s="27">
        <f t="shared" si="67"/>
        <v>9.6772646071217102E-4</v>
      </c>
      <c r="M123" s="26">
        <f>107.48*W135</f>
        <v>162817.915908</v>
      </c>
      <c r="N123" s="26">
        <f>107.84*W135</f>
        <v>163363.268064</v>
      </c>
      <c r="O123" s="29">
        <v>86</v>
      </c>
      <c r="P123" s="47">
        <v>8.9999999999999998E-4</v>
      </c>
      <c r="Q123" s="47">
        <v>3.8600000000000002E-2</v>
      </c>
      <c r="R123" s="54">
        <f t="shared" si="68"/>
        <v>-1.0347029177419077E-2</v>
      </c>
      <c r="S123" s="54">
        <f t="shared" si="77"/>
        <v>-9.804080932909626E-3</v>
      </c>
      <c r="T123" s="54">
        <f t="shared" si="77"/>
        <v>0</v>
      </c>
      <c r="U123" s="54">
        <f t="shared" si="71"/>
        <v>-2.9999999999999992E-4</v>
      </c>
      <c r="V123" s="55">
        <f t="shared" si="72"/>
        <v>1.0000000000000009E-3</v>
      </c>
    </row>
    <row r="124" spans="1:28">
      <c r="A124" s="169">
        <v>109</v>
      </c>
      <c r="B124" s="170" t="s">
        <v>161</v>
      </c>
      <c r="C124" s="171" t="s">
        <v>71</v>
      </c>
      <c r="D124" s="26">
        <v>4967086932.2200003</v>
      </c>
      <c r="E124" s="27">
        <f t="shared" si="78"/>
        <v>2.4919465052935011E-3</v>
      </c>
      <c r="F124" s="26">
        <v>173017.06</v>
      </c>
      <c r="G124" s="26">
        <v>173017.06</v>
      </c>
      <c r="H124" s="29">
        <v>61</v>
      </c>
      <c r="I124" s="47">
        <v>8.9999999999999993E-3</v>
      </c>
      <c r="J124" s="47">
        <v>7.9600000000000004E-2</v>
      </c>
      <c r="K124" s="26">
        <v>4917183696.4200001</v>
      </c>
      <c r="L124" s="27">
        <f t="shared" si="67"/>
        <v>2.4784126094082046E-3</v>
      </c>
      <c r="M124" s="26">
        <v>171278.9</v>
      </c>
      <c r="N124" s="26">
        <v>171278.9</v>
      </c>
      <c r="O124" s="29">
        <v>61</v>
      </c>
      <c r="P124" s="47">
        <v>8.9999999999999993E-3</v>
      </c>
      <c r="Q124" s="47">
        <v>7.8899999999999998E-2</v>
      </c>
      <c r="R124" s="54">
        <f t="shared" si="68"/>
        <v>-1.0046781238373924E-2</v>
      </c>
      <c r="S124" s="54">
        <f t="shared" si="69"/>
        <v>-1.0046176949255775E-2</v>
      </c>
      <c r="T124" s="54">
        <f t="shared" si="70"/>
        <v>0</v>
      </c>
      <c r="U124" s="54">
        <f t="shared" si="71"/>
        <v>0</v>
      </c>
      <c r="V124" s="55">
        <f t="shared" si="72"/>
        <v>-7.0000000000000617E-4</v>
      </c>
      <c r="X124" s="63"/>
    </row>
    <row r="125" spans="1:28">
      <c r="A125" s="169">
        <v>110</v>
      </c>
      <c r="B125" s="170" t="s">
        <v>162</v>
      </c>
      <c r="C125" s="171" t="s">
        <v>29</v>
      </c>
      <c r="D125" s="26">
        <v>57504717351.916801</v>
      </c>
      <c r="E125" s="27">
        <f t="shared" si="78"/>
        <v>2.8849641932671671E-2</v>
      </c>
      <c r="F125" s="26">
        <v>204127.25760000001</v>
      </c>
      <c r="G125" s="26">
        <v>204127.25760000001</v>
      </c>
      <c r="H125" s="29">
        <v>2487</v>
      </c>
      <c r="I125" s="47">
        <v>2.5999999999999999E-3</v>
      </c>
      <c r="J125" s="47">
        <v>5.0999999999999997E-2</v>
      </c>
      <c r="K125" s="26">
        <f xml:space="preserve">  37919486.67*1519.67</f>
        <v>57625106307.798904</v>
      </c>
      <c r="L125" s="27">
        <f t="shared" si="67"/>
        <v>2.9044835196154573E-2</v>
      </c>
      <c r="M125" s="26">
        <f>133.15*1519.67</f>
        <v>202344.06050000002</v>
      </c>
      <c r="N125" s="26">
        <f>133.15*1519.67</f>
        <v>202344.06050000002</v>
      </c>
      <c r="O125" s="29">
        <v>2490</v>
      </c>
      <c r="P125" s="47">
        <v>2.3E-3</v>
      </c>
      <c r="Q125" s="47">
        <v>5.3499999999999999E-2</v>
      </c>
      <c r="R125" s="54">
        <f t="shared" si="68"/>
        <v>2.0935492151947783E-3</v>
      </c>
      <c r="S125" s="54">
        <f t="shared" si="69"/>
        <v>-8.7357128144751519E-3</v>
      </c>
      <c r="T125" s="54">
        <f t="shared" si="70"/>
        <v>1.2062726176115801E-3</v>
      </c>
      <c r="U125" s="54">
        <f t="shared" si="71"/>
        <v>-2.9999999999999992E-4</v>
      </c>
      <c r="V125" s="55">
        <f t="shared" si="72"/>
        <v>2.5000000000000022E-3</v>
      </c>
    </row>
    <row r="126" spans="1:28">
      <c r="A126" s="169">
        <v>111</v>
      </c>
      <c r="B126" s="176" t="s">
        <v>163</v>
      </c>
      <c r="C126" s="176" t="s">
        <v>29</v>
      </c>
      <c r="D126" s="26">
        <v>166443832725.94562</v>
      </c>
      <c r="E126" s="27">
        <f t="shared" si="78"/>
        <v>8.3503496707213548E-2</v>
      </c>
      <c r="F126" s="26">
        <v>192540.992</v>
      </c>
      <c r="G126" s="26">
        <v>192540.992</v>
      </c>
      <c r="H126" s="29">
        <v>954</v>
      </c>
      <c r="I126" s="47">
        <v>1.5E-3</v>
      </c>
      <c r="J126" s="47">
        <v>5.5300000000000002E-2</v>
      </c>
      <c r="K126" s="26">
        <f>109443165.34*1519.67</f>
        <v>166317495072.23782</v>
      </c>
      <c r="L126" s="27">
        <f t="shared" si="67"/>
        <v>8.3829159616780127E-2</v>
      </c>
      <c r="M126" s="26">
        <f>125.59*1519.67</f>
        <v>190855.35530000002</v>
      </c>
      <c r="N126" s="26">
        <f>125.59*1519.67</f>
        <v>190855.35530000002</v>
      </c>
      <c r="O126" s="29">
        <v>961</v>
      </c>
      <c r="P126" s="47">
        <v>2.3E-3</v>
      </c>
      <c r="Q126" s="47">
        <v>5.7799999999999997E-2</v>
      </c>
      <c r="R126" s="54">
        <f t="shared" si="68"/>
        <v>-7.5904076251243644E-4</v>
      </c>
      <c r="S126" s="54">
        <f t="shared" si="69"/>
        <v>-8.7546900142696556E-3</v>
      </c>
      <c r="T126" s="54">
        <f t="shared" si="70"/>
        <v>7.3375262054507341E-3</v>
      </c>
      <c r="U126" s="54">
        <f t="shared" si="71"/>
        <v>7.9999999999999993E-4</v>
      </c>
      <c r="V126" s="55">
        <f t="shared" si="72"/>
        <v>2.4999999999999953E-3</v>
      </c>
      <c r="X126" s="62"/>
    </row>
    <row r="127" spans="1:28">
      <c r="A127" s="169">
        <v>112</v>
      </c>
      <c r="B127" s="170" t="s">
        <v>298</v>
      </c>
      <c r="C127" s="171" t="s">
        <v>297</v>
      </c>
      <c r="D127" s="26">
        <v>1553857588.4799762</v>
      </c>
      <c r="E127" s="27">
        <f t="shared" si="78"/>
        <v>7.7955752338843118E-4</v>
      </c>
      <c r="F127" s="26">
        <v>1531.5703000000001</v>
      </c>
      <c r="G127" s="26">
        <v>1531.5703000000001</v>
      </c>
      <c r="H127" s="29">
        <v>12</v>
      </c>
      <c r="I127" s="47">
        <v>9.0800000000000006E-2</v>
      </c>
      <c r="J127" s="47">
        <v>8.7400000000000005E-2</v>
      </c>
      <c r="K127" s="26">
        <f>1016417.38*W135</f>
        <v>1539737248.830198</v>
      </c>
      <c r="L127" s="27">
        <f t="shared" si="67"/>
        <v>7.7607517804441795E-4</v>
      </c>
      <c r="M127" s="26">
        <f>1*W135</f>
        <v>1514.8670999999999</v>
      </c>
      <c r="N127" s="26">
        <f>1*W135</f>
        <v>1514.8670999999999</v>
      </c>
      <c r="O127" s="29">
        <v>12</v>
      </c>
      <c r="P127" s="47">
        <v>8.9899999999999994E-2</v>
      </c>
      <c r="Q127" s="47">
        <v>8.7999999999999995E-2</v>
      </c>
      <c r="R127" s="54">
        <f t="shared" ref="R127" si="79">((K127-D127)/D127)</f>
        <v>-9.0872804267674301E-3</v>
      </c>
      <c r="S127" s="54">
        <f t="shared" ref="S127" si="80">((N127-G127)/G127)</f>
        <v>-1.0905930991218719E-2</v>
      </c>
      <c r="T127" s="54">
        <f t="shared" si="70"/>
        <v>0</v>
      </c>
      <c r="U127" s="54">
        <f t="shared" si="71"/>
        <v>-9.000000000000119E-4</v>
      </c>
      <c r="V127" s="55">
        <f t="shared" si="72"/>
        <v>5.9999999999998943E-4</v>
      </c>
    </row>
    <row r="128" spans="1:28">
      <c r="A128" s="169">
        <v>113</v>
      </c>
      <c r="B128" s="170" t="s">
        <v>164</v>
      </c>
      <c r="C128" s="171" t="s">
        <v>33</v>
      </c>
      <c r="D128" s="26">
        <v>224674379.04943201</v>
      </c>
      <c r="E128" s="27">
        <f t="shared" si="78"/>
        <v>1.1271728104242925E-4</v>
      </c>
      <c r="F128" s="26">
        <v>200053.71258600001</v>
      </c>
      <c r="G128" s="26">
        <v>200053.71258600001</v>
      </c>
      <c r="H128" s="29">
        <v>9</v>
      </c>
      <c r="I128" s="47">
        <v>2.3E-3</v>
      </c>
      <c r="J128" s="47">
        <v>0.15210000000000001</v>
      </c>
      <c r="K128" s="26">
        <f>146948.65*W135</f>
        <v>222607675.27441499</v>
      </c>
      <c r="L128" s="27">
        <f t="shared" si="67"/>
        <v>1.1220115078329028E-4</v>
      </c>
      <c r="M128" s="26">
        <f>130.85*W135</f>
        <v>198220.36003499999</v>
      </c>
      <c r="N128" s="26">
        <f>130.85*W135</f>
        <v>198220.36003499999</v>
      </c>
      <c r="O128" s="29">
        <v>9</v>
      </c>
      <c r="P128" s="47">
        <v>1.6999999999999999E-3</v>
      </c>
      <c r="Q128" s="47">
        <v>0.154</v>
      </c>
      <c r="R128" s="54">
        <f t="shared" si="68"/>
        <v>-9.1986624543527271E-3</v>
      </c>
      <c r="S128" s="54">
        <f t="shared" si="69"/>
        <v>-9.1643015633208411E-3</v>
      </c>
      <c r="T128" s="54">
        <f t="shared" si="70"/>
        <v>0</v>
      </c>
      <c r="U128" s="54">
        <f t="shared" si="71"/>
        <v>-6.0000000000000006E-4</v>
      </c>
      <c r="V128" s="55">
        <f t="shared" si="72"/>
        <v>1.899999999999985E-3</v>
      </c>
    </row>
    <row r="129" spans="1:24">
      <c r="A129" s="169">
        <v>114</v>
      </c>
      <c r="B129" s="170" t="s">
        <v>165</v>
      </c>
      <c r="C129" s="171" t="s">
        <v>39</v>
      </c>
      <c r="D129" s="26">
        <v>16347389369.016241</v>
      </c>
      <c r="E129" s="27">
        <f t="shared" si="78"/>
        <v>8.2013502812976046E-3</v>
      </c>
      <c r="F129" s="26">
        <v>2190.1455289999999</v>
      </c>
      <c r="G129" s="26">
        <v>2190.1455289999999</v>
      </c>
      <c r="H129" s="43">
        <v>116</v>
      </c>
      <c r="I129" s="50">
        <v>8.9999999999999998E-4</v>
      </c>
      <c r="J129" s="50">
        <v>5.0700000000000002E-2</v>
      </c>
      <c r="K129" s="26">
        <f>10561646.87*W135</f>
        <v>15999491365.180975</v>
      </c>
      <c r="L129" s="27">
        <f t="shared" si="67"/>
        <v>8.0642383103263337E-3</v>
      </c>
      <c r="M129" s="26">
        <f>1.43*W135</f>
        <v>2166.2599529999998</v>
      </c>
      <c r="N129" s="26">
        <f>1.43*W135</f>
        <v>2166.2599529999998</v>
      </c>
      <c r="O129" s="43">
        <v>114</v>
      </c>
      <c r="P129" s="50">
        <v>1.4E-3</v>
      </c>
      <c r="Q129" s="50">
        <v>5.1400000000000001E-2</v>
      </c>
      <c r="R129" s="54">
        <f t="shared" si="68"/>
        <v>-2.1281563433892935E-2</v>
      </c>
      <c r="S129" s="54">
        <f t="shared" si="69"/>
        <v>-1.0905930991218679E-2</v>
      </c>
      <c r="T129" s="54">
        <f t="shared" si="70"/>
        <v>-1.7241379310344827E-2</v>
      </c>
      <c r="U129" s="54">
        <f t="shared" si="71"/>
        <v>5.0000000000000001E-4</v>
      </c>
      <c r="V129" s="55">
        <f t="shared" si="72"/>
        <v>6.9999999999999923E-4</v>
      </c>
    </row>
    <row r="130" spans="1:24">
      <c r="A130" s="169">
        <v>115</v>
      </c>
      <c r="B130" s="170" t="s">
        <v>166</v>
      </c>
      <c r="C130" s="171" t="s">
        <v>85</v>
      </c>
      <c r="D130" s="26">
        <v>33828675400.5928</v>
      </c>
      <c r="E130" s="27">
        <f t="shared" si="78"/>
        <v>1.6971567156675183E-2</v>
      </c>
      <c r="F130" s="26">
        <v>160401.35751900001</v>
      </c>
      <c r="G130" s="26">
        <v>160401.35751900001</v>
      </c>
      <c r="H130" s="29">
        <v>751</v>
      </c>
      <c r="I130" s="50">
        <v>1.5E-3</v>
      </c>
      <c r="J130" s="47">
        <v>9.4399999999999998E-2</v>
      </c>
      <c r="K130" s="26">
        <f>22196342*W135</f>
        <v>33624508236.148197</v>
      </c>
      <c r="L130" s="27">
        <f t="shared" si="67"/>
        <v>1.6947791732550649E-2</v>
      </c>
      <c r="M130" s="26">
        <f>104.9*W135</f>
        <v>158909.55879000001</v>
      </c>
      <c r="N130" s="26">
        <f>104.9*W135</f>
        <v>158909.55879000001</v>
      </c>
      <c r="O130" s="29">
        <v>756</v>
      </c>
      <c r="P130" s="50">
        <v>1.6000000000000001E-3</v>
      </c>
      <c r="Q130" s="47">
        <v>9.4200000000000006E-2</v>
      </c>
      <c r="R130" s="54">
        <f t="shared" si="68"/>
        <v>-6.035328372361432E-3</v>
      </c>
      <c r="S130" s="54">
        <f t="shared" si="69"/>
        <v>-9.3004121166698605E-3</v>
      </c>
      <c r="T130" s="54">
        <f t="shared" si="70"/>
        <v>6.6577896138482022E-3</v>
      </c>
      <c r="U130" s="54">
        <f t="shared" si="71"/>
        <v>1.0000000000000005E-4</v>
      </c>
      <c r="V130" s="55">
        <f t="shared" si="72"/>
        <v>-1.9999999999999185E-4</v>
      </c>
    </row>
    <row r="131" spans="1:24">
      <c r="A131" s="169">
        <v>116</v>
      </c>
      <c r="B131" s="170" t="s">
        <v>167</v>
      </c>
      <c r="C131" s="171" t="s">
        <v>43</v>
      </c>
      <c r="D131" s="26">
        <v>2755235100.6169729</v>
      </c>
      <c r="E131" s="27">
        <f t="shared" si="78"/>
        <v>1.3822787025746285E-3</v>
      </c>
      <c r="F131" s="26">
        <v>213654.05685000002</v>
      </c>
      <c r="G131" s="26">
        <v>221802.01084599999</v>
      </c>
      <c r="H131" s="29">
        <v>50</v>
      </c>
      <c r="I131" s="47">
        <v>6.0000000000000001E-3</v>
      </c>
      <c r="J131" s="47">
        <v>3.56E-2</v>
      </c>
      <c r="K131" s="26">
        <f>1969740.82 *W135</f>
        <v>2983895563.7450218</v>
      </c>
      <c r="L131" s="27">
        <f t="shared" si="67"/>
        <v>1.5039756183457408E-3</v>
      </c>
      <c r="M131" s="26">
        <f>158.65*W135</f>
        <v>240333.665415</v>
      </c>
      <c r="N131" s="26">
        <f>158.65*W135</f>
        <v>240333.665415</v>
      </c>
      <c r="O131" s="29">
        <v>50</v>
      </c>
      <c r="P131" s="47">
        <v>1.4E-3</v>
      </c>
      <c r="Q131" s="47">
        <v>3.6999999999999998E-2</v>
      </c>
      <c r="R131" s="54">
        <f t="shared" ref="R131:R132" si="81">((K131-D131)/D131)</f>
        <v>8.2991271081311907E-2</v>
      </c>
      <c r="S131" s="54">
        <f t="shared" ref="S131:S132" si="82">((N131-G131)/G131)</f>
        <v>8.3550435355911959E-2</v>
      </c>
      <c r="T131" s="54">
        <f t="shared" ref="T131:T132" si="83">((O131-H131)/H131)</f>
        <v>0</v>
      </c>
      <c r="U131" s="54">
        <f t="shared" ref="U131:U132" si="84">P131-I131</f>
        <v>-4.5999999999999999E-3</v>
      </c>
      <c r="V131" s="55">
        <f t="shared" ref="V131:V132" si="85">Q131-J131</f>
        <v>1.3999999999999985E-3</v>
      </c>
    </row>
    <row r="132" spans="1:24">
      <c r="A132" s="169">
        <v>117</v>
      </c>
      <c r="B132" s="170" t="s">
        <v>168</v>
      </c>
      <c r="C132" s="171" t="s">
        <v>50</v>
      </c>
      <c r="D132" s="30">
        <v>182683081501.75079</v>
      </c>
      <c r="E132" s="27">
        <f t="shared" si="78"/>
        <v>9.1650593745713119E-2</v>
      </c>
      <c r="F132" s="26">
        <v>187995.09006000002</v>
      </c>
      <c r="G132" s="26">
        <v>187995.09006000002</v>
      </c>
      <c r="H132" s="29">
        <v>3864</v>
      </c>
      <c r="I132" s="47">
        <v>5.8500000000000003E-2</v>
      </c>
      <c r="J132" s="47">
        <v>8.9300000000000004E-2</v>
      </c>
      <c r="K132" s="30">
        <f>118765271.75*1519.67</f>
        <v>180484020520.32251</v>
      </c>
      <c r="L132" s="27">
        <f t="shared" si="67"/>
        <v>9.0969526434395223E-2</v>
      </c>
      <c r="M132" s="26">
        <f>122.5556*1519.67</f>
        <v>186244.06865200002</v>
      </c>
      <c r="N132" s="26">
        <f>122.5556*1519.67</f>
        <v>186244.06865200002</v>
      </c>
      <c r="O132" s="29">
        <v>3944</v>
      </c>
      <c r="P132" s="47">
        <v>4.9299999999999997E-2</v>
      </c>
      <c r="Q132" s="47">
        <v>8.8200000000000001E-2</v>
      </c>
      <c r="R132" s="54">
        <f t="shared" si="81"/>
        <v>-1.2037573284569367E-2</v>
      </c>
      <c r="S132" s="54">
        <f t="shared" si="82"/>
        <v>-9.3141869154197022E-3</v>
      </c>
      <c r="T132" s="54">
        <f t="shared" si="83"/>
        <v>2.0703933747412008E-2</v>
      </c>
      <c r="U132" s="54">
        <f t="shared" si="84"/>
        <v>-9.2000000000000068E-3</v>
      </c>
      <c r="V132" s="55">
        <f t="shared" si="85"/>
        <v>-1.1000000000000038E-3</v>
      </c>
    </row>
    <row r="133" spans="1:24" ht="6" customHeight="1">
      <c r="A133" s="166"/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</row>
    <row r="134" spans="1:24">
      <c r="A134" s="184" t="s">
        <v>169</v>
      </c>
      <c r="B134" s="184"/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</row>
    <row r="135" spans="1:24">
      <c r="A135" s="169">
        <v>118</v>
      </c>
      <c r="B135" s="170" t="s">
        <v>170</v>
      </c>
      <c r="C135" s="171" t="s">
        <v>113</v>
      </c>
      <c r="D135" s="30">
        <v>1626541488.6798091</v>
      </c>
      <c r="E135" s="27">
        <f>(D135/$D$154)</f>
        <v>8.1602243603555555E-4</v>
      </c>
      <c r="F135" s="26">
        <v>173833.22905000002</v>
      </c>
      <c r="G135" s="26">
        <v>173833.22905000002</v>
      </c>
      <c r="H135" s="29">
        <v>23</v>
      </c>
      <c r="I135" s="47">
        <v>-1.9E-3</v>
      </c>
      <c r="J135" s="47">
        <v>0.14680000000000001</v>
      </c>
      <c r="K135" s="30">
        <f>1063446.57*W135</f>
        <v>1610980221.5008471</v>
      </c>
      <c r="L135" s="27">
        <f t="shared" ref="L135:L153" si="86">(K135/$K$154)</f>
        <v>8.1198383891613074E-4</v>
      </c>
      <c r="M135" s="26">
        <f>113.74*W135</f>
        <v>172300.983954</v>
      </c>
      <c r="N135" s="26">
        <f>113.74*W135</f>
        <v>172300.983954</v>
      </c>
      <c r="O135" s="29">
        <v>23</v>
      </c>
      <c r="P135" s="47">
        <v>-5.0000000000000001E-4</v>
      </c>
      <c r="Q135" s="47">
        <v>0.14360000000000001</v>
      </c>
      <c r="R135" s="54">
        <f>((K135-D135)/D135)</f>
        <v>-9.5670889966614839E-3</v>
      </c>
      <c r="S135" s="54">
        <f>((N135-G135)/G135)</f>
        <v>-8.8144545457376558E-3</v>
      </c>
      <c r="T135" s="54">
        <f>((O135-H135)/H135)</f>
        <v>0</v>
      </c>
      <c r="U135" s="54">
        <f>P135-I135</f>
        <v>1.4E-3</v>
      </c>
      <c r="V135" s="55">
        <f>Q135-J135</f>
        <v>-3.2000000000000084E-3</v>
      </c>
      <c r="W135" s="132">
        <v>1514.8670999999999</v>
      </c>
    </row>
    <row r="136" spans="1:24">
      <c r="A136" s="169">
        <v>119</v>
      </c>
      <c r="B136" s="171" t="s">
        <v>171</v>
      </c>
      <c r="C136" s="171" t="s">
        <v>23</v>
      </c>
      <c r="D136" s="26">
        <v>19651244407.239056</v>
      </c>
      <c r="E136" s="27">
        <f t="shared" ref="E136:E153" si="87">(D136/$D$154)</f>
        <v>9.8588670771262571E-3</v>
      </c>
      <c r="F136" s="30">
        <v>204602.47637700001</v>
      </c>
      <c r="G136" s="30">
        <v>204602.47637700001</v>
      </c>
      <c r="H136" s="29">
        <v>619</v>
      </c>
      <c r="I136" s="47">
        <v>5.0000000000000001E-4</v>
      </c>
      <c r="J136" s="47">
        <v>4.3400000000000001E-2</v>
      </c>
      <c r="K136" s="26">
        <f xml:space="preserve"> 12729673.07*W135</f>
        <v>19283762927.498997</v>
      </c>
      <c r="L136" s="27">
        <f t="shared" si="86"/>
        <v>9.7196127187902694E-3</v>
      </c>
      <c r="M136" s="30">
        <f>133.75*W135</f>
        <v>202613.474625</v>
      </c>
      <c r="N136" s="30">
        <f>133.75*W135</f>
        <v>202613.474625</v>
      </c>
      <c r="O136" s="29">
        <v>622</v>
      </c>
      <c r="P136" s="47">
        <v>5.0000000000000001E-4</v>
      </c>
      <c r="Q136" s="47">
        <v>4.4600000000000001E-2</v>
      </c>
      <c r="R136" s="54">
        <f t="shared" ref="R136:R154" si="88">((K136-D136)/D136)</f>
        <v>-1.8700163314069179E-2</v>
      </c>
      <c r="S136" s="54">
        <f t="shared" ref="S136:S154" si="89">((N136-G136)/G136)</f>
        <v>-9.7212985259038671E-3</v>
      </c>
      <c r="T136" s="54">
        <f t="shared" ref="T136:T154" si="90">((O136-H136)/H136)</f>
        <v>4.8465266558966073E-3</v>
      </c>
      <c r="U136" s="54">
        <f t="shared" ref="U136:U154" si="91">P136-I136</f>
        <v>0</v>
      </c>
      <c r="V136" s="55">
        <f t="shared" ref="V136:V154" si="92">Q136-J136</f>
        <v>1.1999999999999997E-3</v>
      </c>
    </row>
    <row r="137" spans="1:24">
      <c r="A137" s="169">
        <v>120</v>
      </c>
      <c r="B137" s="171" t="s">
        <v>321</v>
      </c>
      <c r="C137" s="171" t="s">
        <v>320</v>
      </c>
      <c r="D137" s="26">
        <v>153157030</v>
      </c>
      <c r="E137" s="27">
        <f t="shared" si="87"/>
        <v>7.6837617476336849E-5</v>
      </c>
      <c r="F137" s="30">
        <v>153157.03</v>
      </c>
      <c r="G137" s="30">
        <v>153157.03</v>
      </c>
      <c r="H137" s="29">
        <v>5</v>
      </c>
      <c r="I137" s="47">
        <v>1.2999999999999999E-3</v>
      </c>
      <c r="J137" s="47">
        <v>1.2999999999999999E-3</v>
      </c>
      <c r="K137" s="26">
        <f>134397.87*W135</f>
        <v>203594911.57307699</v>
      </c>
      <c r="L137" s="27">
        <f t="shared" si="86"/>
        <v>1.0261813005306986E-4</v>
      </c>
      <c r="M137" s="30">
        <f>100*W135</f>
        <v>151486.71</v>
      </c>
      <c r="N137" s="30">
        <f>100*W135</f>
        <v>151486.71</v>
      </c>
      <c r="O137" s="29">
        <v>6</v>
      </c>
      <c r="P137" s="47">
        <v>2.3999999999999998E-3</v>
      </c>
      <c r="Q137" s="47">
        <v>-8.0000000000000004E-4</v>
      </c>
      <c r="R137" s="54">
        <v>0</v>
      </c>
      <c r="S137" s="54">
        <f t="shared" ref="S137" si="93">((N137-G137)/G137)</f>
        <v>-1.0905930991218666E-2</v>
      </c>
      <c r="T137" s="54">
        <f t="shared" ref="T137" si="94">((O137-H137)/H137)</f>
        <v>0.2</v>
      </c>
      <c r="U137" s="54">
        <f t="shared" ref="U137" si="95">P137-I137</f>
        <v>1.0999999999999998E-3</v>
      </c>
      <c r="V137" s="55">
        <f t="shared" ref="V137" si="96">Q137-J137</f>
        <v>-2.0999999999999999E-3</v>
      </c>
    </row>
    <row r="138" spans="1:24">
      <c r="A138" s="169">
        <v>121</v>
      </c>
      <c r="B138" s="170" t="s">
        <v>172</v>
      </c>
      <c r="C138" s="171" t="s">
        <v>65</v>
      </c>
      <c r="D138" s="30">
        <v>18218413112</v>
      </c>
      <c r="E138" s="27">
        <f t="shared" si="87"/>
        <v>9.1400274458556408E-3</v>
      </c>
      <c r="F138" s="30">
        <v>176548</v>
      </c>
      <c r="G138" s="30">
        <v>176548</v>
      </c>
      <c r="H138" s="29">
        <v>436</v>
      </c>
      <c r="I138" s="47">
        <v>1.2999999999999999E-3</v>
      </c>
      <c r="J138" s="47">
        <v>6.6699999999999995E-2</v>
      </c>
      <c r="K138" s="30">
        <v>18103923900</v>
      </c>
      <c r="L138" s="27">
        <f>(K138/$K$154)</f>
        <v>9.1249373714050643E-3</v>
      </c>
      <c r="M138" s="30">
        <v>176730.4</v>
      </c>
      <c r="N138" s="30">
        <v>176730.4</v>
      </c>
      <c r="O138" s="29">
        <v>436</v>
      </c>
      <c r="P138" s="47">
        <v>1E-3</v>
      </c>
      <c r="Q138" s="47">
        <v>6.6799999999999998E-2</v>
      </c>
      <c r="R138" s="54">
        <f t="shared" si="88"/>
        <v>-6.2842582005448603E-3</v>
      </c>
      <c r="S138" s="54">
        <f t="shared" si="89"/>
        <v>1.0331467929401306E-3</v>
      </c>
      <c r="T138" s="54">
        <f t="shared" si="90"/>
        <v>0</v>
      </c>
      <c r="U138" s="54">
        <f t="shared" si="91"/>
        <v>-2.9999999999999992E-4</v>
      </c>
      <c r="V138" s="55">
        <f t="shared" si="92"/>
        <v>1.0000000000000286E-4</v>
      </c>
    </row>
    <row r="139" spans="1:24">
      <c r="A139" s="169">
        <v>122</v>
      </c>
      <c r="B139" s="170" t="s">
        <v>293</v>
      </c>
      <c r="C139" s="171" t="s">
        <v>294</v>
      </c>
      <c r="D139" s="26">
        <v>198420537.91229802</v>
      </c>
      <c r="E139" s="27">
        <f t="shared" ref="E139" si="97">(D139/$D$112)</f>
        <v>8.5978799536877014E-4</v>
      </c>
      <c r="F139" s="32">
        <v>1566.94957393</v>
      </c>
      <c r="G139" s="32">
        <v>1566.94957393</v>
      </c>
      <c r="H139" s="29">
        <v>3</v>
      </c>
      <c r="I139" s="47">
        <v>1.9E-3</v>
      </c>
      <c r="J139" s="47">
        <v>7.9600000000000004E-2</v>
      </c>
      <c r="K139" s="26">
        <f>129586.86*W135</f>
        <v>196306870.806306</v>
      </c>
      <c r="L139" s="27">
        <f t="shared" ref="L139" si="98">(K139/$K$112)</f>
        <v>1.0298157386037885E-3</v>
      </c>
      <c r="M139" s="32">
        <f>1.0233*W135</f>
        <v>1550.16350343</v>
      </c>
      <c r="N139" s="32">
        <f>1.0233*W135</f>
        <v>1550.16350343</v>
      </c>
      <c r="O139" s="29">
        <v>3</v>
      </c>
      <c r="P139" s="47">
        <v>2.0000000000000001E-4</v>
      </c>
      <c r="Q139" s="47">
        <v>9.9900000000000003E-2</v>
      </c>
      <c r="R139" s="53">
        <f t="shared" si="88"/>
        <v>-1.0652461323969705E-2</v>
      </c>
      <c r="S139" s="53">
        <f t="shared" si="89"/>
        <v>-1.0712578617255447E-2</v>
      </c>
      <c r="T139" s="53">
        <f t="shared" si="90"/>
        <v>0</v>
      </c>
      <c r="U139" s="54">
        <f t="shared" si="91"/>
        <v>-1.6999999999999999E-3</v>
      </c>
      <c r="V139" s="55">
        <f t="shared" si="92"/>
        <v>2.0299999999999999E-2</v>
      </c>
    </row>
    <row r="140" spans="1:24">
      <c r="A140" s="169">
        <v>123</v>
      </c>
      <c r="B140" s="170" t="s">
        <v>173</v>
      </c>
      <c r="C140" s="171" t="s">
        <v>63</v>
      </c>
      <c r="D140" s="30">
        <v>10160636635.129999</v>
      </c>
      <c r="E140" s="27">
        <f t="shared" si="87"/>
        <v>5.0975075129504228E-3</v>
      </c>
      <c r="F140" s="30">
        <v>2021.7</v>
      </c>
      <c r="G140" s="30">
        <v>2021.7</v>
      </c>
      <c r="H140" s="29">
        <v>282</v>
      </c>
      <c r="I140" s="47">
        <v>6.6400000000000001E-2</v>
      </c>
      <c r="J140" s="47">
        <v>6.6600000000000006E-2</v>
      </c>
      <c r="K140" s="30">
        <v>10178917179.059999</v>
      </c>
      <c r="L140" s="27">
        <f t="shared" si="86"/>
        <v>5.1304889636462521E-3</v>
      </c>
      <c r="M140" s="30">
        <v>2003.48</v>
      </c>
      <c r="N140" s="30">
        <v>2003.48</v>
      </c>
      <c r="O140" s="29">
        <v>285</v>
      </c>
      <c r="P140" s="47">
        <v>5.5800000000000002E-2</v>
      </c>
      <c r="Q140" s="47">
        <v>6.6299999999999998E-2</v>
      </c>
      <c r="R140" s="54">
        <f t="shared" si="88"/>
        <v>1.7991533982030267E-3</v>
      </c>
      <c r="S140" s="54">
        <f t="shared" si="89"/>
        <v>-9.012217440767684E-3</v>
      </c>
      <c r="T140" s="53">
        <f t="shared" si="90"/>
        <v>1.0638297872340425E-2</v>
      </c>
      <c r="U140" s="54">
        <f t="shared" si="91"/>
        <v>-1.0599999999999998E-2</v>
      </c>
      <c r="V140" s="55">
        <f t="shared" si="92"/>
        <v>-3.0000000000000859E-4</v>
      </c>
    </row>
    <row r="141" spans="1:24">
      <c r="A141" s="169">
        <v>124</v>
      </c>
      <c r="B141" s="170" t="s">
        <v>318</v>
      </c>
      <c r="C141" s="171" t="s">
        <v>78</v>
      </c>
      <c r="D141" s="30">
        <v>332384158.64824301</v>
      </c>
      <c r="E141" s="27">
        <f t="shared" si="87"/>
        <v>1.6675438820802255E-4</v>
      </c>
      <c r="F141" s="30">
        <v>1562.2017060000001</v>
      </c>
      <c r="G141" s="30">
        <v>1562.2017060000001</v>
      </c>
      <c r="H141" s="29">
        <v>9</v>
      </c>
      <c r="I141" s="47">
        <v>0.06</v>
      </c>
      <c r="J141" s="47">
        <v>0.06</v>
      </c>
      <c r="K141" s="30">
        <f>317233.06*W135</f>
        <v>480565925.62632596</v>
      </c>
      <c r="L141" s="27">
        <f t="shared" si="86"/>
        <v>2.4222008435262639E-4</v>
      </c>
      <c r="M141" s="30">
        <f>1.02*W135</f>
        <v>1545.164442</v>
      </c>
      <c r="N141" s="30">
        <f>1.02*W135</f>
        <v>1545.164442</v>
      </c>
      <c r="O141" s="29">
        <v>10</v>
      </c>
      <c r="P141" s="47">
        <v>1E-4</v>
      </c>
      <c r="Q141" s="47">
        <v>2.1600000000000001E-2</v>
      </c>
      <c r="R141" s="54">
        <f t="shared" si="88"/>
        <v>0.44581476921378016</v>
      </c>
      <c r="S141" s="54">
        <f t="shared" si="89"/>
        <v>-1.0905930991218652E-2</v>
      </c>
      <c r="T141" s="53">
        <f t="shared" si="90"/>
        <v>0.1111111111111111</v>
      </c>
      <c r="U141" s="54">
        <f t="shared" si="91"/>
        <v>-5.9899999999999995E-2</v>
      </c>
      <c r="V141" s="55">
        <f t="shared" si="92"/>
        <v>-3.8399999999999997E-2</v>
      </c>
    </row>
    <row r="142" spans="1:24">
      <c r="A142" s="169">
        <v>125</v>
      </c>
      <c r="B142" s="170" t="s">
        <v>300</v>
      </c>
      <c r="C142" s="171" t="s">
        <v>35</v>
      </c>
      <c r="D142" s="30">
        <v>99739815166.360596</v>
      </c>
      <c r="E142" s="27">
        <f t="shared" si="87"/>
        <v>5.0038641810391311E-2</v>
      </c>
      <c r="F142" s="30">
        <v>153355</v>
      </c>
      <c r="G142" s="30">
        <v>153355</v>
      </c>
      <c r="H142" s="29">
        <v>1947</v>
      </c>
      <c r="I142" s="47">
        <v>5.79E-2</v>
      </c>
      <c r="J142" s="47">
        <v>5.0700000000000002E-2</v>
      </c>
      <c r="K142" s="30">
        <v>100825607797.325</v>
      </c>
      <c r="L142" s="27">
        <f t="shared" si="86"/>
        <v>5.0819223592982556E-2</v>
      </c>
      <c r="M142" s="30">
        <f>100*1531.4451</f>
        <v>153144.50999999998</v>
      </c>
      <c r="N142" s="30">
        <f>100*1531.4451</f>
        <v>153144.50999999998</v>
      </c>
      <c r="O142" s="29">
        <v>1962</v>
      </c>
      <c r="P142" s="47">
        <v>5.5300000000000002E-2</v>
      </c>
      <c r="Q142" s="47">
        <v>5.11E-2</v>
      </c>
      <c r="R142" s="54">
        <f t="shared" si="88"/>
        <v>1.0886250682872814E-2</v>
      </c>
      <c r="S142" s="54">
        <f t="shared" si="89"/>
        <v>-1.3725669198918836E-3</v>
      </c>
      <c r="T142" s="54">
        <f t="shared" si="90"/>
        <v>7.7041602465331279E-3</v>
      </c>
      <c r="U142" s="54">
        <f t="shared" si="91"/>
        <v>-2.5999999999999981E-3</v>
      </c>
      <c r="V142" s="55">
        <f t="shared" si="92"/>
        <v>3.9999999999999758E-4</v>
      </c>
    </row>
    <row r="143" spans="1:24" ht="15.6">
      <c r="A143" s="169">
        <v>126</v>
      </c>
      <c r="B143" s="170" t="s">
        <v>174</v>
      </c>
      <c r="C143" s="171" t="s">
        <v>130</v>
      </c>
      <c r="D143" s="30">
        <v>1268900326.7398901</v>
      </c>
      <c r="E143" s="27">
        <f t="shared" si="87"/>
        <v>6.365968177996042E-4</v>
      </c>
      <c r="F143" s="30">
        <v>1715.3587360000004</v>
      </c>
      <c r="G143" s="30">
        <v>1791.9372510000001</v>
      </c>
      <c r="H143" s="29">
        <v>53</v>
      </c>
      <c r="I143" s="47">
        <v>1.9E-3</v>
      </c>
      <c r="J143" s="47">
        <v>9.1700000000000004E-2</v>
      </c>
      <c r="K143" s="30">
        <f>808496.3*W135</f>
        <v>1224764445.3417301</v>
      </c>
      <c r="L143" s="27">
        <f t="shared" si="86"/>
        <v>6.1731914695393466E-4</v>
      </c>
      <c r="M143" s="30">
        <f>1.12*W135</f>
        <v>1696.6511520000001</v>
      </c>
      <c r="N143" s="30">
        <f>1.17*W135</f>
        <v>1772.3945069999997</v>
      </c>
      <c r="O143" s="29">
        <v>53</v>
      </c>
      <c r="P143" s="47">
        <v>1.9E-3</v>
      </c>
      <c r="Q143" s="47">
        <v>9.1700000000000004E-2</v>
      </c>
      <c r="R143" s="54">
        <f t="shared" si="88"/>
        <v>-3.4782780387137002E-2</v>
      </c>
      <c r="S143" s="54">
        <f t="shared" si="89"/>
        <v>-1.0905930991218794E-2</v>
      </c>
      <c r="T143" s="54">
        <f t="shared" si="90"/>
        <v>0</v>
      </c>
      <c r="U143" s="54">
        <f t="shared" si="91"/>
        <v>0</v>
      </c>
      <c r="V143" s="55">
        <f t="shared" si="92"/>
        <v>0</v>
      </c>
      <c r="X143" s="64"/>
    </row>
    <row r="144" spans="1:24" ht="15.6">
      <c r="A144" s="169">
        <v>127</v>
      </c>
      <c r="B144" s="170" t="s">
        <v>175</v>
      </c>
      <c r="C144" s="171" t="s">
        <v>41</v>
      </c>
      <c r="D144" s="26">
        <v>6308951727.5223274</v>
      </c>
      <c r="E144" s="27">
        <f t="shared" si="87"/>
        <v>3.1651489945713571E-3</v>
      </c>
      <c r="F144" s="30">
        <v>16311.223695000001</v>
      </c>
      <c r="G144" s="30">
        <v>16311.223695000001</v>
      </c>
      <c r="H144" s="29">
        <v>145</v>
      </c>
      <c r="I144" s="47">
        <v>7.4300000000000005E-2</v>
      </c>
      <c r="J144" s="47">
        <v>9.4299999999999995E-2</v>
      </c>
      <c r="K144" s="26">
        <f xml:space="preserve">  4168718.93 *W135</f>
        <v>6315055156.2042027</v>
      </c>
      <c r="L144" s="27">
        <f t="shared" si="86"/>
        <v>3.1829830436556341E-3</v>
      </c>
      <c r="M144" s="30">
        <f>10.66*W135</f>
        <v>16148.483285999999</v>
      </c>
      <c r="N144" s="30">
        <f>10.66*W135</f>
        <v>16148.483285999999</v>
      </c>
      <c r="O144" s="29">
        <v>146</v>
      </c>
      <c r="P144" s="47">
        <v>7.3400000000000007E-2</v>
      </c>
      <c r="Q144" s="47">
        <v>9.3399999999999997E-2</v>
      </c>
      <c r="R144" s="54">
        <f t="shared" si="88"/>
        <v>9.6742358247083743E-4</v>
      </c>
      <c r="S144" s="54">
        <f t="shared" si="89"/>
        <v>-9.9772041658583738E-3</v>
      </c>
      <c r="T144" s="54">
        <f t="shared" si="90"/>
        <v>6.8965517241379309E-3</v>
      </c>
      <c r="U144" s="54">
        <f t="shared" si="91"/>
        <v>-8.9999999999999802E-4</v>
      </c>
      <c r="V144" s="55">
        <f t="shared" si="92"/>
        <v>-8.9999999999999802E-4</v>
      </c>
      <c r="X144" s="64"/>
    </row>
    <row r="145" spans="1:24" ht="15.6">
      <c r="A145" s="169">
        <v>128</v>
      </c>
      <c r="B145" s="171" t="s">
        <v>176</v>
      </c>
      <c r="C145" s="174" t="s">
        <v>45</v>
      </c>
      <c r="D145" s="30">
        <v>26842304869.139999</v>
      </c>
      <c r="E145" s="27">
        <f t="shared" si="87"/>
        <v>1.3466562740986773E-2</v>
      </c>
      <c r="F145" s="30">
        <v>1654.0959240000002</v>
      </c>
      <c r="G145" s="30">
        <v>1654.0959240000002</v>
      </c>
      <c r="H145" s="29">
        <v>460</v>
      </c>
      <c r="I145" s="47">
        <v>5.3E-3</v>
      </c>
      <c r="J145" s="47">
        <v>8.9899999999999994E-2</v>
      </c>
      <c r="K145" s="30">
        <v>26742909571.700001</v>
      </c>
      <c r="L145" s="27">
        <f t="shared" si="86"/>
        <v>1.3479253244701915E-2</v>
      </c>
      <c r="M145" s="30">
        <f>1.08*W135</f>
        <v>1636.056468</v>
      </c>
      <c r="N145" s="30">
        <f>1.08*W135</f>
        <v>1636.056468</v>
      </c>
      <c r="O145" s="29">
        <v>460</v>
      </c>
      <c r="P145" s="47">
        <v>4.4999999999999997E-3</v>
      </c>
      <c r="Q145" s="47">
        <v>9.3200000000000005E-2</v>
      </c>
      <c r="R145" s="54">
        <f t="shared" si="88"/>
        <v>-3.7029345253533422E-3</v>
      </c>
      <c r="S145" s="54">
        <f t="shared" si="89"/>
        <v>-1.090593099121874E-2</v>
      </c>
      <c r="T145" s="54">
        <f t="shared" si="90"/>
        <v>0</v>
      </c>
      <c r="U145" s="54">
        <f t="shared" si="91"/>
        <v>-8.0000000000000036E-4</v>
      </c>
      <c r="V145" s="55">
        <f t="shared" si="92"/>
        <v>3.3000000000000113E-3</v>
      </c>
      <c r="X145" s="64"/>
    </row>
    <row r="146" spans="1:24">
      <c r="A146" s="169">
        <v>129</v>
      </c>
      <c r="B146" s="170" t="s">
        <v>177</v>
      </c>
      <c r="C146" s="171" t="s">
        <v>87</v>
      </c>
      <c r="D146" s="26">
        <v>457652955.60000002</v>
      </c>
      <c r="E146" s="27">
        <f t="shared" si="87"/>
        <v>2.2960070941116954E-4</v>
      </c>
      <c r="F146" s="30">
        <v>1903.5612000000001</v>
      </c>
      <c r="G146" s="30">
        <v>1903.5612000000001</v>
      </c>
      <c r="H146" s="29">
        <v>2</v>
      </c>
      <c r="I146" s="47">
        <v>6.7590000000000003E-3</v>
      </c>
      <c r="J146" s="47">
        <v>0.118617</v>
      </c>
      <c r="K146" s="26">
        <f>297481.35*1519.67</f>
        <v>452073483.15450001</v>
      </c>
      <c r="L146" s="27">
        <f t="shared" si="86"/>
        <v>2.2785901243529616E-4</v>
      </c>
      <c r="M146" s="30">
        <f>1.24*1519.67</f>
        <v>1884.3908000000001</v>
      </c>
      <c r="N146" s="30">
        <f>1.24*1519.67</f>
        <v>1884.3908000000001</v>
      </c>
      <c r="O146" s="29">
        <v>2</v>
      </c>
      <c r="P146" s="47">
        <v>-2.1719999999999999E-3</v>
      </c>
      <c r="Q146" s="47">
        <v>0.116188</v>
      </c>
      <c r="R146" s="54">
        <f t="shared" si="88"/>
        <v>-1.2191492215285971E-2</v>
      </c>
      <c r="S146" s="54">
        <f t="shared" si="89"/>
        <v>-1.0070808335450402E-2</v>
      </c>
      <c r="T146" s="54">
        <f t="shared" si="90"/>
        <v>0</v>
      </c>
      <c r="U146" s="54">
        <f t="shared" ref="U146" si="99">P146-I146</f>
        <v>-8.9309999999999997E-3</v>
      </c>
      <c r="V146" s="55">
        <f t="shared" ref="V146" si="100">Q146-J146</f>
        <v>-2.4290000000000006E-3</v>
      </c>
    </row>
    <row r="147" spans="1:24">
      <c r="A147" s="169">
        <v>130</v>
      </c>
      <c r="B147" s="170" t="s">
        <v>303</v>
      </c>
      <c r="C147" s="171" t="s">
        <v>301</v>
      </c>
      <c r="D147" s="26">
        <v>663094418.1685071</v>
      </c>
      <c r="E147" s="27">
        <f t="shared" si="87"/>
        <v>3.3266899504336101E-4</v>
      </c>
      <c r="F147" s="30">
        <v>1581.6526488100001</v>
      </c>
      <c r="G147" s="30">
        <v>1581.6526488100001</v>
      </c>
      <c r="H147" s="29">
        <v>7</v>
      </c>
      <c r="I147" s="47">
        <v>7.8200000000000006E-2</v>
      </c>
      <c r="J147" s="47">
        <v>6.9800000000000001E-2</v>
      </c>
      <c r="K147" s="26">
        <f>433522.43*W135</f>
        <v>656728866.31905293</v>
      </c>
      <c r="L147" s="27">
        <f t="shared" si="86"/>
        <v>3.310116529574678E-4</v>
      </c>
      <c r="M147" s="30">
        <f>1.0341*W135</f>
        <v>1566.5240681099999</v>
      </c>
      <c r="N147" s="30">
        <f>1.0341*W135</f>
        <v>1566.5240681099999</v>
      </c>
      <c r="O147" s="29">
        <v>7</v>
      </c>
      <c r="P147" s="47">
        <v>7.2999999999999995E-2</v>
      </c>
      <c r="Q147" s="47">
        <v>6.9900000000000004E-2</v>
      </c>
      <c r="R147" s="54">
        <f t="shared" ref="R147" si="101">((K147-D147)/D147)</f>
        <v>-9.59976690353701E-3</v>
      </c>
      <c r="S147" s="54">
        <f t="shared" ref="S147" si="102">((N147-G147)/G147)</f>
        <v>-9.5650462264154912E-3</v>
      </c>
      <c r="T147" s="54">
        <f t="shared" si="90"/>
        <v>0</v>
      </c>
      <c r="U147" s="54">
        <f t="shared" si="91"/>
        <v>-5.2000000000000102E-3</v>
      </c>
      <c r="V147" s="55">
        <f t="shared" si="92"/>
        <v>1.0000000000000286E-4</v>
      </c>
    </row>
    <row r="148" spans="1:24">
      <c r="A148" s="169">
        <v>131</v>
      </c>
      <c r="B148" s="170" t="s">
        <v>178</v>
      </c>
      <c r="C148" s="171" t="s">
        <v>47</v>
      </c>
      <c r="D148" s="26">
        <v>1093309529547.59</v>
      </c>
      <c r="E148" s="27">
        <f t="shared" si="87"/>
        <v>0.54850436453756979</v>
      </c>
      <c r="F148" s="30">
        <v>2527.9</v>
      </c>
      <c r="G148" s="30">
        <v>2527.9</v>
      </c>
      <c r="H148" s="29">
        <v>11891</v>
      </c>
      <c r="I148" s="47">
        <v>1.2999999999999999E-3</v>
      </c>
      <c r="J148" s="47">
        <v>4.58E-2</v>
      </c>
      <c r="K148" s="26">
        <v>1085649773278.1899</v>
      </c>
      <c r="L148" s="27">
        <f t="shared" si="86"/>
        <v>0.54720105117341944</v>
      </c>
      <c r="M148" s="30">
        <v>2504.87</v>
      </c>
      <c r="N148" s="30">
        <v>2504.87</v>
      </c>
      <c r="O148" s="29">
        <v>11962</v>
      </c>
      <c r="P148" s="47">
        <v>1E-3</v>
      </c>
      <c r="Q148" s="47">
        <v>4.6800000000000001E-2</v>
      </c>
      <c r="R148" s="54">
        <f t="shared" si="88"/>
        <v>-7.0060271701552091E-3</v>
      </c>
      <c r="S148" s="54">
        <f t="shared" si="89"/>
        <v>-9.1103287313581225E-3</v>
      </c>
      <c r="T148" s="54">
        <f t="shared" si="90"/>
        <v>5.97090236313178E-3</v>
      </c>
      <c r="U148" s="54">
        <f t="shared" si="91"/>
        <v>-2.9999999999999992E-4</v>
      </c>
      <c r="V148" s="55">
        <f t="shared" si="92"/>
        <v>1.0000000000000009E-3</v>
      </c>
    </row>
    <row r="149" spans="1:24">
      <c r="A149" s="169">
        <v>132</v>
      </c>
      <c r="B149" s="170" t="s">
        <v>285</v>
      </c>
      <c r="C149" s="170" t="s">
        <v>97</v>
      </c>
      <c r="D149" s="26">
        <v>551247897.82080209</v>
      </c>
      <c r="E149" s="27">
        <f t="shared" si="87"/>
        <v>2.7655651919725535E-4</v>
      </c>
      <c r="F149" s="30">
        <v>160370.72611300001</v>
      </c>
      <c r="G149" s="30">
        <v>160370.72611300001</v>
      </c>
      <c r="H149" s="29">
        <v>28</v>
      </c>
      <c r="I149" s="47">
        <v>0</v>
      </c>
      <c r="J149" s="47">
        <v>7.5600000000000001E-2</v>
      </c>
      <c r="K149" s="26">
        <f>360476.66*W135</f>
        <v>546074232.55188596</v>
      </c>
      <c r="L149" s="27">
        <f t="shared" si="86"/>
        <v>2.7523829638800265E-4</v>
      </c>
      <c r="M149" s="30">
        <f>104.87*W135</f>
        <v>158864.112777</v>
      </c>
      <c r="N149" s="30">
        <f>104.87*W135</f>
        <v>158864.112777</v>
      </c>
      <c r="O149" s="29">
        <v>28</v>
      </c>
      <c r="P149" s="47">
        <v>0</v>
      </c>
      <c r="Q149" s="47">
        <v>7.5800000000000006E-2</v>
      </c>
      <c r="R149" s="54">
        <f t="shared" ref="R149" si="103">((K149-D149)/D149)</f>
        <v>-9.3853696120542278E-3</v>
      </c>
      <c r="S149" s="54">
        <f t="shared" ref="S149" si="104">((N149-G149)/G149)</f>
        <v>-9.3945657821516843E-3</v>
      </c>
      <c r="T149" s="54">
        <f t="shared" ref="T149" si="105">((O149-H149)/H149)</f>
        <v>0</v>
      </c>
      <c r="U149" s="54">
        <f t="shared" ref="U149" si="106">P149-I149</f>
        <v>0</v>
      </c>
      <c r="V149" s="55">
        <f t="shared" ref="V149" si="107">Q149-J149</f>
        <v>2.0000000000000573E-4</v>
      </c>
    </row>
    <row r="150" spans="1:24" ht="16.5" customHeight="1">
      <c r="A150" s="169">
        <v>133</v>
      </c>
      <c r="B150" s="170" t="s">
        <v>179</v>
      </c>
      <c r="C150" s="171" t="s">
        <v>50</v>
      </c>
      <c r="D150" s="26">
        <v>183110755901.41531</v>
      </c>
      <c r="E150" s="27">
        <f t="shared" si="87"/>
        <v>9.1865154461116413E-2</v>
      </c>
      <c r="F150" s="30">
        <v>1862.5732290000003</v>
      </c>
      <c r="G150" s="30">
        <v>1862.5732290000003</v>
      </c>
      <c r="H150" s="29">
        <v>810</v>
      </c>
      <c r="I150" s="47">
        <v>9.4600000000000004E-2</v>
      </c>
      <c r="J150" s="47">
        <v>8.9899999999999994E-2</v>
      </c>
      <c r="K150" s="26">
        <f>120298251.26*1519.67</f>
        <v>182813643492.28421</v>
      </c>
      <c r="L150" s="27">
        <f t="shared" si="86"/>
        <v>9.2143728438091071E-2</v>
      </c>
      <c r="M150" s="30">
        <f>1.2144*1519.67</f>
        <v>1845.4872479999999</v>
      </c>
      <c r="N150" s="30">
        <f>1.2144*1519.67</f>
        <v>1845.4872479999999</v>
      </c>
      <c r="O150" s="29">
        <v>818</v>
      </c>
      <c r="P150" s="47">
        <v>5.74E-2</v>
      </c>
      <c r="Q150" s="47">
        <v>8.9099999999999999E-2</v>
      </c>
      <c r="R150" s="54">
        <f t="shared" si="88"/>
        <v>-1.6225830518173676E-3</v>
      </c>
      <c r="S150" s="54">
        <f t="shared" si="89"/>
        <v>-9.1733204010312763E-3</v>
      </c>
      <c r="T150" s="54">
        <f t="shared" si="90"/>
        <v>9.876543209876543E-3</v>
      </c>
      <c r="U150" s="54">
        <f t="shared" si="91"/>
        <v>-3.7200000000000004E-2</v>
      </c>
      <c r="V150" s="55">
        <f t="shared" si="92"/>
        <v>-7.9999999999999516E-4</v>
      </c>
    </row>
    <row r="151" spans="1:24" ht="16.5" customHeight="1">
      <c r="A151" s="169">
        <v>134</v>
      </c>
      <c r="B151" s="170" t="s">
        <v>180</v>
      </c>
      <c r="C151" s="171" t="s">
        <v>92</v>
      </c>
      <c r="D151" s="30">
        <v>1870547807.526931</v>
      </c>
      <c r="E151" s="27">
        <f t="shared" si="87"/>
        <v>9.3843839166870039E-4</v>
      </c>
      <c r="F151" s="30">
        <v>164505.96592300001</v>
      </c>
      <c r="G151" s="30">
        <v>164505.96592300001</v>
      </c>
      <c r="H151" s="29">
        <v>29</v>
      </c>
      <c r="I151" s="47">
        <v>2.9999999999999997E-4</v>
      </c>
      <c r="J151" s="47">
        <v>6.9500000000000006E-2</v>
      </c>
      <c r="K151" s="30">
        <f>1209615.25558982*W135</f>
        <v>1832406354.3511093</v>
      </c>
      <c r="L151" s="27">
        <f t="shared" si="86"/>
        <v>9.2358945578745774E-4</v>
      </c>
      <c r="M151" s="30">
        <f>106.38*W135</f>
        <v>161151.56209799999</v>
      </c>
      <c r="N151" s="30">
        <f>106.38*W135</f>
        <v>161151.56209799999</v>
      </c>
      <c r="O151" s="29">
        <v>29</v>
      </c>
      <c r="P151" s="47">
        <v>-9.5999999999999992E-3</v>
      </c>
      <c r="Q151" s="47">
        <v>6.9400000000000003E-2</v>
      </c>
      <c r="R151" s="54">
        <f t="shared" si="88"/>
        <v>-2.039052571783715E-2</v>
      </c>
      <c r="S151" s="54">
        <f t="shared" si="89"/>
        <v>-2.0390773101627846E-2</v>
      </c>
      <c r="T151" s="54">
        <f t="shared" si="90"/>
        <v>0</v>
      </c>
      <c r="U151" s="54">
        <f t="shared" si="91"/>
        <v>-9.8999999999999991E-3</v>
      </c>
      <c r="V151" s="55">
        <f t="shared" si="92"/>
        <v>-1.0000000000000286E-4</v>
      </c>
    </row>
    <row r="152" spans="1:24" ht="16.5" customHeight="1">
      <c r="A152" s="169">
        <v>135</v>
      </c>
      <c r="B152" s="170" t="s">
        <v>305</v>
      </c>
      <c r="C152" s="171" t="s">
        <v>103</v>
      </c>
      <c r="D152" s="30">
        <v>1522313320.6340671</v>
      </c>
      <c r="E152" s="27">
        <f t="shared" si="87"/>
        <v>7.6373202464171948E-4</v>
      </c>
      <c r="F152" s="30">
        <v>1669.4116270000002</v>
      </c>
      <c r="G152" s="30">
        <v>1669.4116270000002</v>
      </c>
      <c r="H152" s="29">
        <v>31</v>
      </c>
      <c r="I152" s="47">
        <v>8.2000000000000003E-2</v>
      </c>
      <c r="J152" s="47">
        <v>8.2600000000000007E-2</v>
      </c>
      <c r="K152" s="30">
        <f>1298437.38*W135</f>
        <v>1966960068.3721979</v>
      </c>
      <c r="L152" s="27">
        <f t="shared" si="86"/>
        <v>9.9140868770172699E-4</v>
      </c>
      <c r="M152" s="30">
        <f>1.09*W135</f>
        <v>1651.2051390000001</v>
      </c>
      <c r="N152" s="30">
        <f>1.09*W135</f>
        <v>1651.2051390000001</v>
      </c>
      <c r="O152" s="29">
        <v>31</v>
      </c>
      <c r="P152" s="47">
        <v>9.2100000000000001E-2</v>
      </c>
      <c r="Q152" s="47">
        <v>7.6799999999999993E-2</v>
      </c>
      <c r="R152" s="54">
        <f t="shared" ref="R152" si="108">((K152-D152)/D152)</f>
        <v>0.29208622279737301</v>
      </c>
      <c r="S152" s="54">
        <f t="shared" ref="S152" si="109">((N152-G152)/G152)</f>
        <v>-1.0905930991218641E-2</v>
      </c>
      <c r="T152" s="54">
        <f t="shared" si="90"/>
        <v>0</v>
      </c>
      <c r="U152" s="54">
        <f t="shared" si="91"/>
        <v>1.0099999999999998E-2</v>
      </c>
      <c r="V152" s="55">
        <f t="shared" si="92"/>
        <v>-5.8000000000000135E-3</v>
      </c>
    </row>
    <row r="153" spans="1:24">
      <c r="A153" s="169">
        <v>136</v>
      </c>
      <c r="B153" s="170" t="s">
        <v>181</v>
      </c>
      <c r="C153" s="171" t="s">
        <v>105</v>
      </c>
      <c r="D153" s="30">
        <v>1850247011.6731639</v>
      </c>
      <c r="E153" s="27">
        <f t="shared" si="87"/>
        <v>9.2825364999359105E-4</v>
      </c>
      <c r="F153" s="30">
        <v>2113.5670139999997</v>
      </c>
      <c r="G153" s="30">
        <v>2113.5670139999997</v>
      </c>
      <c r="H153" s="29">
        <v>107</v>
      </c>
      <c r="I153" s="47">
        <v>9.5999999999999992E-3</v>
      </c>
      <c r="J153" s="47">
        <v>0.1089</v>
      </c>
      <c r="K153" s="30">
        <f>1113762.69 *W135</f>
        <v>1687202456.2884989</v>
      </c>
      <c r="L153" s="27">
        <f t="shared" si="86"/>
        <v>8.5040220184052714E-4</v>
      </c>
      <c r="M153" s="30">
        <f>1.39*W135</f>
        <v>2105.6652689999996</v>
      </c>
      <c r="N153" s="30">
        <f>1.39*W135</f>
        <v>2105.6652689999996</v>
      </c>
      <c r="O153" s="29">
        <v>111</v>
      </c>
      <c r="P153" s="47">
        <v>5.7999999999999996E-3</v>
      </c>
      <c r="Q153" s="47">
        <v>0.11550000000000001</v>
      </c>
      <c r="R153" s="54">
        <f t="shared" si="88"/>
        <v>-8.8120426276070613E-2</v>
      </c>
      <c r="S153" s="54">
        <f t="shared" si="89"/>
        <v>-3.7385826650680877E-3</v>
      </c>
      <c r="T153" s="54">
        <f t="shared" si="90"/>
        <v>3.7383177570093455E-2</v>
      </c>
      <c r="U153" s="54">
        <f t="shared" si="91"/>
        <v>-3.7999999999999996E-3</v>
      </c>
      <c r="V153" s="55">
        <f t="shared" si="92"/>
        <v>6.6000000000000086E-3</v>
      </c>
    </row>
    <row r="154" spans="1:24">
      <c r="A154" s="33"/>
      <c r="B154" s="34"/>
      <c r="C154" s="68" t="s">
        <v>51</v>
      </c>
      <c r="D154" s="45">
        <f>SUM(D116:D153)</f>
        <v>1993255843040.2493</v>
      </c>
      <c r="E154" s="37">
        <f>(D154/$D$226)</f>
        <v>0.30380594569564512</v>
      </c>
      <c r="F154" s="38"/>
      <c r="G154" s="42"/>
      <c r="H154" s="40">
        <f>SUM(H116:H153)</f>
        <v>26576</v>
      </c>
      <c r="I154" s="77"/>
      <c r="J154" s="77"/>
      <c r="K154" s="45">
        <f>SUM(K116:K153)</f>
        <v>1984005277310.9985</v>
      </c>
      <c r="L154" s="37">
        <f>(K154/$K$226)</f>
        <v>0.30323237582963686</v>
      </c>
      <c r="M154" s="38"/>
      <c r="N154" s="42"/>
      <c r="O154" s="40">
        <f>SUM(O116:O153)</f>
        <v>26792</v>
      </c>
      <c r="P154" s="77"/>
      <c r="Q154" s="77"/>
      <c r="R154" s="54">
        <f t="shared" si="88"/>
        <v>-4.6409324530769418E-3</v>
      </c>
      <c r="S154" s="54" t="e">
        <f t="shared" si="89"/>
        <v>#DIV/0!</v>
      </c>
      <c r="T154" s="54">
        <f t="shared" si="90"/>
        <v>8.1276339554485245E-3</v>
      </c>
      <c r="U154" s="54">
        <f t="shared" si="91"/>
        <v>0</v>
      </c>
      <c r="V154" s="55">
        <f t="shared" si="92"/>
        <v>0</v>
      </c>
    </row>
    <row r="155" spans="1:24" ht="6" customHeight="1">
      <c r="A155" s="33"/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T155" s="181"/>
      <c r="U155" s="181"/>
      <c r="V155" s="181"/>
    </row>
    <row r="156" spans="1:24">
      <c r="A156" s="183" t="s">
        <v>182</v>
      </c>
      <c r="B156" s="183"/>
      <c r="C156" s="183"/>
      <c r="D156" s="183"/>
      <c r="E156" s="183"/>
      <c r="F156" s="183"/>
      <c r="G156" s="183"/>
      <c r="H156" s="183"/>
      <c r="I156" s="183"/>
      <c r="J156" s="183"/>
      <c r="K156" s="183"/>
      <c r="L156" s="183"/>
      <c r="M156" s="183"/>
      <c r="N156" s="183"/>
      <c r="O156" s="183"/>
      <c r="P156" s="183"/>
      <c r="Q156" s="183"/>
      <c r="R156" s="183"/>
      <c r="S156" s="183"/>
      <c r="T156" s="183"/>
      <c r="U156" s="183"/>
      <c r="V156" s="183"/>
    </row>
    <row r="157" spans="1:24">
      <c r="A157" s="169">
        <v>137</v>
      </c>
      <c r="B157" s="170" t="s">
        <v>183</v>
      </c>
      <c r="C157" s="171" t="s">
        <v>184</v>
      </c>
      <c r="D157" s="69">
        <v>2502886744.1399999</v>
      </c>
      <c r="E157" s="27">
        <f>(D157/$D$163)</f>
        <v>6.8881883825720998E-3</v>
      </c>
      <c r="F157" s="57">
        <v>117.95</v>
      </c>
      <c r="G157" s="57">
        <v>117.95</v>
      </c>
      <c r="H157" s="29">
        <v>8</v>
      </c>
      <c r="I157" s="47">
        <v>4.0000000000000001E-3</v>
      </c>
      <c r="J157" s="47">
        <v>0.1187</v>
      </c>
      <c r="K157" s="69">
        <v>2512898291.1199999</v>
      </c>
      <c r="L157" s="27">
        <f>(K157/$K$163)</f>
        <v>6.9025308984258975E-3</v>
      </c>
      <c r="M157" s="57">
        <v>118.42</v>
      </c>
      <c r="N157" s="57">
        <v>118.42</v>
      </c>
      <c r="O157" s="29">
        <v>8</v>
      </c>
      <c r="P157" s="47">
        <v>4.0000000000000001E-3</v>
      </c>
      <c r="Q157" s="47">
        <v>0.1231</v>
      </c>
      <c r="R157" s="54">
        <f t="shared" ref="R157:R163" si="110">((K157-D157)/D157)</f>
        <v>4.0000000013744206E-3</v>
      </c>
      <c r="S157" s="54">
        <f t="shared" ref="S157:T163" si="111">((N157-G157)/G157)</f>
        <v>3.9847392963119873E-3</v>
      </c>
      <c r="T157" s="54">
        <f t="shared" si="111"/>
        <v>0</v>
      </c>
      <c r="U157" s="54">
        <f t="shared" ref="U157:V163" si="112">P157-I157</f>
        <v>0</v>
      </c>
      <c r="V157" s="55">
        <f t="shared" si="112"/>
        <v>4.4000000000000011E-3</v>
      </c>
    </row>
    <row r="158" spans="1:24">
      <c r="A158" s="169">
        <v>138</v>
      </c>
      <c r="B158" s="170" t="s">
        <v>312</v>
      </c>
      <c r="C158" s="171" t="s">
        <v>21</v>
      </c>
      <c r="D158" s="69">
        <v>258231737874.67001</v>
      </c>
      <c r="E158" s="27">
        <v>0</v>
      </c>
      <c r="F158" s="57">
        <v>103.2927</v>
      </c>
      <c r="G158" s="57">
        <v>103.2927</v>
      </c>
      <c r="H158" s="29">
        <v>45</v>
      </c>
      <c r="I158" s="47">
        <v>0.2054</v>
      </c>
      <c r="J158" s="47">
        <v>7.2800000000000004E-2</v>
      </c>
      <c r="K158" s="69">
        <v>258834326597.23001</v>
      </c>
      <c r="L158" s="27">
        <f t="shared" ref="L158:L159" si="113">(K158/$K$163)</f>
        <v>0.71097662138738871</v>
      </c>
      <c r="M158" s="57">
        <v>103.5337</v>
      </c>
      <c r="N158" s="57">
        <v>103.5337</v>
      </c>
      <c r="O158" s="29">
        <v>45</v>
      </c>
      <c r="P158" s="47">
        <v>0.1217</v>
      </c>
      <c r="Q158" s="47">
        <v>7.4999999999999997E-2</v>
      </c>
      <c r="R158" s="54">
        <f t="shared" ref="R158" si="114">((K158-D158)/D158)</f>
        <v>2.3335192161873515E-3</v>
      </c>
      <c r="S158" s="54">
        <f t="shared" ref="S158" si="115">((N158-G158)/G158)</f>
        <v>2.3331755293452459E-3</v>
      </c>
      <c r="T158" s="54">
        <f t="shared" ref="T158" si="116">((O158-H158)/H158)</f>
        <v>0</v>
      </c>
      <c r="U158" s="54">
        <f t="shared" ref="U158" si="117">P158-I158</f>
        <v>-8.3699999999999997E-2</v>
      </c>
      <c r="V158" s="55">
        <f t="shared" ref="V158" si="118">Q158-J158</f>
        <v>2.1999999999999936E-3</v>
      </c>
    </row>
    <row r="159" spans="1:24">
      <c r="A159" s="169">
        <v>139</v>
      </c>
      <c r="B159" s="170" t="s">
        <v>185</v>
      </c>
      <c r="C159" s="171" t="s">
        <v>45</v>
      </c>
      <c r="D159" s="26">
        <v>57062508820</v>
      </c>
      <c r="E159" s="27">
        <f>(D159/$D$163)</f>
        <v>0.15704158857950953</v>
      </c>
      <c r="F159" s="57">
        <v>102.5</v>
      </c>
      <c r="G159" s="57">
        <v>102.5</v>
      </c>
      <c r="H159" s="29">
        <v>645</v>
      </c>
      <c r="I159" s="47">
        <v>8.3900000000000002E-2</v>
      </c>
      <c r="J159" s="47">
        <v>8.3900000000000002E-2</v>
      </c>
      <c r="K159" s="26">
        <v>57062508820</v>
      </c>
      <c r="L159" s="27">
        <f t="shared" si="113"/>
        <v>0.15674161252909274</v>
      </c>
      <c r="M159" s="57">
        <v>102.5</v>
      </c>
      <c r="N159" s="57">
        <v>102.5</v>
      </c>
      <c r="O159" s="29">
        <v>645</v>
      </c>
      <c r="P159" s="47">
        <v>8.3900000000000002E-2</v>
      </c>
      <c r="Q159" s="47">
        <v>8.3900000000000002E-2</v>
      </c>
      <c r="R159" s="54">
        <f t="shared" si="110"/>
        <v>0</v>
      </c>
      <c r="S159" s="54">
        <f t="shared" si="111"/>
        <v>0</v>
      </c>
      <c r="T159" s="54">
        <f t="shared" si="111"/>
        <v>0</v>
      </c>
      <c r="U159" s="54">
        <f t="shared" si="112"/>
        <v>0</v>
      </c>
      <c r="V159" s="55">
        <f t="shared" si="112"/>
        <v>0</v>
      </c>
    </row>
    <row r="160" spans="1:24" ht="15.75" customHeight="1">
      <c r="A160" s="169">
        <v>140</v>
      </c>
      <c r="B160" s="170" t="s">
        <v>186</v>
      </c>
      <c r="C160" s="171" t="s">
        <v>140</v>
      </c>
      <c r="D160" s="26">
        <v>2572685855.1700001</v>
      </c>
      <c r="E160" s="27">
        <f>(D160/$D$163)</f>
        <v>7.0802823424112246E-3</v>
      </c>
      <c r="F160" s="57">
        <v>301.55</v>
      </c>
      <c r="G160" s="57">
        <v>301.55</v>
      </c>
      <c r="H160" s="29">
        <v>3552</v>
      </c>
      <c r="I160" s="47">
        <v>0.31619999999999998</v>
      </c>
      <c r="J160" s="47">
        <v>7.9799999999999996E-2</v>
      </c>
      <c r="K160" s="26">
        <v>2574235941.4299998</v>
      </c>
      <c r="L160" s="27">
        <f>(K160/$K$163)</f>
        <v>7.0710156429130743E-3</v>
      </c>
      <c r="M160" s="57">
        <v>301.55</v>
      </c>
      <c r="N160" s="57">
        <v>301.55</v>
      </c>
      <c r="O160" s="29">
        <v>3552</v>
      </c>
      <c r="P160" s="47">
        <v>3.7699999999999997E-2</v>
      </c>
      <c r="Q160" s="47">
        <v>8.0399999999999999E-2</v>
      </c>
      <c r="R160" s="54">
        <f t="shared" si="110"/>
        <v>6.0251672658935042E-4</v>
      </c>
      <c r="S160" s="54">
        <f t="shared" si="111"/>
        <v>0</v>
      </c>
      <c r="T160" s="54">
        <f t="shared" si="111"/>
        <v>0</v>
      </c>
      <c r="U160" s="54">
        <f t="shared" si="112"/>
        <v>-0.27849999999999997</v>
      </c>
      <c r="V160" s="55">
        <f t="shared" si="112"/>
        <v>6.0000000000000331E-4</v>
      </c>
    </row>
    <row r="161" spans="1:22">
      <c r="A161" s="169">
        <v>141</v>
      </c>
      <c r="B161" s="170" t="s">
        <v>187</v>
      </c>
      <c r="C161" s="171" t="s">
        <v>140</v>
      </c>
      <c r="D161" s="26">
        <v>10288318450.290001</v>
      </c>
      <c r="E161" s="27">
        <f>(D161/$D$163)</f>
        <v>2.831445561466674E-2</v>
      </c>
      <c r="F161" s="57">
        <v>57.6</v>
      </c>
      <c r="G161" s="57">
        <v>57.6</v>
      </c>
      <c r="H161" s="29">
        <v>5482</v>
      </c>
      <c r="I161" s="47">
        <v>0.19270000000000001</v>
      </c>
      <c r="J161" s="47">
        <v>0.1351</v>
      </c>
      <c r="K161" s="26">
        <v>10291400342.07</v>
      </c>
      <c r="L161" s="27">
        <f>(K161/$K$163)</f>
        <v>2.8268835670841229E-2</v>
      </c>
      <c r="M161" s="57">
        <v>57.6</v>
      </c>
      <c r="N161" s="57">
        <v>57.6</v>
      </c>
      <c r="O161" s="29">
        <v>5482</v>
      </c>
      <c r="P161" s="47">
        <v>8.6999999999999994E-3</v>
      </c>
      <c r="Q161" s="47">
        <v>0.1323</v>
      </c>
      <c r="R161" s="54">
        <f t="shared" si="110"/>
        <v>2.9955252599241897E-4</v>
      </c>
      <c r="S161" s="54">
        <f t="shared" si="111"/>
        <v>0</v>
      </c>
      <c r="T161" s="54">
        <f t="shared" si="111"/>
        <v>0</v>
      </c>
      <c r="U161" s="54">
        <f t="shared" si="112"/>
        <v>-0.184</v>
      </c>
      <c r="V161" s="55">
        <f t="shared" si="112"/>
        <v>-2.7999999999999969E-3</v>
      </c>
    </row>
    <row r="162" spans="1:22">
      <c r="A162" s="169">
        <v>142</v>
      </c>
      <c r="B162" s="170" t="s">
        <v>188</v>
      </c>
      <c r="C162" s="171" t="s">
        <v>47</v>
      </c>
      <c r="D162" s="26">
        <v>32701080257.459999</v>
      </c>
      <c r="E162" s="27">
        <f>(D162/$D$163)</f>
        <v>8.9996561632032956E-2</v>
      </c>
      <c r="F162" s="57">
        <v>7.85</v>
      </c>
      <c r="G162" s="57">
        <v>7.85</v>
      </c>
      <c r="H162" s="29">
        <v>208914</v>
      </c>
      <c r="I162" s="47">
        <v>-1.2699999999999999E-2</v>
      </c>
      <c r="J162" s="47">
        <v>0.56000000000000005</v>
      </c>
      <c r="K162" s="26">
        <v>32779254043.669998</v>
      </c>
      <c r="L162" s="27">
        <f>(K162/$K$163)</f>
        <v>9.0039383871338502E-2</v>
      </c>
      <c r="M162" s="57">
        <v>7.65</v>
      </c>
      <c r="N162" s="57">
        <v>7.65</v>
      </c>
      <c r="O162" s="29">
        <v>209805</v>
      </c>
      <c r="P162" s="47">
        <v>-1.9199999999999998E-2</v>
      </c>
      <c r="Q162" s="47">
        <v>0.53</v>
      </c>
      <c r="R162" s="54">
        <f t="shared" si="110"/>
        <v>2.3905566909266105E-3</v>
      </c>
      <c r="S162" s="54">
        <f t="shared" si="111"/>
        <v>-2.5477707006369338E-2</v>
      </c>
      <c r="T162" s="54">
        <f t="shared" si="111"/>
        <v>4.2649128349464376E-3</v>
      </c>
      <c r="U162" s="54">
        <f t="shared" si="112"/>
        <v>-6.4999999999999988E-3</v>
      </c>
      <c r="V162" s="55">
        <f t="shared" si="112"/>
        <v>-3.0000000000000027E-2</v>
      </c>
    </row>
    <row r="163" spans="1:22">
      <c r="A163" s="33"/>
      <c r="B163" s="70"/>
      <c r="C163" s="35" t="s">
        <v>51</v>
      </c>
      <c r="D163" s="36">
        <f>SUM(D157:D162)</f>
        <v>363359218001.73004</v>
      </c>
      <c r="E163" s="37">
        <f>(D163/$D$226)</f>
        <v>5.5382098207659228E-2</v>
      </c>
      <c r="F163" s="38"/>
      <c r="G163" s="71"/>
      <c r="H163" s="40">
        <f>SUM(H157:H162)</f>
        <v>218646</v>
      </c>
      <c r="I163" s="78"/>
      <c r="J163" s="78"/>
      <c r="K163" s="36">
        <f>SUM(K157:K162)</f>
        <v>364054624035.51996</v>
      </c>
      <c r="L163" s="37">
        <f>(K163/$K$226)</f>
        <v>5.5641559949717562E-2</v>
      </c>
      <c r="M163" s="38"/>
      <c r="N163" s="71"/>
      <c r="O163" s="40">
        <f>SUM(O157:O162)</f>
        <v>219537</v>
      </c>
      <c r="P163" s="78"/>
      <c r="Q163" s="78"/>
      <c r="R163" s="54">
        <f t="shared" si="110"/>
        <v>1.9138252157582692E-3</v>
      </c>
      <c r="S163" s="54" t="e">
        <f t="shared" si="111"/>
        <v>#DIV/0!</v>
      </c>
      <c r="T163" s="54">
        <f t="shared" si="111"/>
        <v>4.0750802667325267E-3</v>
      </c>
      <c r="U163" s="54">
        <f t="shared" si="112"/>
        <v>0</v>
      </c>
      <c r="V163" s="55">
        <f t="shared" si="112"/>
        <v>0</v>
      </c>
    </row>
    <row r="164" spans="1:22" ht="5.25" customHeight="1">
      <c r="A164" s="33"/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</row>
    <row r="165" spans="1:22" ht="15" customHeight="1">
      <c r="A165" s="183" t="s">
        <v>189</v>
      </c>
      <c r="B165" s="183"/>
      <c r="C165" s="183"/>
      <c r="D165" s="183"/>
      <c r="E165" s="183"/>
      <c r="F165" s="183"/>
      <c r="G165" s="183"/>
      <c r="H165" s="183"/>
      <c r="I165" s="183"/>
      <c r="J165" s="183"/>
      <c r="K165" s="183"/>
      <c r="L165" s="183"/>
      <c r="M165" s="183"/>
      <c r="N165" s="183"/>
      <c r="O165" s="183"/>
      <c r="P165" s="183"/>
      <c r="Q165" s="183"/>
      <c r="R165" s="183"/>
      <c r="S165" s="183"/>
      <c r="T165" s="183"/>
      <c r="U165" s="183"/>
      <c r="V165" s="183"/>
    </row>
    <row r="166" spans="1:22">
      <c r="A166" s="172">
        <v>143</v>
      </c>
      <c r="B166" s="170" t="s">
        <v>190</v>
      </c>
      <c r="C166" s="171" t="s">
        <v>55</v>
      </c>
      <c r="D166" s="30">
        <v>510861855.20999998</v>
      </c>
      <c r="E166" s="27">
        <f t="shared" ref="E166:E193" si="119">(D166/$D$194)</f>
        <v>6.7574070729181906E-3</v>
      </c>
      <c r="F166" s="30">
        <v>7.4015000000000004</v>
      </c>
      <c r="G166" s="30">
        <v>7.4732000000000003</v>
      </c>
      <c r="H166" s="31">
        <v>11892</v>
      </c>
      <c r="I166" s="48">
        <v>-1.75E-4</v>
      </c>
      <c r="J166" s="48">
        <v>0.29530000000000001</v>
      </c>
      <c r="K166" s="30">
        <v>510782709.36000001</v>
      </c>
      <c r="L166" s="51">
        <f t="shared" ref="L166:L193" si="120">(K166/$K$194)</f>
        <v>6.7731558704763797E-3</v>
      </c>
      <c r="M166" s="30">
        <v>7.3776000000000002</v>
      </c>
      <c r="N166" s="30">
        <v>7.4497</v>
      </c>
      <c r="O166" s="31">
        <v>11898</v>
      </c>
      <c r="P166" s="48">
        <v>-4.1830000000000001E-3</v>
      </c>
      <c r="Q166" s="48">
        <v>0.29111599999999999</v>
      </c>
      <c r="R166" s="54">
        <f>((K166-D166)/D166)</f>
        <v>-1.5492612962349626E-4</v>
      </c>
      <c r="S166" s="54">
        <f>((N166-G166)/G166)</f>
        <v>-3.1445699298828208E-3</v>
      </c>
      <c r="T166" s="54">
        <f>((O166-H166)/H166)</f>
        <v>5.0454086781029264E-4</v>
      </c>
      <c r="U166" s="54">
        <f>P166-I166</f>
        <v>-4.0080000000000003E-3</v>
      </c>
      <c r="V166" s="55">
        <f>Q166-J166</f>
        <v>-4.184000000000021E-3</v>
      </c>
    </row>
    <row r="167" spans="1:22">
      <c r="A167" s="172">
        <v>144</v>
      </c>
      <c r="B167" s="170" t="s">
        <v>191</v>
      </c>
      <c r="C167" s="170" t="s">
        <v>192</v>
      </c>
      <c r="D167" s="30">
        <v>1024844044.52874</v>
      </c>
      <c r="E167" s="27">
        <f t="shared" si="119"/>
        <v>1.3556088254602243E-2</v>
      </c>
      <c r="F167" s="30">
        <v>2106.4843034846899</v>
      </c>
      <c r="G167" s="30">
        <v>2130.7551271350098</v>
      </c>
      <c r="H167" s="31">
        <v>152</v>
      </c>
      <c r="I167" s="48">
        <v>-1.55E-2</v>
      </c>
      <c r="J167" s="48">
        <v>0.39889999999999998</v>
      </c>
      <c r="K167" s="30">
        <v>993667508.770172</v>
      </c>
      <c r="L167" s="51">
        <f t="shared" si="120"/>
        <v>1.3176375779754192E-2</v>
      </c>
      <c r="M167" s="30">
        <v>2039.9445754907199</v>
      </c>
      <c r="N167" s="30">
        <v>2063.0022001515599</v>
      </c>
      <c r="O167" s="31">
        <v>153</v>
      </c>
      <c r="P167" s="48">
        <v>-3.1699999999999999E-2</v>
      </c>
      <c r="Q167" s="48">
        <v>0.35449999999999998</v>
      </c>
      <c r="R167" s="54">
        <f>((K167-D167)/D167)</f>
        <v>-3.0420761017257152E-2</v>
      </c>
      <c r="S167" s="54">
        <f>((N167-G167)/G167)</f>
        <v>-3.179761302489497E-2</v>
      </c>
      <c r="T167" s="54">
        <f>((O167-H167)/H167)</f>
        <v>6.5789473684210523E-3</v>
      </c>
      <c r="U167" s="54">
        <f>P167-I167</f>
        <v>-1.6199999999999999E-2</v>
      </c>
      <c r="V167" s="55">
        <f>Q167-J167</f>
        <v>-4.4399999999999995E-2</v>
      </c>
    </row>
    <row r="168" spans="1:22">
      <c r="A168" s="172">
        <v>145</v>
      </c>
      <c r="B168" s="170" t="s">
        <v>193</v>
      </c>
      <c r="C168" s="171" t="s">
        <v>21</v>
      </c>
      <c r="D168" s="30">
        <v>8787058864.75</v>
      </c>
      <c r="E168" s="27">
        <f t="shared" si="119"/>
        <v>0.11623050951494848</v>
      </c>
      <c r="F168" s="30">
        <v>973.08939999999996</v>
      </c>
      <c r="G168" s="30">
        <v>1002.4288</v>
      </c>
      <c r="H168" s="31">
        <v>21721</v>
      </c>
      <c r="I168" s="48">
        <v>-2.4299999999999999E-2</v>
      </c>
      <c r="J168" s="48">
        <v>0.33950000000000002</v>
      </c>
      <c r="K168" s="30">
        <v>8749013013.5</v>
      </c>
      <c r="L168" s="51">
        <f t="shared" si="120"/>
        <v>0.11601494680098183</v>
      </c>
      <c r="M168" s="30">
        <v>970.53899999999999</v>
      </c>
      <c r="N168" s="30">
        <v>999.80150000000003</v>
      </c>
      <c r="O168" s="31">
        <v>21741</v>
      </c>
      <c r="P168" s="48">
        <v>-0.13669999999999999</v>
      </c>
      <c r="Q168" s="48">
        <v>0.32519999999999999</v>
      </c>
      <c r="R168" s="54">
        <f t="shared" ref="R168:R193" si="121">((K168-D168)/D168)</f>
        <v>-4.3297594605430515E-3</v>
      </c>
      <c r="S168" s="54">
        <f t="shared" ref="S168:T193" si="122">((N168-G168)/G168)</f>
        <v>-2.620934274833276E-3</v>
      </c>
      <c r="T168" s="54">
        <f t="shared" si="122"/>
        <v>9.2076792044565163E-4</v>
      </c>
      <c r="U168" s="54">
        <f t="shared" ref="U168:V193" si="123">P168-I168</f>
        <v>-0.11239999999999999</v>
      </c>
      <c r="V168" s="55">
        <f t="shared" si="123"/>
        <v>-1.4300000000000035E-2</v>
      </c>
    </row>
    <row r="169" spans="1:22">
      <c r="A169" s="172">
        <v>146</v>
      </c>
      <c r="B169" s="170" t="s">
        <v>194</v>
      </c>
      <c r="C169" s="171" t="s">
        <v>107</v>
      </c>
      <c r="D169" s="30">
        <v>5544114608.2399998</v>
      </c>
      <c r="E169" s="27">
        <f t="shared" si="119"/>
        <v>7.3334579367625274E-2</v>
      </c>
      <c r="F169" s="30">
        <v>32.951900000000002</v>
      </c>
      <c r="G169" s="30">
        <v>33.350499999999997</v>
      </c>
      <c r="H169" s="29">
        <v>6154</v>
      </c>
      <c r="I169" s="47">
        <v>-1.8E-3</v>
      </c>
      <c r="J169" s="47">
        <v>0.54949999999999999</v>
      </c>
      <c r="K169" s="30">
        <v>5522519234.0500002</v>
      </c>
      <c r="L169" s="51">
        <f t="shared" si="120"/>
        <v>7.3230520306358862E-2</v>
      </c>
      <c r="M169" s="30">
        <v>32.367199999999997</v>
      </c>
      <c r="N169" s="30">
        <v>32.750100000000003</v>
      </c>
      <c r="O169" s="29">
        <v>6155</v>
      </c>
      <c r="P169" s="47">
        <v>1.2999999999999999E-3</v>
      </c>
      <c r="Q169" s="47">
        <v>0.52180000000000004</v>
      </c>
      <c r="R169" s="54">
        <f t="shared" si="121"/>
        <v>-3.8951889915665207E-3</v>
      </c>
      <c r="S169" s="54">
        <f t="shared" si="122"/>
        <v>-1.8002728594773493E-2</v>
      </c>
      <c r="T169" s="54">
        <f t="shared" si="122"/>
        <v>1.6249593760155997E-4</v>
      </c>
      <c r="U169" s="54">
        <f t="shared" si="123"/>
        <v>3.0999999999999999E-3</v>
      </c>
      <c r="V169" s="55">
        <f t="shared" si="123"/>
        <v>-2.7699999999999947E-2</v>
      </c>
    </row>
    <row r="170" spans="1:22">
      <c r="A170" s="172">
        <v>147</v>
      </c>
      <c r="B170" s="170" t="s">
        <v>195</v>
      </c>
      <c r="C170" s="171" t="s">
        <v>116</v>
      </c>
      <c r="D170" s="26">
        <v>2453434192.2600002</v>
      </c>
      <c r="E170" s="27">
        <f t="shared" si="119"/>
        <v>3.2452713771126997E-2</v>
      </c>
      <c r="F170" s="30">
        <v>5.8550000000000004</v>
      </c>
      <c r="G170" s="30">
        <v>5.9908999999999999</v>
      </c>
      <c r="H170" s="29">
        <v>2739</v>
      </c>
      <c r="I170" s="47">
        <v>0.3947</v>
      </c>
      <c r="J170" s="47">
        <v>0.43049999999999999</v>
      </c>
      <c r="K170" s="26">
        <v>2413845339.8800001</v>
      </c>
      <c r="L170" s="51">
        <f t="shared" si="120"/>
        <v>3.2008426351619587E-2</v>
      </c>
      <c r="M170" s="30">
        <v>5.7615999999999996</v>
      </c>
      <c r="N170" s="30">
        <v>5.8930999999999996</v>
      </c>
      <c r="O170" s="29">
        <v>2739</v>
      </c>
      <c r="P170" s="47">
        <v>-0.85119999999999996</v>
      </c>
      <c r="Q170" s="47">
        <v>0.3891</v>
      </c>
      <c r="R170" s="54">
        <f t="shared" si="121"/>
        <v>-1.6136097110284638E-2</v>
      </c>
      <c r="S170" s="54">
        <f t="shared" si="122"/>
        <v>-1.6324759218147578E-2</v>
      </c>
      <c r="T170" s="54">
        <f t="shared" si="122"/>
        <v>0</v>
      </c>
      <c r="U170" s="54">
        <f t="shared" si="123"/>
        <v>-1.2459</v>
      </c>
      <c r="V170" s="55">
        <f t="shared" si="123"/>
        <v>-4.1399999999999992E-2</v>
      </c>
    </row>
    <row r="171" spans="1:22">
      <c r="A171" s="172">
        <v>148</v>
      </c>
      <c r="B171" s="170" t="s">
        <v>304</v>
      </c>
      <c r="C171" s="171" t="s">
        <v>25</v>
      </c>
      <c r="D171" s="26">
        <v>925039589.66999996</v>
      </c>
      <c r="E171" s="27">
        <f t="shared" si="119"/>
        <v>1.2235928367358439E-2</v>
      </c>
      <c r="F171" s="30">
        <v>1.1155999999999999</v>
      </c>
      <c r="G171" s="30">
        <v>1.1218999999999999</v>
      </c>
      <c r="H171" s="29">
        <v>205</v>
      </c>
      <c r="I171" s="47">
        <v>-4.4999999999999997E-3</v>
      </c>
      <c r="J171" s="47">
        <v>0.1188</v>
      </c>
      <c r="K171" s="26">
        <v>920357178.35000002</v>
      </c>
      <c r="L171" s="51">
        <f t="shared" si="120"/>
        <v>1.2204255373654096E-2</v>
      </c>
      <c r="M171" s="30">
        <v>1.1094999999999999</v>
      </c>
      <c r="N171" s="30">
        <v>1.1156999999999999</v>
      </c>
      <c r="O171" s="29">
        <v>206</v>
      </c>
      <c r="P171" s="47">
        <v>-5.4000000000000003E-3</v>
      </c>
      <c r="Q171" s="47">
        <v>0.11260000000000001</v>
      </c>
      <c r="R171" s="54">
        <f t="shared" ref="R171" si="124">((K171-D171)/D171)</f>
        <v>-5.0618496465327971E-3</v>
      </c>
      <c r="S171" s="54">
        <f t="shared" ref="S171" si="125">((N171-G171)/G171)</f>
        <v>-5.5263392459220821E-3</v>
      </c>
      <c r="T171" s="54">
        <f t="shared" ref="T171" si="126">((O171-H171)/H171)</f>
        <v>4.8780487804878049E-3</v>
      </c>
      <c r="U171" s="54">
        <f t="shared" ref="U171" si="127">P171-I171</f>
        <v>-9.0000000000000063E-4</v>
      </c>
      <c r="V171" s="55">
        <f t="shared" ref="V171" si="128">Q171-J171</f>
        <v>-6.1999999999999972E-3</v>
      </c>
    </row>
    <row r="172" spans="1:22">
      <c r="A172" s="172">
        <v>149</v>
      </c>
      <c r="B172" s="170" t="s">
        <v>196</v>
      </c>
      <c r="C172" s="171" t="s">
        <v>63</v>
      </c>
      <c r="D172" s="30">
        <v>6133369587.4099998</v>
      </c>
      <c r="E172" s="27">
        <f t="shared" si="119"/>
        <v>8.1128928707641684E-2</v>
      </c>
      <c r="F172" s="30">
        <v>11258.49</v>
      </c>
      <c r="G172" s="30">
        <v>11346.72</v>
      </c>
      <c r="H172" s="29">
        <v>1268</v>
      </c>
      <c r="I172" s="47">
        <v>-0.4597</v>
      </c>
      <c r="J172" s="47">
        <v>0.71689999999999998</v>
      </c>
      <c r="K172" s="30">
        <v>6051749710.5299997</v>
      </c>
      <c r="L172" s="51">
        <f t="shared" si="120"/>
        <v>8.0248299966709735E-2</v>
      </c>
      <c r="M172" s="30">
        <v>11163.49</v>
      </c>
      <c r="N172" s="30">
        <v>11251.04</v>
      </c>
      <c r="O172" s="29">
        <v>1265</v>
      </c>
      <c r="P172" s="47">
        <v>-0.44</v>
      </c>
      <c r="Q172" s="47">
        <v>0.6784</v>
      </c>
      <c r="R172" s="54">
        <f t="shared" si="121"/>
        <v>-1.3307509961170718E-2</v>
      </c>
      <c r="S172" s="54">
        <f t="shared" si="122"/>
        <v>-8.4323927972135091E-3</v>
      </c>
      <c r="T172" s="54">
        <f t="shared" si="122"/>
        <v>-2.3659305993690852E-3</v>
      </c>
      <c r="U172" s="54">
        <f t="shared" si="123"/>
        <v>1.9699999999999995E-2</v>
      </c>
      <c r="V172" s="55">
        <f t="shared" si="123"/>
        <v>-3.8499999999999979E-2</v>
      </c>
    </row>
    <row r="173" spans="1:22">
      <c r="A173" s="172">
        <v>150</v>
      </c>
      <c r="B173" s="170" t="s">
        <v>197</v>
      </c>
      <c r="C173" s="171" t="s">
        <v>65</v>
      </c>
      <c r="D173" s="30">
        <v>1030997185.62</v>
      </c>
      <c r="E173" s="27">
        <f t="shared" si="119"/>
        <v>1.3637478710175897E-2</v>
      </c>
      <c r="F173" s="30">
        <v>226.19</v>
      </c>
      <c r="G173" s="30">
        <v>227.95</v>
      </c>
      <c r="H173" s="29">
        <v>505</v>
      </c>
      <c r="I173" s="47">
        <v>-7.1999999999999998E-3</v>
      </c>
      <c r="J173" s="47">
        <v>0.2298</v>
      </c>
      <c r="K173" s="30">
        <v>1029965194.75</v>
      </c>
      <c r="L173" s="51">
        <f t="shared" si="120"/>
        <v>1.365769568423378E-2</v>
      </c>
      <c r="M173" s="30">
        <v>225.46</v>
      </c>
      <c r="N173" s="30">
        <v>227.21</v>
      </c>
      <c r="O173" s="29">
        <v>504</v>
      </c>
      <c r="P173" s="47">
        <v>-3.2000000000000002E-3</v>
      </c>
      <c r="Q173" s="47">
        <v>0.22620000000000001</v>
      </c>
      <c r="R173" s="54">
        <f t="shared" si="121"/>
        <v>-1.0009638090131227E-3</v>
      </c>
      <c r="S173" s="54">
        <f t="shared" si="122"/>
        <v>-3.2463259486728699E-3</v>
      </c>
      <c r="T173" s="54">
        <f t="shared" si="122"/>
        <v>-1.9801980198019802E-3</v>
      </c>
      <c r="U173" s="54">
        <f t="shared" si="123"/>
        <v>4.0000000000000001E-3</v>
      </c>
      <c r="V173" s="55">
        <f t="shared" si="123"/>
        <v>-3.5999999999999921E-3</v>
      </c>
    </row>
    <row r="174" spans="1:22">
      <c r="A174" s="172">
        <v>151</v>
      </c>
      <c r="B174" s="170" t="s">
        <v>198</v>
      </c>
      <c r="C174" s="171" t="s">
        <v>121</v>
      </c>
      <c r="D174" s="30">
        <v>623768100.76999998</v>
      </c>
      <c r="E174" s="27">
        <f t="shared" si="119"/>
        <v>8.2508704320295393E-3</v>
      </c>
      <c r="F174" s="30">
        <v>1.9731000000000001</v>
      </c>
      <c r="G174" s="30">
        <v>1.9944999999999999</v>
      </c>
      <c r="H174" s="29">
        <v>1386</v>
      </c>
      <c r="I174" s="47">
        <v>-8.5000000000000006E-3</v>
      </c>
      <c r="J174" s="47">
        <v>0.3478</v>
      </c>
      <c r="K174" s="30">
        <v>662840920.38999999</v>
      </c>
      <c r="L174" s="51">
        <f t="shared" si="120"/>
        <v>8.7895004839861849E-3</v>
      </c>
      <c r="M174" s="30">
        <v>1.9607000000000001</v>
      </c>
      <c r="N174" s="30">
        <v>1.9803999999999999</v>
      </c>
      <c r="O174" s="29">
        <v>1538</v>
      </c>
      <c r="P174" s="47">
        <v>-6.3E-3</v>
      </c>
      <c r="Q174" s="47">
        <v>0.33939999999999998</v>
      </c>
      <c r="R174" s="54">
        <f t="shared" si="121"/>
        <v>6.2639977215518436E-2</v>
      </c>
      <c r="S174" s="54">
        <f t="shared" si="122"/>
        <v>-7.0694409626472811E-3</v>
      </c>
      <c r="T174" s="54">
        <f t="shared" si="122"/>
        <v>0.10966810966810966</v>
      </c>
      <c r="U174" s="54">
        <f t="shared" si="123"/>
        <v>2.2000000000000006E-3</v>
      </c>
      <c r="V174" s="55">
        <f t="shared" si="123"/>
        <v>-8.4000000000000186E-3</v>
      </c>
    </row>
    <row r="175" spans="1:22">
      <c r="A175" s="172">
        <v>152</v>
      </c>
      <c r="B175" s="170" t="s">
        <v>199</v>
      </c>
      <c r="C175" s="171" t="s">
        <v>27</v>
      </c>
      <c r="D175" s="41">
        <v>161501199.75</v>
      </c>
      <c r="E175" s="27">
        <f t="shared" si="119"/>
        <v>2.1362513923197705E-3</v>
      </c>
      <c r="F175" s="30">
        <v>192.70840000000001</v>
      </c>
      <c r="G175" s="30">
        <v>193.77799999999999</v>
      </c>
      <c r="H175" s="29">
        <v>138</v>
      </c>
      <c r="I175" s="47">
        <v>4.37E-4</v>
      </c>
      <c r="J175" s="47">
        <v>0.21779999999999999</v>
      </c>
      <c r="K175" s="41">
        <v>160197792.08000001</v>
      </c>
      <c r="L175" s="51">
        <f t="shared" si="120"/>
        <v>2.1242782811179035E-3</v>
      </c>
      <c r="M175" s="30">
        <v>191.364</v>
      </c>
      <c r="N175" s="30">
        <v>192.42189999999999</v>
      </c>
      <c r="O175" s="29">
        <v>138</v>
      </c>
      <c r="P175" s="47">
        <v>1.11E-4</v>
      </c>
      <c r="Q175" s="47">
        <v>0.21879999999999999</v>
      </c>
      <c r="R175" s="54">
        <f t="shared" si="121"/>
        <v>-8.0705757729207638E-3</v>
      </c>
      <c r="S175" s="54">
        <f t="shared" si="122"/>
        <v>-6.9982144515889208E-3</v>
      </c>
      <c r="T175" s="54">
        <f t="shared" si="122"/>
        <v>0</v>
      </c>
      <c r="U175" s="54">
        <f t="shared" si="123"/>
        <v>-3.2600000000000001E-4</v>
      </c>
      <c r="V175" s="55">
        <f t="shared" si="123"/>
        <v>1.0000000000000009E-3</v>
      </c>
    </row>
    <row r="176" spans="1:22">
      <c r="A176" s="172">
        <v>153</v>
      </c>
      <c r="B176" s="170" t="s">
        <v>200</v>
      </c>
      <c r="C176" s="171" t="s">
        <v>68</v>
      </c>
      <c r="D176" s="41">
        <v>329132199.27999997</v>
      </c>
      <c r="E176" s="27">
        <f t="shared" si="119"/>
        <v>4.353584493846264E-3</v>
      </c>
      <c r="F176" s="30">
        <v>156.61000000000001</v>
      </c>
      <c r="G176" s="30">
        <v>157.32</v>
      </c>
      <c r="H176" s="29">
        <v>55</v>
      </c>
      <c r="I176" s="47">
        <v>-6.7000000000000002E-3</v>
      </c>
      <c r="J176" s="47">
        <v>0.36699999999999999</v>
      </c>
      <c r="K176" s="41">
        <v>325854963.85000002</v>
      </c>
      <c r="L176" s="51">
        <f t="shared" si="120"/>
        <v>4.320949830290661E-3</v>
      </c>
      <c r="M176" s="30">
        <v>155.94</v>
      </c>
      <c r="N176" s="30">
        <v>156.74</v>
      </c>
      <c r="O176" s="29">
        <v>52</v>
      </c>
      <c r="P176" s="47">
        <v>-5.2999999999999999E-2</v>
      </c>
      <c r="Q176" s="47">
        <v>0.36170000000000002</v>
      </c>
      <c r="R176" s="54">
        <f t="shared" si="121"/>
        <v>-9.9572008972963824E-3</v>
      </c>
      <c r="S176" s="54">
        <f t="shared" si="122"/>
        <v>-3.6867531146706337E-3</v>
      </c>
      <c r="T176" s="54">
        <f t="shared" si="122"/>
        <v>-5.4545454545454543E-2</v>
      </c>
      <c r="U176" s="54">
        <f t="shared" si="123"/>
        <v>-4.6300000000000001E-2</v>
      </c>
      <c r="V176" s="55">
        <f t="shared" si="123"/>
        <v>-5.2999999999999714E-3</v>
      </c>
    </row>
    <row r="177" spans="1:22" ht="15.75" customHeight="1">
      <c r="A177" s="172">
        <v>154</v>
      </c>
      <c r="B177" s="170" t="s">
        <v>201</v>
      </c>
      <c r="C177" s="171" t="s">
        <v>71</v>
      </c>
      <c r="D177" s="26">
        <v>453212576.86000001</v>
      </c>
      <c r="E177" s="27">
        <f t="shared" si="119"/>
        <v>5.9948532879800231E-3</v>
      </c>
      <c r="F177" s="30">
        <v>1.66</v>
      </c>
      <c r="G177" s="30">
        <v>1.6830000000000001</v>
      </c>
      <c r="H177" s="29">
        <v>105</v>
      </c>
      <c r="I177" s="47">
        <v>3.6999999999999998E-2</v>
      </c>
      <c r="J177" s="47">
        <v>0.375</v>
      </c>
      <c r="K177" s="26">
        <v>452861500.43000001</v>
      </c>
      <c r="L177" s="51">
        <f t="shared" si="120"/>
        <v>6.0051005524315026E-3</v>
      </c>
      <c r="M177" s="30">
        <v>1.66</v>
      </c>
      <c r="N177" s="30">
        <v>1.6830000000000001</v>
      </c>
      <c r="O177" s="29">
        <v>106</v>
      </c>
      <c r="P177" s="47">
        <v>3.6999999999999998E-2</v>
      </c>
      <c r="Q177" s="47">
        <v>0.3735</v>
      </c>
      <c r="R177" s="54">
        <f t="shared" si="121"/>
        <v>-7.7463964577588647E-4</v>
      </c>
      <c r="S177" s="54">
        <f t="shared" si="122"/>
        <v>0</v>
      </c>
      <c r="T177" s="54">
        <f t="shared" si="122"/>
        <v>9.5238095238095247E-3</v>
      </c>
      <c r="U177" s="54">
        <f t="shared" si="123"/>
        <v>0</v>
      </c>
      <c r="V177" s="55">
        <f t="shared" si="123"/>
        <v>-1.5000000000000013E-3</v>
      </c>
    </row>
    <row r="178" spans="1:22">
      <c r="A178" s="172">
        <v>155</v>
      </c>
      <c r="B178" s="170" t="s">
        <v>202</v>
      </c>
      <c r="C178" s="171" t="s">
        <v>29</v>
      </c>
      <c r="D178" s="30">
        <v>13374024438.459999</v>
      </c>
      <c r="E178" s="27">
        <f t="shared" si="119"/>
        <v>0.17690443397203809</v>
      </c>
      <c r="F178" s="30">
        <v>445.84</v>
      </c>
      <c r="G178" s="30">
        <v>450.07</v>
      </c>
      <c r="H178" s="29">
        <v>5512</v>
      </c>
      <c r="I178" s="47">
        <v>3.8E-3</v>
      </c>
      <c r="J178" s="47">
        <v>0.37559999999999999</v>
      </c>
      <c r="K178" s="30">
        <v>13356215510.370001</v>
      </c>
      <c r="L178" s="51">
        <f t="shared" si="120"/>
        <v>0.17710804973167435</v>
      </c>
      <c r="M178" s="30">
        <v>444.03</v>
      </c>
      <c r="N178" s="30">
        <v>448.19</v>
      </c>
      <c r="O178" s="29">
        <v>5515</v>
      </c>
      <c r="P178" s="47">
        <v>-4.1000000000000003E-3</v>
      </c>
      <c r="Q178" s="47">
        <v>0.37</v>
      </c>
      <c r="R178" s="54">
        <f t="shared" si="121"/>
        <v>-1.3316057684764422E-3</v>
      </c>
      <c r="S178" s="54">
        <f t="shared" si="122"/>
        <v>-4.1771280023107414E-3</v>
      </c>
      <c r="T178" s="54">
        <f t="shared" si="122"/>
        <v>5.4426705370101594E-4</v>
      </c>
      <c r="U178" s="54">
        <f t="shared" si="123"/>
        <v>-7.9000000000000008E-3</v>
      </c>
      <c r="V178" s="55">
        <f t="shared" si="123"/>
        <v>-5.5999999999999939E-3</v>
      </c>
    </row>
    <row r="179" spans="1:22">
      <c r="A179" s="172">
        <v>156</v>
      </c>
      <c r="B179" s="170" t="s">
        <v>203</v>
      </c>
      <c r="C179" s="171" t="s">
        <v>76</v>
      </c>
      <c r="D179" s="30">
        <v>4210854680.8899999</v>
      </c>
      <c r="E179" s="27">
        <f t="shared" si="119"/>
        <v>5.5698930960464799E-2</v>
      </c>
      <c r="F179" s="30">
        <v>2.9462000000000002</v>
      </c>
      <c r="G179" s="30">
        <v>3.0045999999999999</v>
      </c>
      <c r="H179" s="29">
        <v>10206</v>
      </c>
      <c r="I179" s="47">
        <v>-3.8E-3</v>
      </c>
      <c r="J179" s="47">
        <v>0.2722</v>
      </c>
      <c r="K179" s="30">
        <v>4174062778.7600002</v>
      </c>
      <c r="L179" s="51">
        <f t="shared" si="120"/>
        <v>5.5349520051528246E-2</v>
      </c>
      <c r="M179" s="30">
        <v>2.9207999999999998</v>
      </c>
      <c r="N179" s="30">
        <v>2.9781</v>
      </c>
      <c r="O179" s="29">
        <v>10206</v>
      </c>
      <c r="P179" s="47">
        <v>-8.6999999999999994E-3</v>
      </c>
      <c r="Q179" s="47">
        <v>0.2611</v>
      </c>
      <c r="R179" s="54">
        <f t="shared" si="121"/>
        <v>-8.7373953551451826E-3</v>
      </c>
      <c r="S179" s="54">
        <f t="shared" si="122"/>
        <v>-8.8198096252412855E-3</v>
      </c>
      <c r="T179" s="54">
        <f t="shared" si="122"/>
        <v>0</v>
      </c>
      <c r="U179" s="54">
        <f t="shared" si="123"/>
        <v>-4.8999999999999998E-3</v>
      </c>
      <c r="V179" s="55">
        <f t="shared" si="123"/>
        <v>-1.1099999999999999E-2</v>
      </c>
    </row>
    <row r="180" spans="1:22">
      <c r="A180" s="172">
        <v>157</v>
      </c>
      <c r="B180" s="170" t="s">
        <v>204</v>
      </c>
      <c r="C180" s="171" t="s">
        <v>78</v>
      </c>
      <c r="D180" s="30">
        <v>304127135.58999997</v>
      </c>
      <c r="E180" s="27">
        <f t="shared" si="119"/>
        <v>4.0228309006500804E-3</v>
      </c>
      <c r="F180" s="30">
        <v>345.52</v>
      </c>
      <c r="G180" s="30">
        <v>347.99</v>
      </c>
      <c r="H180" s="29">
        <v>32</v>
      </c>
      <c r="I180" s="47">
        <v>3.0000000000000001E-3</v>
      </c>
      <c r="J180" s="47">
        <v>0.20030000000000001</v>
      </c>
      <c r="K180" s="30">
        <v>299343469.94</v>
      </c>
      <c r="L180" s="51">
        <f t="shared" si="120"/>
        <v>3.9693982266026497E-3</v>
      </c>
      <c r="M180" s="30">
        <v>341.23</v>
      </c>
      <c r="N180" s="30">
        <v>343.62</v>
      </c>
      <c r="O180" s="29">
        <v>62</v>
      </c>
      <c r="P180" s="47">
        <v>-7.1000000000000004E-3</v>
      </c>
      <c r="Q180" s="47">
        <v>0.18149999999999999</v>
      </c>
      <c r="R180" s="54">
        <f t="shared" si="121"/>
        <v>-1.5729164188916487E-2</v>
      </c>
      <c r="S180" s="54">
        <f t="shared" si="122"/>
        <v>-1.2557832121612702E-2</v>
      </c>
      <c r="T180" s="54">
        <f t="shared" si="122"/>
        <v>0.9375</v>
      </c>
      <c r="U180" s="54">
        <f t="shared" si="123"/>
        <v>-1.0100000000000001E-2</v>
      </c>
      <c r="V180" s="55">
        <f t="shared" si="123"/>
        <v>-1.8800000000000011E-2</v>
      </c>
    </row>
    <row r="181" spans="1:22">
      <c r="A181" s="172">
        <v>158</v>
      </c>
      <c r="B181" s="170" t="s">
        <v>205</v>
      </c>
      <c r="C181" s="170" t="s">
        <v>80</v>
      </c>
      <c r="D181" s="128">
        <v>69790070.370000005</v>
      </c>
      <c r="E181" s="27">
        <f t="shared" si="119"/>
        <v>9.2314568082957707E-4</v>
      </c>
      <c r="F181" s="30">
        <v>1.3480000000000001</v>
      </c>
      <c r="G181" s="30">
        <v>1.373</v>
      </c>
      <c r="H181" s="29">
        <v>31</v>
      </c>
      <c r="I181" s="47">
        <v>4.7000000000000002E-3</v>
      </c>
      <c r="J181" s="47">
        <v>0.14219999999999999</v>
      </c>
      <c r="K181" s="128">
        <v>67533491.129999995</v>
      </c>
      <c r="L181" s="51">
        <f t="shared" si="120"/>
        <v>8.9551751364891569E-4</v>
      </c>
      <c r="M181" s="30">
        <v>1.304</v>
      </c>
      <c r="N181" s="30">
        <v>1.3280000000000001</v>
      </c>
      <c r="O181" s="29">
        <v>31</v>
      </c>
      <c r="P181" s="47">
        <v>-3.2300000000000002E-2</v>
      </c>
      <c r="Q181" s="47">
        <v>0.1053</v>
      </c>
      <c r="R181" s="54">
        <f t="shared" si="121"/>
        <v>-3.2333815226671898E-2</v>
      </c>
      <c r="S181" s="54">
        <f t="shared" si="122"/>
        <v>-3.2774945375090993E-2</v>
      </c>
      <c r="T181" s="54">
        <f t="shared" si="122"/>
        <v>0</v>
      </c>
      <c r="U181" s="54">
        <f t="shared" si="123"/>
        <v>-3.7000000000000005E-2</v>
      </c>
      <c r="V181" s="55">
        <f t="shared" si="123"/>
        <v>-3.6899999999999988E-2</v>
      </c>
    </row>
    <row r="182" spans="1:22" ht="13.5" customHeight="1">
      <c r="A182" s="172">
        <v>159</v>
      </c>
      <c r="B182" s="170" t="s">
        <v>206</v>
      </c>
      <c r="C182" s="171" t="s">
        <v>35</v>
      </c>
      <c r="D182" s="26">
        <v>4387723934.4799995</v>
      </c>
      <c r="E182" s="27">
        <f t="shared" si="119"/>
        <v>5.8038462739950517E-2</v>
      </c>
      <c r="F182" s="30">
        <v>5.8413789999999999</v>
      </c>
      <c r="G182" s="30">
        <v>5.982227</v>
      </c>
      <c r="H182" s="29">
        <v>2596</v>
      </c>
      <c r="I182" s="47">
        <v>-3.0999999999999999E-3</v>
      </c>
      <c r="J182" s="47">
        <v>0.37790000000000001</v>
      </c>
      <c r="K182" s="26">
        <v>4462823139.0100002</v>
      </c>
      <c r="L182" s="51">
        <f t="shared" si="120"/>
        <v>5.917858257331713E-2</v>
      </c>
      <c r="M182" s="30">
        <v>5.7983000000000002</v>
      </c>
      <c r="N182" s="30">
        <v>5.9386000000000001</v>
      </c>
      <c r="O182" s="29">
        <v>2645</v>
      </c>
      <c r="P182" s="47">
        <v>-7.4000000000000003E-3</v>
      </c>
      <c r="Q182" s="47">
        <v>0.36770000000000003</v>
      </c>
      <c r="R182" s="54">
        <f t="shared" si="121"/>
        <v>1.711575423874084E-2</v>
      </c>
      <c r="S182" s="54">
        <f t="shared" si="122"/>
        <v>-7.2927690640960064E-3</v>
      </c>
      <c r="T182" s="54">
        <f t="shared" si="122"/>
        <v>1.8875192604006163E-2</v>
      </c>
      <c r="U182" s="54">
        <f t="shared" si="123"/>
        <v>-4.3E-3</v>
      </c>
      <c r="V182" s="55">
        <f t="shared" si="123"/>
        <v>-1.0199999999999987E-2</v>
      </c>
    </row>
    <row r="183" spans="1:22" ht="13.5" customHeight="1">
      <c r="A183" s="172">
        <v>160</v>
      </c>
      <c r="B183" s="170" t="s">
        <v>207</v>
      </c>
      <c r="C183" s="171" t="s">
        <v>208</v>
      </c>
      <c r="D183" s="26">
        <v>95810910</v>
      </c>
      <c r="E183" s="27">
        <f t="shared" si="119"/>
        <v>1.267335414249294E-3</v>
      </c>
      <c r="F183" s="30">
        <v>2.61</v>
      </c>
      <c r="G183" s="30">
        <v>2.63</v>
      </c>
      <c r="H183" s="29">
        <v>101</v>
      </c>
      <c r="I183" s="47">
        <v>8.0000000000000002E-3</v>
      </c>
      <c r="J183" s="47">
        <v>0.24299999999999999</v>
      </c>
      <c r="K183" s="26">
        <v>99326491</v>
      </c>
      <c r="L183" s="51">
        <f t="shared" si="120"/>
        <v>1.3171037180436582E-3</v>
      </c>
      <c r="M183" s="30">
        <v>2.62</v>
      </c>
      <c r="N183" s="30">
        <v>2.64</v>
      </c>
      <c r="O183" s="29">
        <v>102</v>
      </c>
      <c r="P183" s="47">
        <v>2E-3</v>
      </c>
      <c r="Q183" s="47">
        <v>0.24399999999999999</v>
      </c>
      <c r="R183" s="54">
        <f t="shared" si="121"/>
        <v>3.6692908980824834E-2</v>
      </c>
      <c r="S183" s="54">
        <f t="shared" si="122"/>
        <v>3.8022813688213808E-3</v>
      </c>
      <c r="T183" s="54">
        <f t="shared" si="122"/>
        <v>9.9009900990099011E-3</v>
      </c>
      <c r="U183" s="54">
        <f>P183-I183</f>
        <v>-6.0000000000000001E-3</v>
      </c>
      <c r="V183" s="55">
        <f>Q183-J183</f>
        <v>1.0000000000000009E-3</v>
      </c>
    </row>
    <row r="184" spans="1:22">
      <c r="A184" s="172">
        <v>161</v>
      </c>
      <c r="B184" s="170" t="s">
        <v>209</v>
      </c>
      <c r="C184" s="171" t="s">
        <v>130</v>
      </c>
      <c r="D184" s="26">
        <v>768576089.60000002</v>
      </c>
      <c r="E184" s="27">
        <f t="shared" si="119"/>
        <v>1.0166312968902169E-2</v>
      </c>
      <c r="F184" s="30">
        <v>341.53</v>
      </c>
      <c r="G184" s="30">
        <v>345.58</v>
      </c>
      <c r="H184" s="29">
        <v>158</v>
      </c>
      <c r="I184" s="47">
        <v>1.37E-2</v>
      </c>
      <c r="J184" s="47">
        <v>0.4345</v>
      </c>
      <c r="K184" s="26">
        <v>768572025.60000002</v>
      </c>
      <c r="L184" s="51">
        <f t="shared" si="120"/>
        <v>1.0191531607636332E-2</v>
      </c>
      <c r="M184" s="30">
        <v>340.22</v>
      </c>
      <c r="N184" s="30">
        <v>344.35</v>
      </c>
      <c r="O184" s="29">
        <v>158</v>
      </c>
      <c r="P184" s="47">
        <v>1.37E-2</v>
      </c>
      <c r="Q184" s="47">
        <v>0.4345</v>
      </c>
      <c r="R184" s="54">
        <f t="shared" si="121"/>
        <v>-5.2877002745623792E-6</v>
      </c>
      <c r="S184" s="54">
        <f t="shared" si="122"/>
        <v>-3.5592337519531263E-3</v>
      </c>
      <c r="T184" s="54">
        <f t="shared" si="122"/>
        <v>0</v>
      </c>
      <c r="U184" s="54">
        <f t="shared" si="123"/>
        <v>0</v>
      </c>
      <c r="V184" s="55">
        <f t="shared" si="123"/>
        <v>0</v>
      </c>
    </row>
    <row r="185" spans="1:22">
      <c r="A185" s="172">
        <v>162</v>
      </c>
      <c r="B185" s="170" t="s">
        <v>210</v>
      </c>
      <c r="C185" s="171" t="s">
        <v>31</v>
      </c>
      <c r="D185" s="26">
        <v>2054435640.3</v>
      </c>
      <c r="E185" s="27">
        <f t="shared" si="119"/>
        <v>2.7174974574900854E-2</v>
      </c>
      <c r="F185" s="30">
        <v>552.22</v>
      </c>
      <c r="G185" s="30">
        <v>552.22</v>
      </c>
      <c r="H185" s="29">
        <v>823</v>
      </c>
      <c r="I185" s="47">
        <v>1.6000000000000001E-3</v>
      </c>
      <c r="J185" s="47">
        <v>-6.0299999999999999E-2</v>
      </c>
      <c r="K185" s="26">
        <v>2039492627.6900001</v>
      </c>
      <c r="L185" s="51">
        <f t="shared" si="120"/>
        <v>2.7044379558854338E-2</v>
      </c>
      <c r="M185" s="30">
        <v>552.22</v>
      </c>
      <c r="N185" s="30">
        <v>552.22</v>
      </c>
      <c r="O185" s="29">
        <v>823</v>
      </c>
      <c r="P185" s="47">
        <v>-7.3000000000000001E-3</v>
      </c>
      <c r="Q185" s="47">
        <v>-6.7100000000000007E-2</v>
      </c>
      <c r="R185" s="54">
        <f t="shared" si="121"/>
        <v>-7.273536496776231E-3</v>
      </c>
      <c r="S185" s="54">
        <f t="shared" si="122"/>
        <v>0</v>
      </c>
      <c r="T185" s="54">
        <f t="shared" si="122"/>
        <v>0</v>
      </c>
      <c r="U185" s="54">
        <f t="shared" si="123"/>
        <v>-8.8999999999999999E-3</v>
      </c>
      <c r="V185" s="55">
        <f t="shared" si="123"/>
        <v>-6.8000000000000074E-3</v>
      </c>
    </row>
    <row r="186" spans="1:22">
      <c r="A186" s="172">
        <v>163</v>
      </c>
      <c r="B186" s="170" t="s">
        <v>211</v>
      </c>
      <c r="C186" s="171" t="s">
        <v>87</v>
      </c>
      <c r="D186" s="30">
        <v>48962169.200000003</v>
      </c>
      <c r="E186" s="27">
        <f t="shared" si="119"/>
        <v>6.4764535673052291E-4</v>
      </c>
      <c r="F186" s="30">
        <v>2.65</v>
      </c>
      <c r="G186" s="30">
        <v>2.65</v>
      </c>
      <c r="H186" s="29">
        <v>9</v>
      </c>
      <c r="I186" s="47">
        <v>-9.7099999999999999E-3</v>
      </c>
      <c r="J186" s="47">
        <v>0.41313</v>
      </c>
      <c r="K186" s="30">
        <v>46285415.210000001</v>
      </c>
      <c r="L186" s="51">
        <f t="shared" si="120"/>
        <v>6.1376065791235381E-4</v>
      </c>
      <c r="M186" s="30">
        <v>2.5</v>
      </c>
      <c r="N186" s="30">
        <v>2.5</v>
      </c>
      <c r="O186" s="29">
        <v>9</v>
      </c>
      <c r="P186" s="47">
        <v>-5.4545000000000003E-2</v>
      </c>
      <c r="Q186" s="47">
        <v>0.33605099999999999</v>
      </c>
      <c r="R186" s="54">
        <f t="shared" si="121"/>
        <v>-5.4669840689983193E-2</v>
      </c>
      <c r="S186" s="54">
        <f t="shared" si="122"/>
        <v>-5.6603773584905627E-2</v>
      </c>
      <c r="T186" s="54">
        <f t="shared" si="122"/>
        <v>0</v>
      </c>
      <c r="U186" s="54">
        <f t="shared" si="123"/>
        <v>-4.4835E-2</v>
      </c>
      <c r="V186" s="55">
        <f t="shared" si="123"/>
        <v>-7.7079000000000009E-2</v>
      </c>
    </row>
    <row r="187" spans="1:22">
      <c r="A187" s="172">
        <v>164</v>
      </c>
      <c r="B187" s="170" t="s">
        <v>212</v>
      </c>
      <c r="C187" s="171" t="s">
        <v>43</v>
      </c>
      <c r="D187" s="30">
        <v>385238432.17000002</v>
      </c>
      <c r="E187" s="27">
        <f t="shared" si="119"/>
        <v>5.0957276996838408E-3</v>
      </c>
      <c r="F187" s="30">
        <v>3.6</v>
      </c>
      <c r="G187" s="30">
        <v>3.67</v>
      </c>
      <c r="H187" s="29">
        <v>125</v>
      </c>
      <c r="I187" s="47">
        <v>5.0000000000000001E-4</v>
      </c>
      <c r="J187" s="47">
        <v>0.38569999999999999</v>
      </c>
      <c r="K187" s="30">
        <v>646906100.44000006</v>
      </c>
      <c r="L187" s="51">
        <f t="shared" si="120"/>
        <v>8.578199245100164E-3</v>
      </c>
      <c r="M187" s="30">
        <v>6.49</v>
      </c>
      <c r="N187" s="30">
        <v>6.49</v>
      </c>
      <c r="O187" s="29">
        <v>125</v>
      </c>
      <c r="P187" s="47">
        <v>8.0000000000000004E-4</v>
      </c>
      <c r="Q187" s="47">
        <v>0.38650000000000001</v>
      </c>
      <c r="R187" s="54">
        <f t="shared" si="121"/>
        <v>0.67923562765028067</v>
      </c>
      <c r="S187" s="54">
        <f t="shared" si="122"/>
        <v>0.76839237057220722</v>
      </c>
      <c r="T187" s="54">
        <f t="shared" si="122"/>
        <v>0</v>
      </c>
      <c r="U187" s="54">
        <f t="shared" si="123"/>
        <v>3.0000000000000003E-4</v>
      </c>
      <c r="V187" s="55">
        <f t="shared" si="123"/>
        <v>8.0000000000002292E-4</v>
      </c>
    </row>
    <row r="188" spans="1:22">
      <c r="A188" s="172">
        <v>165</v>
      </c>
      <c r="B188" s="170" t="s">
        <v>213</v>
      </c>
      <c r="C188" s="171" t="s">
        <v>47</v>
      </c>
      <c r="D188" s="26">
        <v>3825639086.9299998</v>
      </c>
      <c r="E188" s="27">
        <f t="shared" si="119"/>
        <v>5.0603505352393816E-2</v>
      </c>
      <c r="F188" s="30">
        <v>8974.34</v>
      </c>
      <c r="G188" s="30">
        <v>9059.61</v>
      </c>
      <c r="H188" s="29">
        <v>2833</v>
      </c>
      <c r="I188" s="47">
        <v>-8.2000000000000007E-3</v>
      </c>
      <c r="J188" s="47">
        <v>0.40749999999999997</v>
      </c>
      <c r="K188" s="26">
        <v>3787312378.1900001</v>
      </c>
      <c r="L188" s="27">
        <f t="shared" si="120"/>
        <v>5.0221075611206464E-2</v>
      </c>
      <c r="M188" s="30">
        <v>8913.16</v>
      </c>
      <c r="N188" s="30">
        <v>8998.0499999999993</v>
      </c>
      <c r="O188" s="29">
        <v>2841</v>
      </c>
      <c r="P188" s="47">
        <v>-6.7999999999999996E-3</v>
      </c>
      <c r="Q188" s="47">
        <v>0.39789999999999998</v>
      </c>
      <c r="R188" s="54">
        <f t="shared" si="121"/>
        <v>-1.0018380685972184E-2</v>
      </c>
      <c r="S188" s="54">
        <f t="shared" si="122"/>
        <v>-6.7949944865177761E-3</v>
      </c>
      <c r="T188" s="54">
        <f t="shared" si="122"/>
        <v>2.8238616307800918E-3</v>
      </c>
      <c r="U188" s="54">
        <f t="shared" si="123"/>
        <v>1.4000000000000011E-3</v>
      </c>
      <c r="V188" s="55">
        <f t="shared" si="123"/>
        <v>-9.5999999999999974E-3</v>
      </c>
    </row>
    <row r="189" spans="1:22">
      <c r="A189" s="172">
        <v>166</v>
      </c>
      <c r="B189" s="170" t="s">
        <v>214</v>
      </c>
      <c r="C189" s="170" t="s">
        <v>97</v>
      </c>
      <c r="D189" s="26">
        <v>133871544.65000001</v>
      </c>
      <c r="E189" s="27">
        <f t="shared" si="119"/>
        <v>1.7707811093246124E-3</v>
      </c>
      <c r="F189" s="30">
        <v>1366.38</v>
      </c>
      <c r="G189" s="30">
        <v>1387.31</v>
      </c>
      <c r="H189" s="29">
        <v>23</v>
      </c>
      <c r="I189" s="47">
        <v>6.1999999999999998E-3</v>
      </c>
      <c r="J189" s="47">
        <v>0.23499999999999999</v>
      </c>
      <c r="K189" s="26">
        <v>133941188.70999999</v>
      </c>
      <c r="L189" s="27">
        <f t="shared" si="120"/>
        <v>1.7761066143887861E-3</v>
      </c>
      <c r="M189" s="30">
        <v>1362.17</v>
      </c>
      <c r="N189" s="30">
        <v>1382.78</v>
      </c>
      <c r="O189" s="29">
        <v>27</v>
      </c>
      <c r="P189" s="47">
        <v>6.9999999999999999E-4</v>
      </c>
      <c r="Q189" s="47">
        <v>0.22869999999999999</v>
      </c>
      <c r="R189" s="54">
        <f t="shared" si="121"/>
        <v>5.2023049545045703E-4</v>
      </c>
      <c r="S189" s="54">
        <f t="shared" si="122"/>
        <v>-3.2653120066891846E-3</v>
      </c>
      <c r="T189" s="54">
        <f t="shared" si="122"/>
        <v>0.17391304347826086</v>
      </c>
      <c r="U189" s="54">
        <f t="shared" si="123"/>
        <v>-5.4999999999999997E-3</v>
      </c>
      <c r="V189" s="55">
        <f t="shared" si="123"/>
        <v>-6.3E-3</v>
      </c>
    </row>
    <row r="190" spans="1:22">
      <c r="A190" s="172">
        <v>167</v>
      </c>
      <c r="B190" s="170" t="s">
        <v>215</v>
      </c>
      <c r="C190" s="170" t="s">
        <v>80</v>
      </c>
      <c r="D190" s="26">
        <v>752985293.00999999</v>
      </c>
      <c r="E190" s="27">
        <f t="shared" si="119"/>
        <v>9.9600862599097985E-3</v>
      </c>
      <c r="F190" s="30">
        <v>1.4330000000000001</v>
      </c>
      <c r="G190" s="30">
        <v>1.4330000000000001</v>
      </c>
      <c r="H190" s="29">
        <v>45</v>
      </c>
      <c r="I190" s="47">
        <v>3.0000000000000001E-3</v>
      </c>
      <c r="J190" s="47">
        <v>6.8099999999999994E-2</v>
      </c>
      <c r="K190" s="26">
        <v>755685891.79999995</v>
      </c>
      <c r="L190" s="27">
        <f t="shared" si="120"/>
        <v>1.0020657004413028E-2</v>
      </c>
      <c r="M190" s="30">
        <v>1.4359999999999999</v>
      </c>
      <c r="N190" s="30">
        <v>1.4359999999999999</v>
      </c>
      <c r="O190" s="29">
        <v>45</v>
      </c>
      <c r="P190" s="47">
        <v>3.5999999999999999E-3</v>
      </c>
      <c r="Q190" s="47">
        <v>7.1900000000000006E-2</v>
      </c>
      <c r="R190" s="54">
        <f t="shared" si="121"/>
        <v>3.5865226254347261E-3</v>
      </c>
      <c r="S190" s="54">
        <f t="shared" si="122"/>
        <v>2.0935101186321642E-3</v>
      </c>
      <c r="T190" s="54">
        <f t="shared" si="122"/>
        <v>0</v>
      </c>
      <c r="U190" s="54">
        <f t="shared" si="123"/>
        <v>5.9999999999999984E-4</v>
      </c>
      <c r="V190" s="55">
        <f t="shared" si="123"/>
        <v>3.8000000000000117E-3</v>
      </c>
    </row>
    <row r="191" spans="1:22">
      <c r="A191" s="172">
        <v>168</v>
      </c>
      <c r="B191" s="170" t="s">
        <v>216</v>
      </c>
      <c r="C191" s="171" t="s">
        <v>50</v>
      </c>
      <c r="D191" s="30">
        <v>3156698710.5900002</v>
      </c>
      <c r="E191" s="27">
        <f t="shared" si="119"/>
        <v>4.1755120247222263E-2</v>
      </c>
      <c r="F191" s="30">
        <v>2.1284000000000001</v>
      </c>
      <c r="G191" s="30">
        <v>2.1438999999999999</v>
      </c>
      <c r="H191" s="29">
        <v>2608</v>
      </c>
      <c r="I191" s="47">
        <v>3.56E-2</v>
      </c>
      <c r="J191" s="47">
        <v>0.27689999999999998</v>
      </c>
      <c r="K191" s="30">
        <v>3097923897.6399999</v>
      </c>
      <c r="L191" s="51">
        <f t="shared" si="120"/>
        <v>4.1079545272549145E-2</v>
      </c>
      <c r="M191" s="30">
        <v>2.0886</v>
      </c>
      <c r="N191" s="30">
        <v>2.0886</v>
      </c>
      <c r="O191" s="29">
        <v>2639</v>
      </c>
      <c r="P191" s="47">
        <v>-1.8499999999999999E-2</v>
      </c>
      <c r="Q191" s="47">
        <v>0.25679999999999997</v>
      </c>
      <c r="R191" s="54">
        <f t="shared" si="121"/>
        <v>-1.8619075920303787E-2</v>
      </c>
      <c r="S191" s="54">
        <f t="shared" si="122"/>
        <v>-2.579411353141467E-2</v>
      </c>
      <c r="T191" s="54">
        <f t="shared" si="122"/>
        <v>1.1886503067484663E-2</v>
      </c>
      <c r="U191" s="54">
        <f t="shared" si="123"/>
        <v>-5.4099999999999995E-2</v>
      </c>
      <c r="V191" s="55">
        <f t="shared" si="123"/>
        <v>-2.0100000000000007E-2</v>
      </c>
    </row>
    <row r="192" spans="1:22">
      <c r="A192" s="172">
        <v>169</v>
      </c>
      <c r="B192" s="170" t="s">
        <v>217</v>
      </c>
      <c r="C192" s="171" t="s">
        <v>50</v>
      </c>
      <c r="D192" s="30">
        <v>1904984212.8499999</v>
      </c>
      <c r="E192" s="27">
        <f t="shared" si="119"/>
        <v>2.5198111118354058E-2</v>
      </c>
      <c r="F192" s="30">
        <v>1.6751</v>
      </c>
      <c r="G192" s="30">
        <v>1.6863999999999999</v>
      </c>
      <c r="H192" s="29">
        <v>1161</v>
      </c>
      <c r="I192" s="47">
        <v>3.7699999999999997E-2</v>
      </c>
      <c r="J192" s="47">
        <v>0.30220000000000002</v>
      </c>
      <c r="K192" s="30">
        <v>1886918281.47</v>
      </c>
      <c r="L192" s="51">
        <f t="shared" si="120"/>
        <v>2.5021190813724475E-2</v>
      </c>
      <c r="M192" s="30">
        <v>1.6573</v>
      </c>
      <c r="N192" s="30">
        <v>1.6681999999999999</v>
      </c>
      <c r="O192" s="29">
        <v>1181</v>
      </c>
      <c r="P192" s="47">
        <v>-1.04E-2</v>
      </c>
      <c r="Q192" s="47">
        <v>0.29049999999999998</v>
      </c>
      <c r="R192" s="54">
        <f t="shared" si="121"/>
        <v>-9.4835071378213051E-3</v>
      </c>
      <c r="S192" s="54">
        <f t="shared" si="122"/>
        <v>-1.079222011385199E-2</v>
      </c>
      <c r="T192" s="54">
        <f t="shared" si="122"/>
        <v>1.7226528854435832E-2</v>
      </c>
      <c r="U192" s="54">
        <f t="shared" si="123"/>
        <v>-4.8099999999999997E-2</v>
      </c>
      <c r="V192" s="55">
        <f t="shared" si="123"/>
        <v>-1.1700000000000044E-2</v>
      </c>
    </row>
    <row r="193" spans="1:24">
      <c r="A193" s="172">
        <v>170</v>
      </c>
      <c r="B193" s="170" t="s">
        <v>218</v>
      </c>
      <c r="C193" s="171" t="s">
        <v>101</v>
      </c>
      <c r="D193" s="26">
        <v>12149221933.389999</v>
      </c>
      <c r="E193" s="27">
        <f t="shared" si="119"/>
        <v>0.16070340227182295</v>
      </c>
      <c r="F193" s="30">
        <v>704.9</v>
      </c>
      <c r="G193" s="30">
        <v>713.8</v>
      </c>
      <c r="H193" s="29">
        <v>35</v>
      </c>
      <c r="I193" s="47">
        <v>-1.2999999999999999E-3</v>
      </c>
      <c r="J193" s="47">
        <v>0.3634</v>
      </c>
      <c r="K193" s="26">
        <v>11996811154.459999</v>
      </c>
      <c r="L193" s="51">
        <f t="shared" si="120"/>
        <v>0.15908187651778513</v>
      </c>
      <c r="M193" s="30">
        <v>696.28</v>
      </c>
      <c r="N193" s="30">
        <v>704.74</v>
      </c>
      <c r="O193" s="29">
        <v>35</v>
      </c>
      <c r="P193" s="47">
        <v>-1.2500000000000001E-2</v>
      </c>
      <c r="Q193" s="47">
        <v>0.3463</v>
      </c>
      <c r="R193" s="54">
        <f t="shared" si="121"/>
        <v>-1.2544900386676293E-2</v>
      </c>
      <c r="S193" s="54">
        <f t="shared" si="122"/>
        <v>-1.2692630989072494E-2</v>
      </c>
      <c r="T193" s="54">
        <f t="shared" si="122"/>
        <v>0</v>
      </c>
      <c r="U193" s="54">
        <f t="shared" si="123"/>
        <v>-1.1200000000000002E-2</v>
      </c>
      <c r="V193" s="55">
        <f t="shared" si="123"/>
        <v>-1.7100000000000004E-2</v>
      </c>
    </row>
    <row r="194" spans="1:24">
      <c r="A194" s="33"/>
      <c r="B194" s="34"/>
      <c r="C194" s="35" t="s">
        <v>51</v>
      </c>
      <c r="D194" s="72">
        <f>SUM(D166:D193)</f>
        <v>75600278286.828735</v>
      </c>
      <c r="E194" s="37">
        <f>(D194/$D$226)</f>
        <v>1.1522762679953757E-2</v>
      </c>
      <c r="F194" s="38"/>
      <c r="G194" s="73"/>
      <c r="H194" s="40">
        <f>SUM(H166:H193)</f>
        <v>72618</v>
      </c>
      <c r="I194" s="79"/>
      <c r="J194" s="79"/>
      <c r="K194" s="72">
        <f>SUM(K166:K193)</f>
        <v>75412808907.360184</v>
      </c>
      <c r="L194" s="37">
        <f>(K194/$K$226)</f>
        <v>1.1525980033661305E-2</v>
      </c>
      <c r="M194" s="38"/>
      <c r="N194" s="73"/>
      <c r="O194" s="40">
        <f>SUM(O166:O193)</f>
        <v>72939</v>
      </c>
      <c r="P194" s="79"/>
      <c r="Q194" s="79"/>
      <c r="R194" s="54">
        <f t="shared" ref="R194" si="129">((K194-D194)/D194)</f>
        <v>-2.479744568628301E-3</v>
      </c>
      <c r="S194" s="54" t="e">
        <f t="shared" ref="S194" si="130">((N194-G194)/G194)</f>
        <v>#DIV/0!</v>
      </c>
      <c r="T194" s="54">
        <f t="shared" ref="T194" si="131">((O194-H194)/H194)</f>
        <v>4.4203916384367515E-3</v>
      </c>
      <c r="U194" s="54">
        <f t="shared" ref="U194" si="132">P194-I194</f>
        <v>0</v>
      </c>
      <c r="V194" s="55">
        <f t="shared" ref="V194" si="133">Q194-J194</f>
        <v>0</v>
      </c>
    </row>
    <row r="195" spans="1:24" ht="5.25" customHeight="1">
      <c r="A195" s="33"/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  <c r="R195" s="181"/>
      <c r="S195" s="181"/>
      <c r="T195" s="181"/>
      <c r="U195" s="181"/>
      <c r="V195" s="181"/>
    </row>
    <row r="196" spans="1:24" ht="15" customHeight="1">
      <c r="A196" s="183" t="s">
        <v>219</v>
      </c>
      <c r="B196" s="183"/>
      <c r="C196" s="183"/>
      <c r="D196" s="183"/>
      <c r="E196" s="183"/>
      <c r="F196" s="183"/>
      <c r="G196" s="183"/>
      <c r="H196" s="183"/>
      <c r="I196" s="183"/>
      <c r="J196" s="183"/>
      <c r="K196" s="183"/>
      <c r="L196" s="183"/>
      <c r="M196" s="183"/>
      <c r="N196" s="183"/>
      <c r="O196" s="183"/>
      <c r="P196" s="183"/>
      <c r="Q196" s="183"/>
      <c r="R196" s="183"/>
      <c r="S196" s="183"/>
      <c r="T196" s="183"/>
      <c r="U196" s="183"/>
      <c r="V196" s="183"/>
    </row>
    <row r="197" spans="1:24">
      <c r="A197" s="169">
        <v>171</v>
      </c>
      <c r="B197" s="170" t="s">
        <v>220</v>
      </c>
      <c r="C197" s="171" t="s">
        <v>221</v>
      </c>
      <c r="D197" s="75">
        <v>1422949838.5699999</v>
      </c>
      <c r="E197" s="27">
        <f>(D197/$D$199)</f>
        <v>0.17355022431919254</v>
      </c>
      <c r="F197" s="74">
        <v>40.126600000000003</v>
      </c>
      <c r="G197" s="74">
        <v>40.517400000000002</v>
      </c>
      <c r="H197" s="29">
        <v>1495</v>
      </c>
      <c r="I197" s="47">
        <v>-3.0999999999999999E-3</v>
      </c>
      <c r="J197" s="47">
        <v>0.50729999999999997</v>
      </c>
      <c r="K197" s="75">
        <v>1422949838.5699999</v>
      </c>
      <c r="L197" s="51">
        <f>(K197/$K$199)</f>
        <v>0.17738893423278307</v>
      </c>
      <c r="M197" s="74">
        <v>39.374099999999999</v>
      </c>
      <c r="N197" s="74">
        <v>39.747999999999998</v>
      </c>
      <c r="O197" s="29">
        <v>1494</v>
      </c>
      <c r="P197" s="47">
        <v>1E-4</v>
      </c>
      <c r="Q197" s="47">
        <v>0.47889999999999999</v>
      </c>
      <c r="R197" s="54">
        <f>((K197-D197)/D197)</f>
        <v>0</v>
      </c>
      <c r="S197" s="54">
        <f t="shared" ref="S197:T199" si="134">((N197-G197)/G197)</f>
        <v>-1.8989372467137687E-2</v>
      </c>
      <c r="T197" s="54">
        <f t="shared" si="134"/>
        <v>-6.6889632107023408E-4</v>
      </c>
      <c r="U197" s="54">
        <f t="shared" ref="U197:V199" si="135">P197-I197</f>
        <v>3.1999999999999997E-3</v>
      </c>
      <c r="V197" s="55">
        <f t="shared" si="135"/>
        <v>-2.8399999999999981E-2</v>
      </c>
    </row>
    <row r="198" spans="1:24">
      <c r="A198" s="169">
        <v>172</v>
      </c>
      <c r="B198" s="170" t="s">
        <v>222</v>
      </c>
      <c r="C198" s="171" t="s">
        <v>47</v>
      </c>
      <c r="D198" s="41">
        <v>6776116709.1800003</v>
      </c>
      <c r="E198" s="27">
        <f>(D198/$D$199)</f>
        <v>0.82644977568080746</v>
      </c>
      <c r="F198" s="74">
        <v>4.32</v>
      </c>
      <c r="G198" s="74">
        <v>4.38</v>
      </c>
      <c r="H198" s="29">
        <v>11042</v>
      </c>
      <c r="I198" s="47">
        <v>-2.01E-2</v>
      </c>
      <c r="J198" s="47">
        <v>0.51029999999999998</v>
      </c>
      <c r="K198" s="41">
        <v>6598688290.8000002</v>
      </c>
      <c r="L198" s="51">
        <f>(K198/$K$199)</f>
        <v>0.82261106576721699</v>
      </c>
      <c r="M198" s="74">
        <v>4.2699999999999996</v>
      </c>
      <c r="N198" s="74">
        <v>4.32</v>
      </c>
      <c r="O198" s="29">
        <v>11078</v>
      </c>
      <c r="P198" s="47">
        <v>-1.37E-2</v>
      </c>
      <c r="Q198" s="47">
        <v>0.48970000000000002</v>
      </c>
      <c r="R198" s="54">
        <f>((K198-D198)/D198)</f>
        <v>-2.6184380522789326E-2</v>
      </c>
      <c r="S198" s="54">
        <f t="shared" si="134"/>
        <v>-1.3698630136986212E-2</v>
      </c>
      <c r="T198" s="54">
        <f t="shared" si="134"/>
        <v>3.2602789349755481E-3</v>
      </c>
      <c r="U198" s="54">
        <f t="shared" si="135"/>
        <v>6.3999999999999994E-3</v>
      </c>
      <c r="V198" s="55">
        <f t="shared" si="135"/>
        <v>-2.0599999999999952E-2</v>
      </c>
    </row>
    <row r="199" spans="1:24">
      <c r="A199" s="33"/>
      <c r="B199" s="34"/>
      <c r="C199" s="68" t="s">
        <v>51</v>
      </c>
      <c r="D199" s="72">
        <f>SUM(D197:D198)</f>
        <v>8199066547.75</v>
      </c>
      <c r="E199" s="37">
        <f>(D199/$D$226)</f>
        <v>1.2496765907187251E-3</v>
      </c>
      <c r="F199" s="38"/>
      <c r="G199" s="73"/>
      <c r="H199" s="40">
        <f>SUM(H197:H198)</f>
        <v>12537</v>
      </c>
      <c r="I199" s="79"/>
      <c r="J199" s="79"/>
      <c r="K199" s="72">
        <f>SUM(K197:K198)</f>
        <v>8021638129.3699999</v>
      </c>
      <c r="L199" s="37">
        <f>(K199/$K$226)</f>
        <v>1.2260150796127042E-3</v>
      </c>
      <c r="M199" s="38"/>
      <c r="N199" s="73"/>
      <c r="O199" s="40">
        <f>SUM(O197:O198)</f>
        <v>12572</v>
      </c>
      <c r="P199" s="79"/>
      <c r="Q199" s="79"/>
      <c r="R199" s="54">
        <f>((K199-D199)/D199)</f>
        <v>-2.1640075409400144E-2</v>
      </c>
      <c r="S199" s="54" t="e">
        <f t="shared" si="134"/>
        <v>#DIV/0!</v>
      </c>
      <c r="T199" s="54">
        <f t="shared" si="134"/>
        <v>2.7917364600781687E-3</v>
      </c>
      <c r="U199" s="54">
        <f t="shared" si="135"/>
        <v>0</v>
      </c>
      <c r="V199" s="55">
        <f t="shared" si="135"/>
        <v>0</v>
      </c>
    </row>
    <row r="200" spans="1:24" ht="6" customHeight="1">
      <c r="A200" s="33"/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  <c r="R200" s="181"/>
      <c r="S200" s="181"/>
      <c r="T200" s="181"/>
      <c r="U200" s="181"/>
      <c r="V200" s="181"/>
    </row>
    <row r="201" spans="1:24" ht="15" customHeight="1">
      <c r="A201" s="179" t="s">
        <v>223</v>
      </c>
      <c r="B201" s="179"/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</row>
    <row r="202" spans="1:24">
      <c r="A202" s="182" t="s">
        <v>224</v>
      </c>
      <c r="B202" s="182"/>
      <c r="C202" s="182"/>
      <c r="D202" s="182"/>
      <c r="E202" s="182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</row>
    <row r="203" spans="1:24">
      <c r="A203" s="169">
        <v>173</v>
      </c>
      <c r="B203" s="170" t="s">
        <v>225</v>
      </c>
      <c r="C203" s="171" t="s">
        <v>226</v>
      </c>
      <c r="D203" s="44">
        <v>7217231099.3000002</v>
      </c>
      <c r="E203" s="27">
        <f>(D203/$D$225)</f>
        <v>0.10827382044810949</v>
      </c>
      <c r="F203" s="76">
        <v>2.86</v>
      </c>
      <c r="G203" s="76">
        <v>2.91</v>
      </c>
      <c r="H203" s="43">
        <v>15114</v>
      </c>
      <c r="I203" s="50">
        <v>9.1000000000000004E-3</v>
      </c>
      <c r="J203" s="50">
        <v>0.26040000000000002</v>
      </c>
      <c r="K203" s="44">
        <v>7214753101.7700005</v>
      </c>
      <c r="L203" s="27">
        <f>(K203/$K$225)</f>
        <v>0.11040394264058384</v>
      </c>
      <c r="M203" s="76">
        <v>2.81</v>
      </c>
      <c r="N203" s="76">
        <v>2.86</v>
      </c>
      <c r="O203" s="43">
        <v>15128</v>
      </c>
      <c r="P203" s="50">
        <v>-1.6999999999999999E-3</v>
      </c>
      <c r="Q203" s="50">
        <v>0.2379</v>
      </c>
      <c r="R203" s="53">
        <f>((K203-D203)/D203)</f>
        <v>-3.4334462841851832E-4</v>
      </c>
      <c r="S203" s="53">
        <f>((N203-G203)/G203)</f>
        <v>-1.7182130584192531E-2</v>
      </c>
      <c r="T203" s="53">
        <f>((O203-H203)/H203)</f>
        <v>9.2629350271271674E-4</v>
      </c>
      <c r="U203" s="53">
        <f>P203-I203</f>
        <v>-1.0800000000000001E-2</v>
      </c>
      <c r="V203" s="167">
        <f>Q203-J203</f>
        <v>-2.250000000000002E-2</v>
      </c>
    </row>
    <row r="204" spans="1:24">
      <c r="A204" s="169">
        <v>174</v>
      </c>
      <c r="B204" s="170" t="s">
        <v>227</v>
      </c>
      <c r="C204" s="171" t="s">
        <v>47</v>
      </c>
      <c r="D204" s="44">
        <v>2817499613.5300002</v>
      </c>
      <c r="E204" s="27">
        <f>(D204/$D$225)</f>
        <v>4.2268488159891822E-2</v>
      </c>
      <c r="F204" s="76">
        <v>845.35</v>
      </c>
      <c r="G204" s="76">
        <v>855.48</v>
      </c>
      <c r="H204" s="43">
        <v>1761</v>
      </c>
      <c r="I204" s="50">
        <v>-2.5999999999999999E-3</v>
      </c>
      <c r="J204" s="50">
        <v>0.69510000000000005</v>
      </c>
      <c r="K204" s="44">
        <v>2733468382.79</v>
      </c>
      <c r="L204" s="27">
        <f>(K204/$K$225)</f>
        <v>4.1828969375176446E-2</v>
      </c>
      <c r="M204" s="76">
        <v>832.44</v>
      </c>
      <c r="N204" s="76">
        <v>843.03</v>
      </c>
      <c r="O204" s="43">
        <v>1777</v>
      </c>
      <c r="P204" s="50">
        <v>-1.46E-2</v>
      </c>
      <c r="Q204" s="50">
        <v>0.6704</v>
      </c>
      <c r="R204" s="54">
        <f>((K204-D204)/D204)</f>
        <v>-2.9824753244497827E-2</v>
      </c>
      <c r="S204" s="54">
        <f>((N204-G204)/G204)</f>
        <v>-1.4553233272548798E-2</v>
      </c>
      <c r="T204" s="54">
        <f>((O204-H204)/H204)</f>
        <v>9.0857467348097673E-3</v>
      </c>
      <c r="U204" s="54">
        <f>P204-I204</f>
        <v>-1.2E-2</v>
      </c>
      <c r="V204" s="55">
        <f>Q204-J204</f>
        <v>-2.4700000000000055E-2</v>
      </c>
    </row>
    <row r="205" spans="1:24" ht="6" customHeight="1">
      <c r="A205" s="33"/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  <c r="S205" s="181"/>
      <c r="T205" s="181"/>
      <c r="U205" s="181"/>
      <c r="V205" s="181"/>
    </row>
    <row r="206" spans="1:24" ht="15" customHeight="1">
      <c r="A206" s="182" t="s">
        <v>169</v>
      </c>
      <c r="B206" s="182"/>
      <c r="C206" s="182"/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</row>
    <row r="207" spans="1:24">
      <c r="A207" s="169">
        <v>175</v>
      </c>
      <c r="B207" s="170" t="s">
        <v>287</v>
      </c>
      <c r="C207" s="171" t="s">
        <v>21</v>
      </c>
      <c r="D207" s="26">
        <v>1181462783.73</v>
      </c>
      <c r="E207" s="27">
        <f>(D207/$D$225)</f>
        <v>1.7724455203341451E-2</v>
      </c>
      <c r="F207" s="74">
        <v>1.0946</v>
      </c>
      <c r="G207" s="74">
        <v>1.0946</v>
      </c>
      <c r="H207" s="29">
        <v>665</v>
      </c>
      <c r="I207" s="47">
        <v>0.11940000000000001</v>
      </c>
      <c r="J207" s="47">
        <v>0.12180000000000001</v>
      </c>
      <c r="K207" s="26">
        <v>1167250470.9200001</v>
      </c>
      <c r="L207" s="27">
        <f t="shared" ref="L207:L219" si="136">(K207/$K$225)</f>
        <v>1.7861879986860622E-2</v>
      </c>
      <c r="M207" s="74">
        <v>1.0973999999999999</v>
      </c>
      <c r="N207" s="74">
        <v>1.0973999999999999</v>
      </c>
      <c r="O207" s="29">
        <v>664</v>
      </c>
      <c r="P207" s="47">
        <v>0.13339999999999999</v>
      </c>
      <c r="Q207" s="47">
        <v>0.1225</v>
      </c>
      <c r="R207" s="54">
        <f>((K207-D207)/D207)</f>
        <v>-1.2029420651855156E-2</v>
      </c>
      <c r="S207" s="54">
        <f>((N207-G207)/G207)</f>
        <v>2.5580120591996288E-3</v>
      </c>
      <c r="T207" s="54">
        <f>((O207-H207)/H207)</f>
        <v>-1.5037593984962407E-3</v>
      </c>
      <c r="U207" s="54">
        <f>P207-I207</f>
        <v>1.3999999999999985E-2</v>
      </c>
      <c r="V207" s="55">
        <f>Q207-J207</f>
        <v>6.999999999999923E-4</v>
      </c>
      <c r="X207" s="80"/>
    </row>
    <row r="208" spans="1:24">
      <c r="A208" s="169">
        <v>176</v>
      </c>
      <c r="B208" s="170" t="s">
        <v>228</v>
      </c>
      <c r="C208" s="171" t="s">
        <v>229</v>
      </c>
      <c r="D208" s="26">
        <v>303762189.98000002</v>
      </c>
      <c r="E208" s="27">
        <f>(D208/$D$225)</f>
        <v>4.5570790742739276E-3</v>
      </c>
      <c r="F208" s="74">
        <v>924.34</v>
      </c>
      <c r="G208" s="74">
        <v>924.34</v>
      </c>
      <c r="H208" s="29">
        <v>18</v>
      </c>
      <c r="I208" s="47">
        <v>3.5000000000000003E-2</v>
      </c>
      <c r="J208" s="47">
        <v>8.7099999999999997E-2</v>
      </c>
      <c r="K208" s="26">
        <v>289723447.83999997</v>
      </c>
      <c r="L208" s="27">
        <f t="shared" si="136"/>
        <v>4.4335004213951886E-3</v>
      </c>
      <c r="M208" s="74">
        <v>881.62</v>
      </c>
      <c r="N208" s="74">
        <v>881.62</v>
      </c>
      <c r="O208" s="29">
        <v>17</v>
      </c>
      <c r="P208" s="47">
        <v>-3.9899999999999998E-2</v>
      </c>
      <c r="Q208" s="47">
        <v>4.7199999999999999E-2</v>
      </c>
      <c r="R208" s="54">
        <f>((K208-D208)/D208)</f>
        <v>-4.6216226387241842E-2</v>
      </c>
      <c r="S208" s="54">
        <f>((N208-G208)/G208)</f>
        <v>-4.6216760066642174E-2</v>
      </c>
      <c r="T208" s="54">
        <f>((O208-H208)/H208)</f>
        <v>-5.5555555555555552E-2</v>
      </c>
      <c r="U208" s="54">
        <f>P208-I208</f>
        <v>-7.4899999999999994E-2</v>
      </c>
      <c r="V208" s="55">
        <f>Q208-J208</f>
        <v>-3.9899999999999998E-2</v>
      </c>
      <c r="X208" s="80"/>
    </row>
    <row r="209" spans="1:22">
      <c r="A209" s="169">
        <v>177</v>
      </c>
      <c r="B209" s="170" t="s">
        <v>230</v>
      </c>
      <c r="C209" s="171" t="s">
        <v>65</v>
      </c>
      <c r="D209" s="26">
        <v>245390171.43000001</v>
      </c>
      <c r="E209" s="27">
        <f>(D209/$D$225)</f>
        <v>3.6813746152204534E-3</v>
      </c>
      <c r="F209" s="74">
        <v>120.44</v>
      </c>
      <c r="G209" s="74">
        <v>120.44</v>
      </c>
      <c r="H209" s="29">
        <v>73</v>
      </c>
      <c r="I209" s="47">
        <v>0.26</v>
      </c>
      <c r="J209" s="47">
        <v>0.1346</v>
      </c>
      <c r="K209" s="26">
        <v>245987309.84999999</v>
      </c>
      <c r="L209" s="27">
        <f t="shared" si="136"/>
        <v>3.7642270586263362E-3</v>
      </c>
      <c r="M209" s="74">
        <v>120.69</v>
      </c>
      <c r="N209" s="74">
        <v>120.69</v>
      </c>
      <c r="O209" s="29">
        <v>72</v>
      </c>
      <c r="P209" s="47">
        <v>2.0999999999999999E-3</v>
      </c>
      <c r="Q209" s="47">
        <v>0.13619999999999999</v>
      </c>
      <c r="R209" s="54">
        <f t="shared" ref="R209:R226" si="137">((K209-D209)/D209)</f>
        <v>2.4334243564857957E-3</v>
      </c>
      <c r="S209" s="54">
        <f t="shared" ref="S209:S225" si="138">((N209-G209)/G209)</f>
        <v>2.0757223513782797E-3</v>
      </c>
      <c r="T209" s="54">
        <f t="shared" ref="T209:T225" si="139">((O209-H209)/H209)</f>
        <v>-1.3698630136986301E-2</v>
      </c>
      <c r="U209" s="54">
        <f t="shared" ref="U209:U225" si="140">P209-I209</f>
        <v>-0.25790000000000002</v>
      </c>
      <c r="V209" s="55">
        <f t="shared" ref="V209:V225" si="141">Q209-J209</f>
        <v>1.5999999999999903E-3</v>
      </c>
    </row>
    <row r="210" spans="1:22">
      <c r="A210" s="169">
        <v>178</v>
      </c>
      <c r="B210" s="178" t="s">
        <v>231</v>
      </c>
      <c r="C210" s="171" t="s">
        <v>68</v>
      </c>
      <c r="D210" s="41">
        <v>65881805.369999997</v>
      </c>
      <c r="E210" s="27">
        <f>(D210/$D$225)</f>
        <v>9.883672376959818E-4</v>
      </c>
      <c r="F210" s="74">
        <v>100.11</v>
      </c>
      <c r="G210" s="74">
        <v>100.11</v>
      </c>
      <c r="H210" s="29">
        <v>16</v>
      </c>
      <c r="I210" s="47">
        <v>2E-3</v>
      </c>
      <c r="J210" s="47">
        <v>7.0900000000000005E-2</v>
      </c>
      <c r="K210" s="41">
        <v>65986251.590000004</v>
      </c>
      <c r="L210" s="27">
        <f t="shared" si="136"/>
        <v>1.0097562914276616E-3</v>
      </c>
      <c r="M210" s="74">
        <v>100.3</v>
      </c>
      <c r="N210" s="74">
        <v>100.3</v>
      </c>
      <c r="O210" s="29">
        <v>17</v>
      </c>
      <c r="P210" s="47">
        <v>2E-3</v>
      </c>
      <c r="Q210" s="47">
        <v>7.2800000000000004E-2</v>
      </c>
      <c r="R210" s="54">
        <f t="shared" si="137"/>
        <v>1.585357587173332E-3</v>
      </c>
      <c r="S210" s="54">
        <f t="shared" si="138"/>
        <v>1.897912296473856E-3</v>
      </c>
      <c r="T210" s="54">
        <f t="shared" si="139"/>
        <v>6.25E-2</v>
      </c>
      <c r="U210" s="54">
        <f t="shared" si="140"/>
        <v>0</v>
      </c>
      <c r="V210" s="55">
        <f t="shared" si="141"/>
        <v>1.8999999999999989E-3</v>
      </c>
    </row>
    <row r="211" spans="1:22">
      <c r="A211" s="169">
        <v>179</v>
      </c>
      <c r="B211" s="170" t="s">
        <v>232</v>
      </c>
      <c r="C211" s="171" t="s">
        <v>71</v>
      </c>
      <c r="D211" s="41">
        <v>180860773.88999999</v>
      </c>
      <c r="E211" s="27">
        <v>0</v>
      </c>
      <c r="F211" s="74">
        <v>1.1200000000000001</v>
      </c>
      <c r="G211" s="74">
        <v>1.1189</v>
      </c>
      <c r="H211" s="29">
        <v>46</v>
      </c>
      <c r="I211" s="47">
        <v>1.8E-3</v>
      </c>
      <c r="J211" s="47">
        <v>0.1132</v>
      </c>
      <c r="K211" s="41">
        <v>194141642.80000001</v>
      </c>
      <c r="L211" s="27">
        <f t="shared" si="136"/>
        <v>2.9708574213830686E-3</v>
      </c>
      <c r="M211" s="74">
        <v>1.1200000000000001</v>
      </c>
      <c r="N211" s="74">
        <v>1.1189</v>
      </c>
      <c r="O211" s="29">
        <v>49</v>
      </c>
      <c r="P211" s="47">
        <v>1.8E-3</v>
      </c>
      <c r="Q211" s="47">
        <v>0.1137</v>
      </c>
      <c r="R211" s="54">
        <f t="shared" ref="R211:R212" si="142">((K211-D211)/D211)</f>
        <v>7.3431450194266487E-2</v>
      </c>
      <c r="S211" s="54">
        <f t="shared" ref="S211:S212" si="143">((N211-G211)/G211)</f>
        <v>0</v>
      </c>
      <c r="T211" s="54">
        <f t="shared" ref="T211" si="144">((O211-H211)/H211)</f>
        <v>6.5217391304347824E-2</v>
      </c>
      <c r="U211" s="54">
        <f t="shared" ref="U211" si="145">P211-I211</f>
        <v>0</v>
      </c>
      <c r="V211" s="55">
        <f t="shared" ref="V211" si="146">Q211-J211</f>
        <v>5.0000000000000044E-4</v>
      </c>
    </row>
    <row r="212" spans="1:22">
      <c r="A212" s="169">
        <v>180</v>
      </c>
      <c r="B212" s="170" t="s">
        <v>233</v>
      </c>
      <c r="C212" s="171" t="s">
        <v>29</v>
      </c>
      <c r="D212" s="26">
        <v>5972360133.75</v>
      </c>
      <c r="E212" s="27">
        <f t="shared" ref="E212:E219" si="147">(D212/$D$225)</f>
        <v>8.9598107622716042E-2</v>
      </c>
      <c r="F212" s="74">
        <v>158.38</v>
      </c>
      <c r="G212" s="74">
        <v>158.38</v>
      </c>
      <c r="H212" s="29">
        <v>737</v>
      </c>
      <c r="I212" s="47">
        <v>2.5999999999999999E-3</v>
      </c>
      <c r="J212" s="47">
        <v>0.10390000000000001</v>
      </c>
      <c r="K212" s="26">
        <v>4811952008.9899998</v>
      </c>
      <c r="L212" s="27">
        <f t="shared" si="136"/>
        <v>7.3635017871843747E-2</v>
      </c>
      <c r="M212" s="74">
        <v>158.77000000000001</v>
      </c>
      <c r="N212" s="74">
        <v>158.77000000000001</v>
      </c>
      <c r="O212" s="29">
        <v>738</v>
      </c>
      <c r="P212" s="47">
        <v>2.5000000000000001E-3</v>
      </c>
      <c r="Q212" s="47">
        <v>0.1066</v>
      </c>
      <c r="R212" s="54">
        <f t="shared" si="142"/>
        <v>-0.19429640858435451</v>
      </c>
      <c r="S212" s="54">
        <f t="shared" si="143"/>
        <v>2.4624321252684355E-3</v>
      </c>
      <c r="T212" s="54">
        <f t="shared" si="139"/>
        <v>1.3568521031207597E-3</v>
      </c>
      <c r="U212" s="54">
        <f t="shared" si="140"/>
        <v>-9.9999999999999829E-5</v>
      </c>
      <c r="V212" s="55">
        <f t="shared" si="141"/>
        <v>2.6999999999999941E-3</v>
      </c>
    </row>
    <row r="213" spans="1:22">
      <c r="A213" s="169">
        <v>181</v>
      </c>
      <c r="B213" s="170" t="s">
        <v>234</v>
      </c>
      <c r="C213" s="171" t="s">
        <v>63</v>
      </c>
      <c r="D213" s="26">
        <v>680898258.50999999</v>
      </c>
      <c r="E213" s="27">
        <f t="shared" si="147"/>
        <v>1.0214922422602295E-2</v>
      </c>
      <c r="F213" s="32">
        <v>1288.17</v>
      </c>
      <c r="G213" s="32">
        <v>1288.17</v>
      </c>
      <c r="H213" s="29">
        <v>248</v>
      </c>
      <c r="I213" s="47">
        <v>0.1134</v>
      </c>
      <c r="J213" s="47">
        <v>0.12909999999999999</v>
      </c>
      <c r="K213" s="26">
        <v>753684591.64999998</v>
      </c>
      <c r="L213" s="27">
        <f t="shared" si="136"/>
        <v>1.1533277612120163E-2</v>
      </c>
      <c r="M213" s="32">
        <v>1290.8699999999999</v>
      </c>
      <c r="N213" s="32">
        <v>1290.8699999999999</v>
      </c>
      <c r="O213" s="29">
        <v>253</v>
      </c>
      <c r="P213" s="47">
        <v>0.109</v>
      </c>
      <c r="Q213" s="47">
        <v>0.1288</v>
      </c>
      <c r="R213" s="54">
        <f t="shared" si="137"/>
        <v>0.1068975169642485</v>
      </c>
      <c r="S213" s="54">
        <f t="shared" si="138"/>
        <v>2.0959966464052246E-3</v>
      </c>
      <c r="T213" s="54">
        <f t="shared" si="139"/>
        <v>2.0161290322580645E-2</v>
      </c>
      <c r="U213" s="54">
        <f t="shared" si="140"/>
        <v>-4.4000000000000011E-3</v>
      </c>
      <c r="V213" s="55">
        <f t="shared" si="141"/>
        <v>-2.9999999999999472E-4</v>
      </c>
    </row>
    <row r="214" spans="1:22">
      <c r="A214" s="169">
        <v>182</v>
      </c>
      <c r="B214" s="170" t="s">
        <v>235</v>
      </c>
      <c r="C214" s="171" t="s">
        <v>226</v>
      </c>
      <c r="D214" s="26">
        <v>33472015788.669998</v>
      </c>
      <c r="E214" s="27">
        <f t="shared" si="147"/>
        <v>0.50215144529461542</v>
      </c>
      <c r="F214" s="32">
        <v>1279.3</v>
      </c>
      <c r="G214" s="32">
        <v>1279.3</v>
      </c>
      <c r="H214" s="29">
        <v>10968</v>
      </c>
      <c r="I214" s="47">
        <v>2.7000000000000001E-3</v>
      </c>
      <c r="J214" s="47">
        <v>9.9699999999999997E-2</v>
      </c>
      <c r="K214" s="26">
        <v>33854114677.369999</v>
      </c>
      <c r="L214" s="27">
        <f t="shared" si="136"/>
        <v>0.51805344996090719</v>
      </c>
      <c r="M214" s="32">
        <v>1281.6500000000001</v>
      </c>
      <c r="N214" s="32">
        <v>1281.6500000000001</v>
      </c>
      <c r="O214" s="29">
        <v>10996</v>
      </c>
      <c r="P214" s="47">
        <v>1.6000000000000001E-3</v>
      </c>
      <c r="Q214" s="47">
        <v>0.1013</v>
      </c>
      <c r="R214" s="54">
        <f t="shared" si="137"/>
        <v>1.1415472886737167E-2</v>
      </c>
      <c r="S214" s="54">
        <f t="shared" si="138"/>
        <v>1.8369420776988483E-3</v>
      </c>
      <c r="T214" s="54">
        <f t="shared" si="139"/>
        <v>2.552881108679796E-3</v>
      </c>
      <c r="U214" s="54">
        <f t="shared" si="140"/>
        <v>-1.1000000000000001E-3</v>
      </c>
      <c r="V214" s="55">
        <f t="shared" si="141"/>
        <v>1.6000000000000042E-3</v>
      </c>
    </row>
    <row r="215" spans="1:22">
      <c r="A215" s="169">
        <v>183</v>
      </c>
      <c r="B215" s="170" t="s">
        <v>236</v>
      </c>
      <c r="C215" s="171" t="s">
        <v>237</v>
      </c>
      <c r="D215" s="26">
        <v>421183411.85000002</v>
      </c>
      <c r="E215" s="27">
        <f t="shared" si="147"/>
        <v>6.3186472045757419E-3</v>
      </c>
      <c r="F215" s="76">
        <v>119.15</v>
      </c>
      <c r="G215" s="76">
        <v>120.02</v>
      </c>
      <c r="H215" s="43">
        <v>138</v>
      </c>
      <c r="I215" s="47">
        <v>-3.3999999999999998E-3</v>
      </c>
      <c r="J215" s="47">
        <v>-4.0099999999999997E-2</v>
      </c>
      <c r="K215" s="26">
        <v>421919247.92000002</v>
      </c>
      <c r="L215" s="27">
        <f t="shared" si="136"/>
        <v>6.4564300107359278E-3</v>
      </c>
      <c r="M215" s="76">
        <v>119.64</v>
      </c>
      <c r="N215" s="76">
        <v>120.49</v>
      </c>
      <c r="O215" s="43">
        <v>139</v>
      </c>
      <c r="P215" s="47">
        <v>3.8999999999999998E-3</v>
      </c>
      <c r="Q215" s="47">
        <v>-3.6299999999999999E-2</v>
      </c>
      <c r="R215" s="54">
        <f t="shared" si="137"/>
        <v>1.7470680214301817E-3</v>
      </c>
      <c r="S215" s="54">
        <f t="shared" si="138"/>
        <v>3.9160139976670465E-3</v>
      </c>
      <c r="T215" s="54">
        <f t="shared" si="139"/>
        <v>7.246376811594203E-3</v>
      </c>
      <c r="U215" s="54">
        <f t="shared" si="140"/>
        <v>7.2999999999999992E-3</v>
      </c>
      <c r="V215" s="55">
        <f t="shared" si="141"/>
        <v>3.7999999999999978E-3</v>
      </c>
    </row>
    <row r="216" spans="1:22">
      <c r="A216" s="169">
        <v>184</v>
      </c>
      <c r="B216" s="170" t="s">
        <v>238</v>
      </c>
      <c r="C216" s="171" t="s">
        <v>237</v>
      </c>
      <c r="D216" s="26">
        <v>277543754.25999999</v>
      </c>
      <c r="E216" s="27">
        <f t="shared" si="147"/>
        <v>4.1637467612968748E-3</v>
      </c>
      <c r="F216" s="76">
        <v>127.81</v>
      </c>
      <c r="G216" s="76">
        <v>127.81</v>
      </c>
      <c r="H216" s="43">
        <v>91</v>
      </c>
      <c r="I216" s="47">
        <v>2.7000000000000001E-3</v>
      </c>
      <c r="J216" s="47">
        <v>0.14430000000000001</v>
      </c>
      <c r="K216" s="26">
        <v>264020832.24000001</v>
      </c>
      <c r="L216" s="27">
        <f t="shared" si="136"/>
        <v>4.0401854931658076E-3</v>
      </c>
      <c r="M216" s="76">
        <v>128.26</v>
      </c>
      <c r="N216" s="76">
        <v>128.26</v>
      </c>
      <c r="O216" s="43">
        <v>93</v>
      </c>
      <c r="P216" s="47">
        <v>3.5000000000000001E-3</v>
      </c>
      <c r="Q216" s="47">
        <v>0.14829999999999999</v>
      </c>
      <c r="R216" s="54">
        <f t="shared" si="137"/>
        <v>-4.8723568130925599E-2</v>
      </c>
      <c r="S216" s="54">
        <f t="shared" si="138"/>
        <v>3.5208512635943089E-3</v>
      </c>
      <c r="T216" s="54">
        <f t="shared" si="139"/>
        <v>2.197802197802198E-2</v>
      </c>
      <c r="U216" s="54">
        <f t="shared" si="140"/>
        <v>7.9999999999999993E-4</v>
      </c>
      <c r="V216" s="55">
        <f t="shared" si="141"/>
        <v>3.9999999999999758E-3</v>
      </c>
    </row>
    <row r="217" spans="1:22" ht="13.5" customHeight="1">
      <c r="A217" s="169">
        <v>185</v>
      </c>
      <c r="B217" s="170" t="s">
        <v>239</v>
      </c>
      <c r="C217" s="171" t="s">
        <v>85</v>
      </c>
      <c r="D217" s="26">
        <v>2086052512</v>
      </c>
      <c r="E217" s="27">
        <f t="shared" si="147"/>
        <v>3.1295225554232621E-2</v>
      </c>
      <c r="F217" s="57">
        <v>106.37</v>
      </c>
      <c r="G217" s="57">
        <v>106.37</v>
      </c>
      <c r="H217" s="29">
        <v>673</v>
      </c>
      <c r="I217" s="47">
        <v>3.3E-3</v>
      </c>
      <c r="J217" s="47">
        <v>0.15090000000000001</v>
      </c>
      <c r="K217" s="26">
        <v>2207249570</v>
      </c>
      <c r="L217" s="27">
        <f t="shared" si="136"/>
        <v>3.3776492623143119E-2</v>
      </c>
      <c r="M217" s="57">
        <v>106.71</v>
      </c>
      <c r="N217" s="57">
        <v>106.71</v>
      </c>
      <c r="O217" s="29">
        <v>679</v>
      </c>
      <c r="P217" s="47">
        <v>3.2000000000000002E-3</v>
      </c>
      <c r="Q217" s="47">
        <v>0.15160000000000001</v>
      </c>
      <c r="R217" s="54">
        <f t="shared" si="137"/>
        <v>5.8098757007704706E-2</v>
      </c>
      <c r="S217" s="54">
        <f t="shared" si="138"/>
        <v>3.1963899595749664E-3</v>
      </c>
      <c r="T217" s="54">
        <f t="shared" si="139"/>
        <v>8.9153046062407128E-3</v>
      </c>
      <c r="U217" s="54">
        <f t="shared" si="140"/>
        <v>-9.9999999999999829E-5</v>
      </c>
      <c r="V217" s="55">
        <f t="shared" si="141"/>
        <v>7.0000000000000617E-4</v>
      </c>
    </row>
    <row r="218" spans="1:22" ht="15.75" customHeight="1">
      <c r="A218" s="169">
        <v>186</v>
      </c>
      <c r="B218" s="170" t="s">
        <v>240</v>
      </c>
      <c r="C218" s="171" t="s">
        <v>47</v>
      </c>
      <c r="D218" s="26">
        <v>5146358827.7299995</v>
      </c>
      <c r="E218" s="27">
        <f t="shared" si="147"/>
        <v>7.720633079481487E-2</v>
      </c>
      <c r="F218" s="57">
        <v>139.56</v>
      </c>
      <c r="G218" s="57">
        <v>139.56</v>
      </c>
      <c r="H218" s="29">
        <v>1470</v>
      </c>
      <c r="I218" s="47">
        <v>1.9E-3</v>
      </c>
      <c r="J218" s="47">
        <v>3.9199999999999999E-2</v>
      </c>
      <c r="K218" s="26">
        <v>5127206060.6099997</v>
      </c>
      <c r="L218" s="27">
        <f t="shared" si="136"/>
        <v>7.845920100622257E-2</v>
      </c>
      <c r="M218" s="57">
        <v>139.79</v>
      </c>
      <c r="N218" s="57">
        <v>139.79</v>
      </c>
      <c r="O218" s="29">
        <v>1490</v>
      </c>
      <c r="P218" s="47">
        <v>1.6000000000000001E-3</v>
      </c>
      <c r="Q218" s="47">
        <v>4.0899999999999999E-2</v>
      </c>
      <c r="R218" s="54">
        <f t="shared" si="137"/>
        <v>-3.721615177083941E-3</v>
      </c>
      <c r="S218" s="54">
        <f t="shared" si="138"/>
        <v>1.6480366867296487E-3</v>
      </c>
      <c r="T218" s="54">
        <f t="shared" si="139"/>
        <v>1.3605442176870748E-2</v>
      </c>
      <c r="U218" s="54">
        <f t="shared" si="140"/>
        <v>-2.9999999999999992E-4</v>
      </c>
      <c r="V218" s="55">
        <f t="shared" si="141"/>
        <v>1.7000000000000001E-3</v>
      </c>
    </row>
    <row r="219" spans="1:22">
      <c r="A219" s="169">
        <v>187</v>
      </c>
      <c r="B219" s="170" t="s">
        <v>241</v>
      </c>
      <c r="C219" s="171" t="s">
        <v>50</v>
      </c>
      <c r="D219" s="26">
        <v>4138640429.3299999</v>
      </c>
      <c r="E219" s="27">
        <f t="shared" si="147"/>
        <v>6.2088410995738384E-2</v>
      </c>
      <c r="F219" s="57">
        <v>1.1781999999999999</v>
      </c>
      <c r="G219" s="57">
        <v>1.1781999999999999</v>
      </c>
      <c r="H219" s="29">
        <v>1827</v>
      </c>
      <c r="I219" s="47">
        <v>0.11219999999999999</v>
      </c>
      <c r="J219" s="47">
        <v>0.1077</v>
      </c>
      <c r="K219" s="26">
        <v>3514455551.9200001</v>
      </c>
      <c r="L219" s="27">
        <f t="shared" si="136"/>
        <v>5.3780045372843928E-2</v>
      </c>
      <c r="M219" s="57">
        <v>1.1802999999999999</v>
      </c>
      <c r="N219" s="57">
        <v>1.1802999999999999</v>
      </c>
      <c r="O219" s="29">
        <v>1842</v>
      </c>
      <c r="P219" s="47">
        <v>0.1119</v>
      </c>
      <c r="Q219" s="47">
        <v>0.1077</v>
      </c>
      <c r="R219" s="54">
        <f t="shared" si="137"/>
        <v>-0.15081882276761319</v>
      </c>
      <c r="S219" s="54">
        <f t="shared" si="138"/>
        <v>1.7823799015447216E-3</v>
      </c>
      <c r="T219" s="54">
        <f t="shared" si="139"/>
        <v>8.2101806239737278E-3</v>
      </c>
      <c r="U219" s="54">
        <f t="shared" si="140"/>
        <v>-2.9999999999999472E-4</v>
      </c>
      <c r="V219" s="55">
        <f t="shared" si="141"/>
        <v>0</v>
      </c>
    </row>
    <row r="220" spans="1:22" ht="6" customHeight="1">
      <c r="A220" s="33"/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  <c r="R220" s="181"/>
      <c r="S220" s="181"/>
      <c r="T220" s="181"/>
      <c r="U220" s="181"/>
      <c r="V220" s="181"/>
    </row>
    <row r="221" spans="1:22">
      <c r="A221" s="182" t="s">
        <v>242</v>
      </c>
      <c r="B221" s="182"/>
      <c r="C221" s="182"/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</row>
    <row r="222" spans="1:22">
      <c r="A222" s="169">
        <v>188</v>
      </c>
      <c r="B222" s="170" t="s">
        <v>311</v>
      </c>
      <c r="C222" s="171" t="s">
        <v>21</v>
      </c>
      <c r="D222" s="75">
        <v>2104887110.2</v>
      </c>
      <c r="E222" s="27">
        <f>(D222/$D$199)</f>
        <v>0.25672277422575945</v>
      </c>
      <c r="F222" s="74">
        <v>93.302899999999994</v>
      </c>
      <c r="G222" s="74">
        <v>96.116100000000003</v>
      </c>
      <c r="H222" s="31">
        <v>2350</v>
      </c>
      <c r="I222" s="48">
        <v>-3.56E-2</v>
      </c>
      <c r="J222" s="48">
        <v>0.54630000000000001</v>
      </c>
      <c r="K222" s="75">
        <v>2122977669.1300001</v>
      </c>
      <c r="L222" s="51">
        <f>(K222/$K$199)</f>
        <v>0.26465637503106038</v>
      </c>
      <c r="M222" s="74">
        <v>92.789500000000004</v>
      </c>
      <c r="N222" s="74">
        <v>95.587199999999996</v>
      </c>
      <c r="O222" s="31">
        <v>2408</v>
      </c>
      <c r="P222" s="48">
        <v>-0.28689999999999999</v>
      </c>
      <c r="Q222" s="48">
        <v>0.51990000000000003</v>
      </c>
      <c r="R222" s="54">
        <f>((K222-D222)/D222)</f>
        <v>8.594550673209812E-3</v>
      </c>
      <c r="S222" s="54">
        <f t="shared" ref="S222" si="148">((N222-G222)/G222)</f>
        <v>-5.5027201478213038E-3</v>
      </c>
      <c r="T222" s="54">
        <f t="shared" ref="T222" si="149">((O222-H222)/H222)</f>
        <v>2.4680851063829789E-2</v>
      </c>
      <c r="U222" s="54">
        <f t="shared" ref="U222" si="150">P222-I222</f>
        <v>-0.25129999999999997</v>
      </c>
      <c r="V222" s="55">
        <f t="shared" ref="V222" si="151">Q222-J222</f>
        <v>-2.6399999999999979E-2</v>
      </c>
    </row>
    <row r="223" spans="1:22">
      <c r="A223" s="175">
        <v>189</v>
      </c>
      <c r="B223" s="170" t="s">
        <v>243</v>
      </c>
      <c r="C223" s="171" t="s">
        <v>226</v>
      </c>
      <c r="D223" s="26">
        <v>245372905.33000001</v>
      </c>
      <c r="E223" s="27">
        <f t="shared" ref="E223" si="152">(D223/$D$225)</f>
        <v>3.6811155869885016E-3</v>
      </c>
      <c r="F223" s="32">
        <v>1183.76</v>
      </c>
      <c r="G223" s="32">
        <v>1183.76</v>
      </c>
      <c r="H223" s="29">
        <v>145</v>
      </c>
      <c r="I223" s="47">
        <v>-1.1000000000000001E-3</v>
      </c>
      <c r="J223" s="47">
        <v>7.3800000000000004E-2</v>
      </c>
      <c r="K223" s="26">
        <v>257791173.5</v>
      </c>
      <c r="L223" s="27">
        <f t="shared" ref="L223" si="153">(K223/$K$225)</f>
        <v>3.944855982023889E-3</v>
      </c>
      <c r="M223" s="32">
        <v>1181.1300000000001</v>
      </c>
      <c r="N223" s="32">
        <v>1181.1300000000001</v>
      </c>
      <c r="O223" s="29">
        <v>145</v>
      </c>
      <c r="P223" s="47">
        <v>-2.3999999999999998E-3</v>
      </c>
      <c r="Q223" s="47">
        <v>7.1599999999999997E-2</v>
      </c>
      <c r="R223" s="54">
        <f t="shared" ref="R223" si="154">((K223-D223)/D223)</f>
        <v>5.0609777608895977E-2</v>
      </c>
      <c r="S223" s="54">
        <f t="shared" ref="S223" si="155">((N223-G223)/G223)</f>
        <v>-2.2217341352975956E-3</v>
      </c>
      <c r="T223" s="54">
        <f t="shared" ref="T223" si="156">((O223-H223)/H223)</f>
        <v>0</v>
      </c>
      <c r="U223" s="54">
        <f t="shared" ref="U223" si="157">P223-I223</f>
        <v>-1.2999999999999997E-3</v>
      </c>
      <c r="V223" s="55">
        <f t="shared" ref="V223" si="158">Q223-J223</f>
        <v>-2.2000000000000075E-3</v>
      </c>
    </row>
    <row r="224" spans="1:22">
      <c r="A224" s="175">
        <v>190</v>
      </c>
      <c r="B224" s="170" t="s">
        <v>288</v>
      </c>
      <c r="C224" s="171" t="s">
        <v>289</v>
      </c>
      <c r="D224" s="26">
        <v>99811314.459999993</v>
      </c>
      <c r="E224" s="27">
        <f t="shared" ref="E224" si="159">(D224/$D$225)</f>
        <v>1.4973820557831383E-3</v>
      </c>
      <c r="F224" s="32">
        <v>107.7</v>
      </c>
      <c r="G224" s="32">
        <v>109.92</v>
      </c>
      <c r="H224" s="29">
        <v>263</v>
      </c>
      <c r="I224" s="47">
        <v>3.0000000000000001E-3</v>
      </c>
      <c r="J224" s="47">
        <v>4.82E-2</v>
      </c>
      <c r="K224" s="26">
        <v>102008728.04000001</v>
      </c>
      <c r="L224" s="27">
        <f t="shared" ref="L224" si="160">(K224/$K$225)</f>
        <v>1.5609911525044594E-3</v>
      </c>
      <c r="M224" s="32">
        <v>108.04</v>
      </c>
      <c r="N224" s="32">
        <v>110.27</v>
      </c>
      <c r="O224" s="29">
        <v>263</v>
      </c>
      <c r="P224" s="47">
        <v>3.0000000000000001E-3</v>
      </c>
      <c r="Q224" s="47">
        <v>4.82E-2</v>
      </c>
      <c r="R224" s="54">
        <f t="shared" ref="R224" si="161">((K224-D224)/D224)</f>
        <v>2.2015676197518073E-2</v>
      </c>
      <c r="S224" s="54">
        <f t="shared" ref="S224" si="162">((N224-G224)/G224)</f>
        <v>3.1841339155749119E-3</v>
      </c>
      <c r="T224" s="54">
        <f t="shared" ref="T224" si="163">((O224-H224)/H224)</f>
        <v>0</v>
      </c>
      <c r="U224" s="54">
        <f t="shared" ref="U224" si="164">P224-I224</f>
        <v>0</v>
      </c>
      <c r="V224" s="55">
        <f t="shared" ref="V224" si="165">Q224-J224</f>
        <v>0</v>
      </c>
    </row>
    <row r="225" spans="1:22">
      <c r="A225" s="33"/>
      <c r="B225" s="34"/>
      <c r="C225" s="68" t="s">
        <v>51</v>
      </c>
      <c r="D225" s="45">
        <f>SUM(D203:D224)</f>
        <v>66657212883.32</v>
      </c>
      <c r="E225" s="37">
        <f>(D225/$D$226)</f>
        <v>1.0159688064210056E-2</v>
      </c>
      <c r="F225" s="38"/>
      <c r="G225" s="71"/>
      <c r="H225" s="81">
        <f>SUM(H203:H224)</f>
        <v>36603</v>
      </c>
      <c r="I225" s="78"/>
      <c r="J225" s="78"/>
      <c r="K225" s="45">
        <f>SUM(K203:K224)</f>
        <v>65348690718.929993</v>
      </c>
      <c r="L225" s="37">
        <f>(K225/$K$226)</f>
        <v>9.9877953807232193E-3</v>
      </c>
      <c r="M225" s="38"/>
      <c r="N225" s="71"/>
      <c r="O225" s="40">
        <f>SUM(O203:O224)</f>
        <v>36770</v>
      </c>
      <c r="P225" s="78"/>
      <c r="Q225" s="78"/>
      <c r="R225" s="54">
        <f t="shared" si="137"/>
        <v>-1.9630616219740649E-2</v>
      </c>
      <c r="S225" s="54" t="e">
        <f t="shared" si="138"/>
        <v>#DIV/0!</v>
      </c>
      <c r="T225" s="54">
        <f t="shared" si="139"/>
        <v>4.5624675573040464E-3</v>
      </c>
      <c r="U225" s="54">
        <f t="shared" si="140"/>
        <v>0</v>
      </c>
      <c r="V225" s="55">
        <f t="shared" si="141"/>
        <v>0</v>
      </c>
    </row>
    <row r="226" spans="1:22">
      <c r="A226" s="82"/>
      <c r="B226" s="82"/>
      <c r="C226" s="83" t="s">
        <v>244</v>
      </c>
      <c r="D226" s="84">
        <f>SUM(D25,D70,D112,D154,D163,D194,D199,D225)</f>
        <v>6560950736089.6309</v>
      </c>
      <c r="E226" s="85"/>
      <c r="F226" s="85"/>
      <c r="G226" s="86"/>
      <c r="H226" s="84">
        <f>SUM(H25,H70,H112,H154,H163,H194,H199,H225)</f>
        <v>970286</v>
      </c>
      <c r="I226" s="108"/>
      <c r="J226" s="108"/>
      <c r="K226" s="84">
        <f>SUM(K25,K70,K112,K154,K163,K194,K199,K225)</f>
        <v>6542854376557.9297</v>
      </c>
      <c r="L226" s="85"/>
      <c r="M226" s="85"/>
      <c r="N226" s="86"/>
      <c r="O226" s="84">
        <f>SUM(O25,O70,O112,O154,O163,O194,O199,O225)</f>
        <v>977193</v>
      </c>
      <c r="P226" s="109"/>
      <c r="Q226" s="84"/>
      <c r="R226" s="115">
        <f t="shared" si="137"/>
        <v>-2.7581916492923891E-3</v>
      </c>
      <c r="S226" s="115"/>
      <c r="T226" s="115"/>
      <c r="U226" s="115"/>
      <c r="V226" s="115"/>
    </row>
    <row r="227" spans="1:22" ht="6.75" customHeight="1">
      <c r="A227" s="33"/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  <c r="R227" s="181"/>
      <c r="S227" s="181"/>
      <c r="T227" s="181"/>
      <c r="U227" s="181"/>
      <c r="V227" s="34"/>
    </row>
    <row r="228" spans="1:22" ht="14.4" customHeight="1">
      <c r="A228" s="179" t="s">
        <v>245</v>
      </c>
      <c r="B228" s="179"/>
      <c r="C228" s="179"/>
      <c r="D228" s="179"/>
      <c r="E228" s="179"/>
      <c r="F228" s="179"/>
      <c r="G228" s="179"/>
      <c r="H228" s="179"/>
      <c r="I228" s="179"/>
      <c r="J228" s="179"/>
      <c r="K228" s="179"/>
      <c r="L228" s="179"/>
      <c r="M228" s="179"/>
      <c r="N228" s="179"/>
      <c r="O228" s="179"/>
      <c r="P228" s="179"/>
      <c r="Q228" s="179"/>
      <c r="R228" s="179"/>
      <c r="S228" s="179"/>
      <c r="T228" s="179"/>
      <c r="U228" s="179"/>
      <c r="V228" s="179"/>
    </row>
    <row r="229" spans="1:22" ht="14.4" customHeight="1">
      <c r="A229" s="169">
        <v>1</v>
      </c>
      <c r="B229" s="170" t="s">
        <v>310</v>
      </c>
      <c r="C229" s="171" t="s">
        <v>21</v>
      </c>
      <c r="D229" s="26">
        <v>1864044622.1918039</v>
      </c>
      <c r="E229" s="27">
        <f t="shared" ref="E229:E232" si="166">(D229/$D$225)</f>
        <v>2.7964634906873731E-2</v>
      </c>
      <c r="F229" s="32">
        <v>1555.7691107400001</v>
      </c>
      <c r="G229" s="32">
        <v>1555.7691107400001</v>
      </c>
      <c r="H229" s="29">
        <v>48</v>
      </c>
      <c r="I229" s="47">
        <v>6.1699999999999998E-2</v>
      </c>
      <c r="J229" s="47">
        <v>4.2700000000000002E-2</v>
      </c>
      <c r="K229" s="26">
        <f>1218500.13*W135</f>
        <v>1845865758.2827227</v>
      </c>
      <c r="L229" s="27">
        <f>(K229/$K$234)</f>
        <v>9.8869079403558907E-2</v>
      </c>
      <c r="M229" s="32">
        <f>1.017*W135</f>
        <v>1540.6198406999997</v>
      </c>
      <c r="N229" s="32">
        <f>1.017*W135</f>
        <v>1540.6198406999997</v>
      </c>
      <c r="O229" s="29">
        <v>48</v>
      </c>
      <c r="P229" s="47">
        <v>6.1600000000000002E-2</v>
      </c>
      <c r="Q229" s="47">
        <v>4.3700000000000003E-2</v>
      </c>
      <c r="R229" s="54">
        <f t="shared" ref="R229" si="167">((K229-D229)/D229)</f>
        <v>-9.7523759317016366E-3</v>
      </c>
      <c r="S229" s="54">
        <f t="shared" ref="S229" si="168">((N229-G229)/G229)</f>
        <v>-9.7374796397613518E-3</v>
      </c>
      <c r="T229" s="54">
        <f t="shared" ref="T229" si="169">((O229-H229)/H229)</f>
        <v>0</v>
      </c>
      <c r="U229" s="54">
        <f t="shared" ref="U229" si="170">P229-I229</f>
        <v>-9.9999999999995925E-5</v>
      </c>
      <c r="V229" s="55">
        <f t="shared" ref="V229" si="171">Q229-J229</f>
        <v>1.0000000000000009E-3</v>
      </c>
    </row>
    <row r="230" spans="1:22" ht="14.4" customHeight="1">
      <c r="A230" s="169">
        <v>2</v>
      </c>
      <c r="B230" s="170" t="s">
        <v>246</v>
      </c>
      <c r="C230" s="171" t="s">
        <v>184</v>
      </c>
      <c r="D230" s="26">
        <v>4524022084.3400002</v>
      </c>
      <c r="E230" s="27">
        <f t="shared" ref="E230" si="172">(D230/$D$225)</f>
        <v>6.7869955682951622E-2</v>
      </c>
      <c r="F230" s="32">
        <v>123.2</v>
      </c>
      <c r="G230" s="32">
        <v>123.2</v>
      </c>
      <c r="H230" s="29">
        <v>9</v>
      </c>
      <c r="I230" s="47">
        <v>0.2772</v>
      </c>
      <c r="J230" s="47">
        <v>0.27529999999999999</v>
      </c>
      <c r="K230" s="26">
        <v>4510391555.9499998</v>
      </c>
      <c r="L230" s="27">
        <f>(K230/$K$234)</f>
        <v>0.24158759047637082</v>
      </c>
      <c r="M230" s="32">
        <v>123.2</v>
      </c>
      <c r="N230" s="32">
        <v>123.2</v>
      </c>
      <c r="O230" s="29">
        <v>9</v>
      </c>
      <c r="P230" s="47">
        <v>0.25840000000000002</v>
      </c>
      <c r="Q230" s="47">
        <v>0.28139999999999998</v>
      </c>
      <c r="R230" s="54">
        <f t="shared" ref="R230" si="173">((K230-D230)/D230)</f>
        <v>-3.0129226020320968E-3</v>
      </c>
      <c r="S230" s="54">
        <f t="shared" ref="S230" si="174">((N230-G230)/G230)</f>
        <v>0</v>
      </c>
      <c r="T230" s="54">
        <f t="shared" ref="T230" si="175">((O230-H230)/H230)</f>
        <v>0</v>
      </c>
      <c r="U230" s="54">
        <f t="shared" ref="U230" si="176">P230-I230</f>
        <v>-1.8799999999999983E-2</v>
      </c>
      <c r="V230" s="55">
        <f t="shared" ref="V230" si="177">Q230-J230</f>
        <v>6.0999999999999943E-3</v>
      </c>
    </row>
    <row r="231" spans="1:22" ht="14.4" customHeight="1">
      <c r="A231" s="169">
        <v>3</v>
      </c>
      <c r="B231" s="170" t="s">
        <v>308</v>
      </c>
      <c r="C231" s="171" t="s">
        <v>29</v>
      </c>
      <c r="D231" s="26">
        <v>602447041.77280009</v>
      </c>
      <c r="E231" s="27">
        <f t="shared" si="166"/>
        <v>9.0379872741957034E-3</v>
      </c>
      <c r="F231" s="32">
        <v>162392.11520000003</v>
      </c>
      <c r="G231" s="32">
        <v>162392.11520000003</v>
      </c>
      <c r="H231" s="29">
        <v>5</v>
      </c>
      <c r="I231" s="47">
        <v>5.9999999999999995E-4</v>
      </c>
      <c r="J231" s="47">
        <v>5.6800000000000003E-2</v>
      </c>
      <c r="K231" s="26">
        <f>393756.28*1519.67</f>
        <v>598379606.02760005</v>
      </c>
      <c r="L231" s="27">
        <f>(K231/$K$234)</f>
        <v>3.2050673520729357E-2</v>
      </c>
      <c r="M231" s="32">
        <f>106.13*1519.67</f>
        <v>161282.57709999999</v>
      </c>
      <c r="N231" s="32">
        <f>106.13*1519.67</f>
        <v>161282.57709999999</v>
      </c>
      <c r="O231" s="29">
        <v>5</v>
      </c>
      <c r="P231" s="47">
        <v>4.3E-3</v>
      </c>
      <c r="Q231" s="47">
        <v>6.13E-2</v>
      </c>
      <c r="R231" s="54">
        <f t="shared" ref="R231:R232" si="178">((K231-D231)/D231)</f>
        <v>-6.751524139335028E-3</v>
      </c>
      <c r="S231" s="54">
        <f t="shared" ref="S231:S232" si="179">((N231-G231)/G231)</f>
        <v>-6.8324628854888768E-3</v>
      </c>
      <c r="T231" s="54">
        <f t="shared" ref="T231:T232" si="180">((O231-H231)/H231)</f>
        <v>0</v>
      </c>
      <c r="U231" s="54">
        <f t="shared" ref="U231:U232" si="181">P231-I231</f>
        <v>3.7000000000000002E-3</v>
      </c>
      <c r="V231" s="55">
        <f t="shared" ref="V231:V232" si="182">Q231-J231</f>
        <v>4.4999999999999971E-3</v>
      </c>
    </row>
    <row r="232" spans="1:22" ht="14.4" customHeight="1">
      <c r="A232" s="169">
        <v>4</v>
      </c>
      <c r="B232" s="170" t="s">
        <v>295</v>
      </c>
      <c r="C232" s="171" t="s">
        <v>39</v>
      </c>
      <c r="D232" s="26">
        <v>11499404111.02</v>
      </c>
      <c r="E232" s="27">
        <f t="shared" si="166"/>
        <v>0.17251552553133465</v>
      </c>
      <c r="F232" s="32">
        <v>1.19</v>
      </c>
      <c r="G232" s="32">
        <v>1.19</v>
      </c>
      <c r="H232" s="29">
        <v>16</v>
      </c>
      <c r="I232" s="47">
        <v>-3.5000000000000001E-3</v>
      </c>
      <c r="J232" s="47">
        <v>0.22140000000000001</v>
      </c>
      <c r="K232" s="26">
        <v>11587576935.6</v>
      </c>
      <c r="L232" s="27">
        <f>(K232/$K$234)</f>
        <v>0.62065892874383655</v>
      </c>
      <c r="M232" s="32">
        <v>1.2</v>
      </c>
      <c r="N232" s="32">
        <v>1.2</v>
      </c>
      <c r="O232" s="29">
        <v>16</v>
      </c>
      <c r="P232" s="47">
        <v>7.1000000000000004E-3</v>
      </c>
      <c r="Q232" s="47">
        <v>0.2271</v>
      </c>
      <c r="R232" s="54">
        <f t="shared" si="178"/>
        <v>7.6675994450445461E-3</v>
      </c>
      <c r="S232" s="54">
        <f t="shared" si="179"/>
        <v>8.4033613445378234E-3</v>
      </c>
      <c r="T232" s="54">
        <f t="shared" si="180"/>
        <v>0</v>
      </c>
      <c r="U232" s="54">
        <f t="shared" si="181"/>
        <v>1.06E-2</v>
      </c>
      <c r="V232" s="55">
        <f t="shared" si="182"/>
        <v>5.6999999999999829E-3</v>
      </c>
    </row>
    <row r="233" spans="1:22" ht="14.4" customHeight="1">
      <c r="A233" s="169">
        <v>5</v>
      </c>
      <c r="B233" s="170" t="s">
        <v>313</v>
      </c>
      <c r="C233" s="171" t="s">
        <v>50</v>
      </c>
      <c r="D233" s="26">
        <v>127838815.78</v>
      </c>
      <c r="E233" s="27">
        <f t="shared" ref="E233" si="183">(D233/$D$225)</f>
        <v>1.917854201371654E-3</v>
      </c>
      <c r="F233" s="32">
        <v>1.0613999999999999</v>
      </c>
      <c r="G233" s="32">
        <v>1.0613999999999999</v>
      </c>
      <c r="H233" s="29">
        <v>12</v>
      </c>
      <c r="I233" s="47">
        <v>2.12E-2</v>
      </c>
      <c r="J233" s="47">
        <v>6.1400000000000003E-2</v>
      </c>
      <c r="K233" s="26">
        <v>127584319.84999999</v>
      </c>
      <c r="L233" s="27">
        <f>(K233/$K$234)</f>
        <v>6.8337278555045686E-3</v>
      </c>
      <c r="M233" s="32">
        <v>1.0592999999999999</v>
      </c>
      <c r="N233" s="32">
        <v>1.0592999999999999</v>
      </c>
      <c r="O233" s="29">
        <v>12</v>
      </c>
      <c r="P233" s="47">
        <v>-1.6999999999999999E-3</v>
      </c>
      <c r="Q233" s="47">
        <v>5.9299999999999999E-2</v>
      </c>
      <c r="R233" s="54">
        <f t="shared" ref="R233:R234" si="184">((K233-D233)/D233)</f>
        <v>-1.9907563164381428E-3</v>
      </c>
      <c r="S233" s="54">
        <f t="shared" ref="S233" si="185">((N233-G233)/G233)</f>
        <v>-1.9785189372526768E-3</v>
      </c>
      <c r="T233" s="54">
        <f t="shared" ref="T233" si="186">((O233-H233)/H233)</f>
        <v>0</v>
      </c>
      <c r="U233" s="54">
        <f t="shared" ref="U233" si="187">P233-I233</f>
        <v>-2.29E-2</v>
      </c>
      <c r="V233" s="55">
        <f t="shared" ref="V233" si="188">Q233-J233</f>
        <v>-2.1000000000000046E-3</v>
      </c>
    </row>
    <row r="234" spans="1:22" ht="14.4" customHeight="1">
      <c r="A234" s="87"/>
      <c r="B234" s="87"/>
      <c r="C234" s="87" t="s">
        <v>51</v>
      </c>
      <c r="D234" s="87">
        <f>SUM(D229:D233)</f>
        <v>18617756675.104603</v>
      </c>
      <c r="E234" s="87"/>
      <c r="F234" s="87"/>
      <c r="G234" s="87"/>
      <c r="H234" s="87">
        <f>SUM(H229:H233)</f>
        <v>90</v>
      </c>
      <c r="I234" s="87"/>
      <c r="J234" s="87"/>
      <c r="K234" s="87">
        <f>SUM(K229:K233)</f>
        <v>18669798175.71032</v>
      </c>
      <c r="L234" s="37"/>
      <c r="M234" s="87"/>
      <c r="N234" s="87"/>
      <c r="O234" s="87">
        <f>SUM(O229:O233)</f>
        <v>90</v>
      </c>
      <c r="P234" s="87"/>
      <c r="Q234" s="87"/>
      <c r="R234" s="115">
        <f t="shared" si="184"/>
        <v>2.7952616157727451E-3</v>
      </c>
      <c r="S234" s="87"/>
      <c r="T234" s="87"/>
      <c r="U234" s="87"/>
      <c r="V234" s="87"/>
    </row>
    <row r="235" spans="1:22" ht="6" customHeight="1">
      <c r="A235" s="33"/>
      <c r="B235" s="129"/>
      <c r="C235" s="68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34"/>
    </row>
    <row r="236" spans="1:22" ht="15.6">
      <c r="A236" s="179" t="s">
        <v>247</v>
      </c>
      <c r="B236" s="179"/>
      <c r="C236" s="179"/>
      <c r="D236" s="179"/>
      <c r="E236" s="179"/>
      <c r="F236" s="179"/>
      <c r="G236" s="179"/>
      <c r="H236" s="179"/>
      <c r="I236" s="179"/>
      <c r="J236" s="179"/>
      <c r="K236" s="179"/>
      <c r="L236" s="179"/>
      <c r="M236" s="179"/>
      <c r="N236" s="179"/>
      <c r="O236" s="179"/>
      <c r="P236" s="179"/>
      <c r="Q236" s="179"/>
      <c r="R236" s="179"/>
      <c r="S236" s="179"/>
      <c r="T236" s="179"/>
      <c r="U236" s="179"/>
      <c r="V236" s="179"/>
    </row>
    <row r="237" spans="1:22">
      <c r="A237" s="169">
        <v>1</v>
      </c>
      <c r="B237" s="170" t="s">
        <v>248</v>
      </c>
      <c r="C237" s="171" t="s">
        <v>249</v>
      </c>
      <c r="D237" s="26">
        <v>114390469985</v>
      </c>
      <c r="E237" s="27">
        <f>(D237/$D$239)</f>
        <v>0.88763069038001541</v>
      </c>
      <c r="F237" s="57">
        <v>108.35</v>
      </c>
      <c r="G237" s="57">
        <v>108.35</v>
      </c>
      <c r="H237" s="29">
        <v>0</v>
      </c>
      <c r="I237" s="47">
        <v>0.23899999999999999</v>
      </c>
      <c r="J237" s="47">
        <v>0.23899999999999999</v>
      </c>
      <c r="K237" s="26">
        <v>114390469985</v>
      </c>
      <c r="L237" s="27">
        <f>(K237/$K$239)</f>
        <v>0.8869528900921575</v>
      </c>
      <c r="M237" s="57">
        <v>108.35</v>
      </c>
      <c r="N237" s="57">
        <v>108.35</v>
      </c>
      <c r="O237" s="29">
        <v>0</v>
      </c>
      <c r="P237" s="47">
        <v>0.23899999999999999</v>
      </c>
      <c r="Q237" s="47">
        <v>0.23899999999999999</v>
      </c>
      <c r="R237" s="54">
        <f>((K237-D237)/D237)</f>
        <v>0</v>
      </c>
      <c r="S237" s="54">
        <f>((N237-G237)/G237)</f>
        <v>0</v>
      </c>
      <c r="T237" s="54" t="e">
        <f>((O237-H237)/H237)</f>
        <v>#DIV/0!</v>
      </c>
      <c r="U237" s="54">
        <f>P237-I237</f>
        <v>0</v>
      </c>
      <c r="V237" s="55">
        <f>Q237-J237</f>
        <v>0</v>
      </c>
    </row>
    <row r="238" spans="1:22" ht="14.4" customHeight="1">
      <c r="A238" s="169">
        <v>2</v>
      </c>
      <c r="B238" s="170" t="s">
        <v>250</v>
      </c>
      <c r="C238" s="171" t="s">
        <v>50</v>
      </c>
      <c r="D238" s="26">
        <v>14481223191.84</v>
      </c>
      <c r="E238" s="27">
        <f>(D238/$D$239)</f>
        <v>0.11236930961998468</v>
      </c>
      <c r="F238" s="88">
        <v>1000000</v>
      </c>
      <c r="G238" s="88">
        <v>1000000</v>
      </c>
      <c r="H238" s="29">
        <v>26</v>
      </c>
      <c r="I238" s="47">
        <v>0.21870000000000001</v>
      </c>
      <c r="J238" s="47">
        <v>0.21870000000000001</v>
      </c>
      <c r="K238" s="26">
        <v>14579705616</v>
      </c>
      <c r="L238" s="27">
        <f>(K238/$K$239)</f>
        <v>0.11304710990784254</v>
      </c>
      <c r="M238" s="88">
        <v>1000000</v>
      </c>
      <c r="N238" s="88">
        <v>1000000</v>
      </c>
      <c r="O238" s="29">
        <v>26</v>
      </c>
      <c r="P238" s="47">
        <v>0.21829999999999999</v>
      </c>
      <c r="Q238" s="47">
        <v>0.21829999999999999</v>
      </c>
      <c r="R238" s="54">
        <f>((K238-D238)/D238)</f>
        <v>6.8006979006782755E-3</v>
      </c>
      <c r="S238" s="54">
        <f>((N238-G238)/G238)</f>
        <v>0</v>
      </c>
      <c r="T238" s="54">
        <f>((O238-H238)/H238)</f>
        <v>0</v>
      </c>
      <c r="U238" s="54">
        <f>P238-I238</f>
        <v>-4.0000000000001146E-4</v>
      </c>
      <c r="V238" s="55">
        <f>Q238-J238</f>
        <v>-4.0000000000001146E-4</v>
      </c>
    </row>
    <row r="239" spans="1:22" ht="15" customHeight="1">
      <c r="A239" s="82"/>
      <c r="B239" s="82"/>
      <c r="C239" s="83" t="s">
        <v>251</v>
      </c>
      <c r="D239" s="87">
        <f>SUM(D237:D238)</f>
        <v>128871693176.84</v>
      </c>
      <c r="E239" s="89"/>
      <c r="F239" s="90"/>
      <c r="G239" s="90"/>
      <c r="H239" s="87">
        <f>SUM(H237:H238)</f>
        <v>26</v>
      </c>
      <c r="I239" s="110"/>
      <c r="J239" s="110"/>
      <c r="K239" s="87">
        <f>SUM(K237:K238)</f>
        <v>128970175601</v>
      </c>
      <c r="L239" s="89"/>
      <c r="M239" s="90"/>
      <c r="N239" s="90"/>
      <c r="O239" s="87">
        <f>SUM(O237:O238)</f>
        <v>26</v>
      </c>
      <c r="P239" s="110"/>
      <c r="Q239" s="87"/>
      <c r="R239" s="115">
        <f>((K239-D239)/D239)</f>
        <v>7.6418972803332652E-4</v>
      </c>
      <c r="S239" s="116"/>
      <c r="T239" s="116"/>
      <c r="U239" s="115"/>
      <c r="V239" s="117"/>
    </row>
    <row r="240" spans="1:22" ht="4.5" customHeight="1">
      <c r="A240" s="33"/>
      <c r="B240" s="180"/>
      <c r="C240" s="180"/>
      <c r="D240" s="180"/>
      <c r="E240" s="180"/>
      <c r="F240" s="180"/>
      <c r="G240" s="180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  <c r="R240" s="180"/>
      <c r="S240" s="180"/>
      <c r="T240" s="180"/>
      <c r="U240" s="180"/>
      <c r="V240" s="180"/>
    </row>
    <row r="241" spans="1:26" ht="15.6">
      <c r="A241" s="179" t="s">
        <v>252</v>
      </c>
      <c r="B241" s="179"/>
      <c r="C241" s="179"/>
      <c r="D241" s="179"/>
      <c r="E241" s="179"/>
      <c r="F241" s="179"/>
      <c r="G241" s="179"/>
      <c r="H241" s="179"/>
      <c r="I241" s="179"/>
      <c r="J241" s="179"/>
      <c r="K241" s="179"/>
      <c r="L241" s="179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</row>
    <row r="242" spans="1:26">
      <c r="A242" s="169">
        <v>1</v>
      </c>
      <c r="B242" s="170" t="s">
        <v>253</v>
      </c>
      <c r="C242" s="171" t="s">
        <v>78</v>
      </c>
      <c r="D242" s="91">
        <v>1335404100.8399999</v>
      </c>
      <c r="E242" s="92">
        <f t="shared" ref="E242:E253" si="189">(D242/$D$254)</f>
        <v>7.9633517323929565E-2</v>
      </c>
      <c r="F242" s="88">
        <v>326.3</v>
      </c>
      <c r="G242" s="88">
        <v>326.3</v>
      </c>
      <c r="H242" s="93">
        <v>266</v>
      </c>
      <c r="I242" s="49">
        <v>-3.0999999999999999E-3</v>
      </c>
      <c r="J242" s="49">
        <v>0.3382</v>
      </c>
      <c r="K242" s="91">
        <v>1325569431.6300001</v>
      </c>
      <c r="L242" s="92">
        <f t="shared" ref="L242:L253" si="190">(K242/$K$254)</f>
        <v>7.9430715844022504E-2</v>
      </c>
      <c r="M242" s="88">
        <v>327.35000000000002</v>
      </c>
      <c r="N242" s="88">
        <v>324.91000000000003</v>
      </c>
      <c r="O242" s="93">
        <v>266</v>
      </c>
      <c r="P242" s="49">
        <v>1.4E-3</v>
      </c>
      <c r="Q242" s="49">
        <v>0.32840000000000003</v>
      </c>
      <c r="R242" s="54">
        <f>((K242-D242)/D242)</f>
        <v>-7.3645641823426831E-3</v>
      </c>
      <c r="S242" s="54">
        <f>((N242-G242)/G242)</f>
        <v>-4.2598835427520264E-3</v>
      </c>
      <c r="T242" s="54">
        <f>((O242-H242)/H242)</f>
        <v>0</v>
      </c>
      <c r="U242" s="54">
        <f>P242-I242</f>
        <v>4.4999999999999997E-3</v>
      </c>
      <c r="V242" s="55">
        <f>Q242-J242</f>
        <v>-9.7999999999999754E-3</v>
      </c>
    </row>
    <row r="243" spans="1:26">
      <c r="A243" s="169">
        <v>2</v>
      </c>
      <c r="B243" s="170" t="s">
        <v>254</v>
      </c>
      <c r="C243" s="171" t="s">
        <v>226</v>
      </c>
      <c r="D243" s="91">
        <v>1778014038.6099999</v>
      </c>
      <c r="E243" s="92">
        <f t="shared" si="189"/>
        <v>0.10602746513716435</v>
      </c>
      <c r="F243" s="88">
        <v>50.57</v>
      </c>
      <c r="G243" s="88">
        <v>55.9</v>
      </c>
      <c r="H243" s="93">
        <v>238</v>
      </c>
      <c r="I243" s="49">
        <v>-2.0999999999999999E-3</v>
      </c>
      <c r="J243" s="49">
        <v>0.64959999999999996</v>
      </c>
      <c r="K243" s="91">
        <v>1748267428.6300001</v>
      </c>
      <c r="L243" s="92">
        <f t="shared" si="190"/>
        <v>0.10475960747835839</v>
      </c>
      <c r="M243" s="88">
        <v>49.73</v>
      </c>
      <c r="N243" s="88">
        <v>54.96</v>
      </c>
      <c r="O243" s="93">
        <v>238</v>
      </c>
      <c r="P243" s="49">
        <v>-1.67E-2</v>
      </c>
      <c r="Q243" s="49">
        <v>0.622</v>
      </c>
      <c r="R243" s="54">
        <f t="shared" ref="R243:R254" si="191">((K243-D243)/D243)</f>
        <v>-1.6730244719133276E-2</v>
      </c>
      <c r="S243" s="54">
        <f t="shared" ref="S243:S254" si="192">((N243-G243)/G243)</f>
        <v>-1.6815742397137706E-2</v>
      </c>
      <c r="T243" s="54">
        <f t="shared" ref="T243:T254" si="193">((O243-H243)/H243)</f>
        <v>0</v>
      </c>
      <c r="U243" s="54">
        <f t="shared" ref="U243:U254" si="194">P243-I243</f>
        <v>-1.46E-2</v>
      </c>
      <c r="V243" s="55">
        <f t="shared" ref="V243:V254" si="195">Q243-J243</f>
        <v>-2.7599999999999958E-2</v>
      </c>
    </row>
    <row r="244" spans="1:26">
      <c r="A244" s="169">
        <v>3</v>
      </c>
      <c r="B244" s="170" t="s">
        <v>255</v>
      </c>
      <c r="C244" s="171" t="s">
        <v>41</v>
      </c>
      <c r="D244" s="91">
        <v>533965879.63</v>
      </c>
      <c r="E244" s="92">
        <f t="shared" si="189"/>
        <v>3.1841733224539176E-2</v>
      </c>
      <c r="F244" s="88">
        <v>39.840000000000003</v>
      </c>
      <c r="G244" s="88">
        <v>40.369999999999997</v>
      </c>
      <c r="H244" s="93">
        <v>195</v>
      </c>
      <c r="I244" s="49">
        <v>3.0999999999999999E-3</v>
      </c>
      <c r="J244" s="49">
        <v>0.39319999999999999</v>
      </c>
      <c r="K244" s="91">
        <v>525207799.88999999</v>
      </c>
      <c r="L244" s="92">
        <f t="shared" si="190"/>
        <v>3.1471479740467691E-2</v>
      </c>
      <c r="M244" s="88">
        <v>39.19</v>
      </c>
      <c r="N244" s="88">
        <v>39.729999999999997</v>
      </c>
      <c r="O244" s="93">
        <v>218</v>
      </c>
      <c r="P244" s="49">
        <v>-1.6400000000000001E-2</v>
      </c>
      <c r="Q244" s="49">
        <v>0.37030000000000002</v>
      </c>
      <c r="R244" s="54">
        <f t="shared" si="191"/>
        <v>-1.640194640539341E-2</v>
      </c>
      <c r="S244" s="54">
        <f t="shared" si="192"/>
        <v>-1.585335645281151E-2</v>
      </c>
      <c r="T244" s="54">
        <f t="shared" si="193"/>
        <v>0.11794871794871795</v>
      </c>
      <c r="U244" s="54">
        <f t="shared" si="194"/>
        <v>-1.95E-2</v>
      </c>
      <c r="V244" s="55">
        <f t="shared" si="195"/>
        <v>-2.2899999999999976E-2</v>
      </c>
    </row>
    <row r="245" spans="1:26">
      <c r="A245" s="169">
        <v>4</v>
      </c>
      <c r="B245" s="170" t="s">
        <v>256</v>
      </c>
      <c r="C245" s="171" t="s">
        <v>41</v>
      </c>
      <c r="D245" s="91">
        <v>1139293515.4300001</v>
      </c>
      <c r="E245" s="92">
        <f t="shared" si="189"/>
        <v>6.7938948098906396E-2</v>
      </c>
      <c r="F245" s="88">
        <v>85.49</v>
      </c>
      <c r="G245" s="88">
        <v>86.17</v>
      </c>
      <c r="H245" s="93">
        <v>230</v>
      </c>
      <c r="I245" s="49">
        <v>-1.8599999999999998E-2</v>
      </c>
      <c r="J245" s="49">
        <v>0.28870000000000001</v>
      </c>
      <c r="K245" s="91">
        <v>1109942953.4200001</v>
      </c>
      <c r="L245" s="92">
        <f t="shared" si="190"/>
        <v>6.6509955067210552E-2</v>
      </c>
      <c r="M245" s="88">
        <v>83.29</v>
      </c>
      <c r="N245" s="88">
        <v>83.99</v>
      </c>
      <c r="O245" s="93">
        <v>261</v>
      </c>
      <c r="P245" s="49">
        <v>-2.58E-2</v>
      </c>
      <c r="Q245" s="49">
        <v>0.2555</v>
      </c>
      <c r="R245" s="54">
        <f t="shared" si="191"/>
        <v>-2.5762072383008604E-2</v>
      </c>
      <c r="S245" s="54">
        <f t="shared" si="192"/>
        <v>-2.5298827898340568E-2</v>
      </c>
      <c r="T245" s="54">
        <f t="shared" si="193"/>
        <v>0.13478260869565217</v>
      </c>
      <c r="U245" s="54">
        <f t="shared" si="194"/>
        <v>-7.2000000000000015E-3</v>
      </c>
      <c r="V245" s="55">
        <f t="shared" si="195"/>
        <v>-3.3200000000000007E-2</v>
      </c>
    </row>
    <row r="246" spans="1:26">
      <c r="A246" s="169">
        <v>5</v>
      </c>
      <c r="B246" s="170" t="s">
        <v>257</v>
      </c>
      <c r="C246" s="171" t="s">
        <v>258</v>
      </c>
      <c r="D246" s="91">
        <v>1639074898.24</v>
      </c>
      <c r="E246" s="92">
        <f t="shared" si="189"/>
        <v>9.774217349048854E-2</v>
      </c>
      <c r="F246" s="88">
        <v>102300</v>
      </c>
      <c r="G246" s="88">
        <v>157000</v>
      </c>
      <c r="H246" s="93">
        <v>296</v>
      </c>
      <c r="I246" s="49">
        <v>2.5999999999999999E-2</v>
      </c>
      <c r="J246" s="49">
        <v>0.3</v>
      </c>
      <c r="K246" s="91">
        <v>1708872260.8199999</v>
      </c>
      <c r="L246" s="92">
        <f t="shared" si="190"/>
        <v>0.10239897188638047</v>
      </c>
      <c r="M246" s="88">
        <v>49600</v>
      </c>
      <c r="N246" s="88">
        <v>53950</v>
      </c>
      <c r="O246" s="93">
        <v>296</v>
      </c>
      <c r="P246" s="49">
        <v>4.2999999999999997E-2</v>
      </c>
      <c r="Q246" s="49">
        <v>0.36</v>
      </c>
      <c r="R246" s="54">
        <f t="shared" si="191"/>
        <v>4.2583388138605918E-2</v>
      </c>
      <c r="S246" s="54">
        <f t="shared" si="192"/>
        <v>-0.65636942675159238</v>
      </c>
      <c r="T246" s="54">
        <f t="shared" si="193"/>
        <v>0</v>
      </c>
      <c r="U246" s="54">
        <f t="shared" si="194"/>
        <v>1.6999999999999998E-2</v>
      </c>
      <c r="V246" s="55">
        <f t="shared" si="195"/>
        <v>0.06</v>
      </c>
    </row>
    <row r="247" spans="1:26">
      <c r="A247" s="169">
        <v>6</v>
      </c>
      <c r="B247" s="170" t="s">
        <v>259</v>
      </c>
      <c r="C247" s="171" t="s">
        <v>260</v>
      </c>
      <c r="D247" s="91">
        <v>909373885.97000003</v>
      </c>
      <c r="E247" s="92">
        <f t="shared" si="189"/>
        <v>5.4228260237308999E-2</v>
      </c>
      <c r="F247" s="88">
        <v>586.1</v>
      </c>
      <c r="G247" s="88">
        <v>586.1</v>
      </c>
      <c r="H247" s="93">
        <v>149</v>
      </c>
      <c r="I247" s="49">
        <v>-4.7999999999999996E-3</v>
      </c>
      <c r="J247" s="49">
        <v>0.38290000000000002</v>
      </c>
      <c r="K247" s="91">
        <v>902433771.35000002</v>
      </c>
      <c r="L247" s="92">
        <f t="shared" si="190"/>
        <v>5.4075598568992495E-2</v>
      </c>
      <c r="M247" s="88">
        <v>586.11</v>
      </c>
      <c r="N247" s="88">
        <v>586.11</v>
      </c>
      <c r="O247" s="93">
        <v>149</v>
      </c>
      <c r="P247" s="49">
        <v>-7.6E-3</v>
      </c>
      <c r="Q247" s="49">
        <v>0.3725</v>
      </c>
      <c r="R247" s="54">
        <f t="shared" si="191"/>
        <v>-7.6317505121638795E-3</v>
      </c>
      <c r="S247" s="54">
        <f t="shared" si="192"/>
        <v>1.7061934823393457E-5</v>
      </c>
      <c r="T247" s="54">
        <f t="shared" si="193"/>
        <v>0</v>
      </c>
      <c r="U247" s="54">
        <f t="shared" si="194"/>
        <v>-2.8000000000000004E-3</v>
      </c>
      <c r="V247" s="55">
        <f t="shared" si="195"/>
        <v>-1.040000000000002E-2</v>
      </c>
    </row>
    <row r="248" spans="1:26">
      <c r="A248" s="169">
        <v>7</v>
      </c>
      <c r="B248" s="170" t="s">
        <v>261</v>
      </c>
      <c r="C248" s="171" t="s">
        <v>260</v>
      </c>
      <c r="D248" s="91">
        <v>966933938.85000002</v>
      </c>
      <c r="E248" s="92">
        <f t="shared" si="189"/>
        <v>5.7660711482068937E-2</v>
      </c>
      <c r="F248" s="88">
        <v>420</v>
      </c>
      <c r="G248" s="88">
        <v>420</v>
      </c>
      <c r="H248" s="93">
        <v>733</v>
      </c>
      <c r="I248" s="49">
        <v>1.9E-3</v>
      </c>
      <c r="J248" s="49">
        <v>0.32590000000000002</v>
      </c>
      <c r="K248" s="91">
        <v>960397763.21000004</v>
      </c>
      <c r="L248" s="92">
        <f t="shared" si="190"/>
        <v>5.7548914456305458E-2</v>
      </c>
      <c r="M248" s="88">
        <v>434.99</v>
      </c>
      <c r="N248" s="88">
        <v>434.99</v>
      </c>
      <c r="O248" s="93">
        <v>841</v>
      </c>
      <c r="P248" s="49">
        <v>-6.7999999999999996E-3</v>
      </c>
      <c r="Q248" s="49">
        <v>0.317</v>
      </c>
      <c r="R248" s="54">
        <f t="shared" si="191"/>
        <v>-6.7596920300197873E-3</v>
      </c>
      <c r="S248" s="54">
        <f t="shared" si="192"/>
        <v>3.569047619047621E-2</v>
      </c>
      <c r="T248" s="54">
        <f t="shared" si="193"/>
        <v>0.14733969986357434</v>
      </c>
      <c r="U248" s="54">
        <f t="shared" si="194"/>
        <v>-8.6999999999999994E-3</v>
      </c>
      <c r="V248" s="55">
        <f t="shared" si="195"/>
        <v>-8.900000000000019E-3</v>
      </c>
    </row>
    <row r="249" spans="1:26">
      <c r="A249" s="169">
        <v>8</v>
      </c>
      <c r="B249" s="170" t="s">
        <v>262</v>
      </c>
      <c r="C249" s="171" t="s">
        <v>263</v>
      </c>
      <c r="D249" s="91">
        <v>114189694.23999999</v>
      </c>
      <c r="E249" s="92">
        <f t="shared" si="189"/>
        <v>6.8094197020627297E-3</v>
      </c>
      <c r="F249" s="88">
        <v>31.86</v>
      </c>
      <c r="G249" s="88">
        <v>31.96</v>
      </c>
      <c r="H249" s="93">
        <v>149</v>
      </c>
      <c r="I249" s="49">
        <v>7.6899999999999996E-2</v>
      </c>
      <c r="J249" s="49">
        <v>1.0348999999999999</v>
      </c>
      <c r="K249" s="91">
        <v>112633690.05</v>
      </c>
      <c r="L249" s="92">
        <f t="shared" si="190"/>
        <v>6.7492312476035354E-3</v>
      </c>
      <c r="M249" s="88">
        <v>31.48</v>
      </c>
      <c r="N249" s="88">
        <v>31.58</v>
      </c>
      <c r="O249" s="93">
        <v>149</v>
      </c>
      <c r="P249" s="49">
        <v>0</v>
      </c>
      <c r="Q249" s="49">
        <v>1.0348999999999999</v>
      </c>
      <c r="R249" s="54">
        <f t="shared" si="191"/>
        <v>-1.3626485300237702E-2</v>
      </c>
      <c r="S249" s="54">
        <f t="shared" si="192"/>
        <v>-1.1889862327909968E-2</v>
      </c>
      <c r="T249" s="54">
        <f t="shared" si="193"/>
        <v>0</v>
      </c>
      <c r="U249" s="54">
        <f t="shared" si="194"/>
        <v>-7.6899999999999996E-2</v>
      </c>
      <c r="V249" s="55">
        <f t="shared" si="195"/>
        <v>0</v>
      </c>
    </row>
    <row r="250" spans="1:26">
      <c r="A250" s="169">
        <v>9</v>
      </c>
      <c r="B250" s="170" t="s">
        <v>264</v>
      </c>
      <c r="C250" s="171" t="s">
        <v>263</v>
      </c>
      <c r="D250" s="94">
        <v>954885114.97000003</v>
      </c>
      <c r="E250" s="92">
        <f t="shared" si="189"/>
        <v>5.6942209700789836E-2</v>
      </c>
      <c r="F250" s="88">
        <v>15.24</v>
      </c>
      <c r="G250" s="88">
        <v>15.34</v>
      </c>
      <c r="H250" s="93">
        <v>200</v>
      </c>
      <c r="I250" s="49">
        <v>-5.6099999999999997E-2</v>
      </c>
      <c r="J250" s="49">
        <v>0.38990000000000002</v>
      </c>
      <c r="K250" s="94">
        <v>954885114.97000003</v>
      </c>
      <c r="L250" s="92">
        <f t="shared" si="190"/>
        <v>5.7218585779850499E-2</v>
      </c>
      <c r="M250" s="88">
        <v>15</v>
      </c>
      <c r="N250" s="88">
        <v>15.1</v>
      </c>
      <c r="O250" s="93">
        <v>203</v>
      </c>
      <c r="P250" s="49">
        <v>-3.1E-2</v>
      </c>
      <c r="Q250" s="49">
        <v>0.3468</v>
      </c>
      <c r="R250" s="54">
        <f t="shared" si="191"/>
        <v>0</v>
      </c>
      <c r="S250" s="54">
        <f t="shared" si="192"/>
        <v>-1.5645371577574983E-2</v>
      </c>
      <c r="T250" s="54">
        <f t="shared" si="193"/>
        <v>1.4999999999999999E-2</v>
      </c>
      <c r="U250" s="54">
        <f t="shared" si="194"/>
        <v>2.5099999999999997E-2</v>
      </c>
      <c r="V250" s="55">
        <f t="shared" si="195"/>
        <v>-4.3100000000000027E-2</v>
      </c>
    </row>
    <row r="251" spans="1:26" ht="15" customHeight="1">
      <c r="A251" s="169">
        <v>10</v>
      </c>
      <c r="B251" s="170" t="s">
        <v>265</v>
      </c>
      <c r="C251" s="171" t="s">
        <v>263</v>
      </c>
      <c r="D251" s="91">
        <v>116084225.01000001</v>
      </c>
      <c r="E251" s="92">
        <f t="shared" si="189"/>
        <v>6.9223953540010564E-3</v>
      </c>
      <c r="F251" s="88">
        <v>139.52000000000001</v>
      </c>
      <c r="G251" s="88">
        <v>141.52000000000001</v>
      </c>
      <c r="H251" s="93">
        <v>365</v>
      </c>
      <c r="I251" s="49">
        <v>-4.7600000000000003E-2</v>
      </c>
      <c r="J251" s="49">
        <v>0.21249999999999999</v>
      </c>
      <c r="K251" s="91">
        <v>116235032.41</v>
      </c>
      <c r="L251" s="92">
        <f t="shared" si="190"/>
        <v>6.9650307333403542E-3</v>
      </c>
      <c r="M251" s="88">
        <v>139.69999999999999</v>
      </c>
      <c r="N251" s="88">
        <v>141.69999999999999</v>
      </c>
      <c r="O251" s="93">
        <v>371</v>
      </c>
      <c r="P251" s="49">
        <v>7.0099999999999996E-2</v>
      </c>
      <c r="Q251" s="49">
        <v>0.29749999999999999</v>
      </c>
      <c r="R251" s="54">
        <f t="shared" si="191"/>
        <v>1.2991205306922611E-3</v>
      </c>
      <c r="S251" s="54">
        <f t="shared" si="192"/>
        <v>1.2719050310908591E-3</v>
      </c>
      <c r="T251" s="54">
        <f t="shared" si="193"/>
        <v>1.643835616438356E-2</v>
      </c>
      <c r="U251" s="54">
        <f t="shared" si="194"/>
        <v>0.1177</v>
      </c>
      <c r="V251" s="55">
        <f t="shared" si="195"/>
        <v>8.4999999999999992E-2</v>
      </c>
    </row>
    <row r="252" spans="1:26">
      <c r="A252" s="169">
        <v>11</v>
      </c>
      <c r="B252" s="170" t="s">
        <v>266</v>
      </c>
      <c r="C252" s="171" t="s">
        <v>263</v>
      </c>
      <c r="D252" s="91">
        <v>7195196492.0799999</v>
      </c>
      <c r="E252" s="92">
        <f t="shared" si="189"/>
        <v>0.4290677287427177</v>
      </c>
      <c r="F252" s="88">
        <v>51.4</v>
      </c>
      <c r="G252" s="88">
        <v>51.6</v>
      </c>
      <c r="H252" s="93">
        <v>388</v>
      </c>
      <c r="I252" s="49">
        <v>-7.2700000000000001E-2</v>
      </c>
      <c r="J252" s="49">
        <v>0.35639999999999999</v>
      </c>
      <c r="K252" s="91">
        <v>7138916811.9099998</v>
      </c>
      <c r="L252" s="92">
        <f t="shared" si="190"/>
        <v>0.42777787356159852</v>
      </c>
      <c r="M252" s="88">
        <v>51.01</v>
      </c>
      <c r="N252" s="88">
        <v>51.21</v>
      </c>
      <c r="O252" s="93">
        <v>398</v>
      </c>
      <c r="P252" s="49">
        <v>0</v>
      </c>
      <c r="Q252" s="49">
        <v>0.35639999999999999</v>
      </c>
      <c r="R252" s="54">
        <f t="shared" si="191"/>
        <v>-7.8218406171324233E-3</v>
      </c>
      <c r="S252" s="54">
        <f t="shared" si="192"/>
        <v>-7.5581395348837321E-3</v>
      </c>
      <c r="T252" s="54">
        <f t="shared" si="193"/>
        <v>2.5773195876288658E-2</v>
      </c>
      <c r="U252" s="54">
        <f t="shared" si="194"/>
        <v>7.2700000000000001E-2</v>
      </c>
      <c r="V252" s="55">
        <f t="shared" si="195"/>
        <v>0</v>
      </c>
    </row>
    <row r="253" spans="1:26">
      <c r="A253" s="169">
        <v>12</v>
      </c>
      <c r="B253" s="170" t="s">
        <v>267</v>
      </c>
      <c r="C253" s="171" t="s">
        <v>263</v>
      </c>
      <c r="D253" s="94">
        <v>86956532.159999996</v>
      </c>
      <c r="E253" s="92">
        <f t="shared" si="189"/>
        <v>5.1854375060226571E-3</v>
      </c>
      <c r="F253" s="88">
        <v>49.65</v>
      </c>
      <c r="G253" s="88">
        <v>49.85</v>
      </c>
      <c r="H253" s="93">
        <v>137</v>
      </c>
      <c r="I253" s="49">
        <v>-0.01</v>
      </c>
      <c r="J253" s="49">
        <v>0.18279999999999999</v>
      </c>
      <c r="K253" s="94">
        <v>85011167.919</v>
      </c>
      <c r="L253" s="92">
        <f t="shared" si="190"/>
        <v>5.0940356358695543E-3</v>
      </c>
      <c r="M253" s="88">
        <v>48.61</v>
      </c>
      <c r="N253" s="88">
        <v>48.81</v>
      </c>
      <c r="O253" s="93">
        <v>140</v>
      </c>
      <c r="P253" s="49">
        <v>-5.7000000000000002E-3</v>
      </c>
      <c r="Q253" s="49">
        <v>0.17610000000000001</v>
      </c>
      <c r="R253" s="54">
        <f t="shared" si="191"/>
        <v>-2.23716860904771E-2</v>
      </c>
      <c r="S253" s="54">
        <f t="shared" si="192"/>
        <v>-2.0862587763289853E-2</v>
      </c>
      <c r="T253" s="54">
        <f t="shared" si="193"/>
        <v>2.1897810218978103E-2</v>
      </c>
      <c r="U253" s="54">
        <f t="shared" si="194"/>
        <v>4.3E-3</v>
      </c>
      <c r="V253" s="55">
        <f t="shared" si="195"/>
        <v>-6.6999999999999837E-3</v>
      </c>
    </row>
    <row r="254" spans="1:26">
      <c r="A254" s="125"/>
      <c r="B254" s="125"/>
      <c r="C254" s="126" t="s">
        <v>268</v>
      </c>
      <c r="D254" s="87">
        <f>SUM(D242:D253)</f>
        <v>16769372316.030001</v>
      </c>
      <c r="E254" s="89"/>
      <c r="F254" s="89"/>
      <c r="G254" s="90"/>
      <c r="H254" s="87">
        <f>SUM(H242:H253)</f>
        <v>3346</v>
      </c>
      <c r="I254" s="110"/>
      <c r="J254" s="110"/>
      <c r="K254" s="87">
        <f>SUM(K242:K253)</f>
        <v>16688373226.209</v>
      </c>
      <c r="L254" s="89"/>
      <c r="M254" s="89"/>
      <c r="N254" s="90"/>
      <c r="O254" s="87">
        <f>SUM(O242:O253)</f>
        <v>3530</v>
      </c>
      <c r="P254" s="110"/>
      <c r="Q254" s="110"/>
      <c r="R254" s="54">
        <f t="shared" si="191"/>
        <v>-4.8301801817336515E-3</v>
      </c>
      <c r="S254" s="54" t="e">
        <f t="shared" si="192"/>
        <v>#DIV/0!</v>
      </c>
      <c r="T254" s="54">
        <f t="shared" si="193"/>
        <v>5.4991034070531977E-2</v>
      </c>
      <c r="U254" s="54">
        <f t="shared" si="194"/>
        <v>0</v>
      </c>
      <c r="V254" s="55">
        <f t="shared" si="195"/>
        <v>0</v>
      </c>
      <c r="Z254" s="62"/>
    </row>
    <row r="255" spans="1:26">
      <c r="A255" s="95"/>
      <c r="B255" s="95"/>
      <c r="C255" s="96" t="s">
        <v>269</v>
      </c>
      <c r="D255" s="97">
        <f>SUM(D226,D234,D239,D254)</f>
        <v>6725209558257.6055</v>
      </c>
      <c r="E255" s="98"/>
      <c r="F255" s="98"/>
      <c r="G255" s="99"/>
      <c r="H255" s="97">
        <f>SUM(H226,H234,H239,H254)</f>
        <v>973748</v>
      </c>
      <c r="I255" s="111"/>
      <c r="J255" s="111"/>
      <c r="K255" s="97">
        <f>SUM(K226,K234,K239,K254)</f>
        <v>6707182723560.8486</v>
      </c>
      <c r="L255" s="98"/>
      <c r="M255" s="98"/>
      <c r="N255" s="97"/>
      <c r="O255" s="97">
        <f>SUM(O226,O234,O239,O254)</f>
        <v>980839</v>
      </c>
      <c r="P255" s="112"/>
      <c r="Q255" s="97"/>
      <c r="R255" s="118"/>
      <c r="S255" s="119"/>
      <c r="T255" s="119"/>
      <c r="U255" s="120"/>
      <c r="V255" s="120"/>
      <c r="Z255" s="62"/>
    </row>
    <row r="256" spans="1:26">
      <c r="A256" s="100" t="s">
        <v>270</v>
      </c>
      <c r="B256" s="123" t="s">
        <v>327</v>
      </c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</row>
    <row r="257" spans="2:11">
      <c r="B257" s="122"/>
    </row>
    <row r="258" spans="2:11">
      <c r="B258" s="122"/>
      <c r="C258" s="102"/>
      <c r="D258" s="103"/>
      <c r="K258" s="103"/>
    </row>
    <row r="259" spans="2:11" ht="15">
      <c r="B259" s="104"/>
      <c r="C259" s="105"/>
      <c r="D259" s="106"/>
      <c r="F259" s="107"/>
      <c r="G259" s="107"/>
      <c r="I259" s="113"/>
      <c r="J259" s="114"/>
    </row>
    <row r="260" spans="2:11">
      <c r="C260" s="122"/>
    </row>
    <row r="262" spans="2:11">
      <c r="B262" s="102"/>
    </row>
  </sheetData>
  <sheetProtection algorithmName="SHA-512" hashValue="WYTsld48qa7ZUnIC/KrkvE60RtycypBdgSCIDuwEEg8wgu4PgMhF6clvNLQWvNt2G+26AYqDUihL6VpTjvnH2Q==" saltValue="9SCqI0Fq0OPF+mdad6Q52A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6:V26"/>
    <mergeCell ref="A27:V27"/>
    <mergeCell ref="B71:V71"/>
    <mergeCell ref="A72:V72"/>
    <mergeCell ref="B113:V113"/>
    <mergeCell ref="A114:V114"/>
    <mergeCell ref="A115:V115"/>
    <mergeCell ref="B133:V133"/>
    <mergeCell ref="A134:V134"/>
    <mergeCell ref="B155:V155"/>
    <mergeCell ref="A156:V156"/>
    <mergeCell ref="B164:V164"/>
    <mergeCell ref="A165:V165"/>
    <mergeCell ref="B195:V195"/>
    <mergeCell ref="A196:V196"/>
    <mergeCell ref="B200:V200"/>
    <mergeCell ref="A201:V201"/>
    <mergeCell ref="A202:V202"/>
    <mergeCell ref="A228:V228"/>
    <mergeCell ref="A236:V236"/>
    <mergeCell ref="B240:V240"/>
    <mergeCell ref="A241:V241"/>
    <mergeCell ref="B205:V205"/>
    <mergeCell ref="A206:V206"/>
    <mergeCell ref="B220:V220"/>
    <mergeCell ref="A221:V221"/>
    <mergeCell ref="B227:U227"/>
  </mergeCells>
  <pageMargins left="0.7" right="0.7" top="0.75" bottom="0.75" header="0.3" footer="0.3"/>
  <pageSetup paperSize="9" orientation="portrait" horizontalDpi="300" verticalDpi="300" r:id="rId1"/>
  <ignoredErrors>
    <ignoredError sqref="L97 E97 E77 L49 E49 L34 E34 L139 E139" formula="1"/>
    <ignoredError sqref="S163 S25 S70 S112 S154 S194 S199 S225 S254 T237:T238 R50:T50 R139 R127:T127 R46:T4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zoomScaleNormal="100" workbookViewId="0">
      <selection activeCell="F8" sqref="F8"/>
    </sheetView>
  </sheetViews>
  <sheetFormatPr defaultColWidth="9" defaultRowHeight="14.4"/>
  <cols>
    <col min="1" max="1" width="34" customWidth="1"/>
    <col min="2" max="2" width="17.6640625" customWidth="1"/>
    <col min="3" max="3" width="16.109375" customWidth="1"/>
  </cols>
  <sheetData>
    <row r="1" spans="1:7">
      <c r="A1" s="147"/>
      <c r="B1" s="147"/>
      <c r="C1" s="147"/>
      <c r="D1" s="147"/>
      <c r="E1" s="19"/>
      <c r="F1" s="15"/>
      <c r="G1" s="15"/>
    </row>
    <row r="2" spans="1:7" ht="27.6">
      <c r="A2" s="149" t="s">
        <v>271</v>
      </c>
      <c r="B2" s="150" t="s">
        <v>324</v>
      </c>
      <c r="C2" s="150" t="s">
        <v>328</v>
      </c>
      <c r="D2" s="151"/>
      <c r="E2" s="19"/>
      <c r="F2" s="15"/>
      <c r="G2" s="15"/>
    </row>
    <row r="3" spans="1:7">
      <c r="A3" s="152" t="s">
        <v>15</v>
      </c>
      <c r="B3" s="153">
        <f t="shared" ref="B3:C10" si="0">B13</f>
        <v>68.528972082446614</v>
      </c>
      <c r="C3" s="153">
        <f t="shared" si="0"/>
        <v>67.808284732281905</v>
      </c>
      <c r="D3" s="151"/>
      <c r="E3" s="19"/>
      <c r="F3" s="15"/>
      <c r="G3" s="15"/>
    </row>
    <row r="4" spans="1:7" ht="15.6" customHeight="1">
      <c r="A4" s="149" t="s">
        <v>52</v>
      </c>
      <c r="B4" s="154">
        <f t="shared" si="0"/>
        <v>3754.5716987220148</v>
      </c>
      <c r="C4" s="154">
        <f t="shared" si="0"/>
        <v>3787.5797562952603</v>
      </c>
      <c r="D4" s="151"/>
      <c r="E4" s="19"/>
      <c r="F4" s="15"/>
      <c r="G4" s="15"/>
    </row>
    <row r="5" spans="1:7" ht="16.2" customHeight="1">
      <c r="A5" s="149" t="s">
        <v>272</v>
      </c>
      <c r="B5" s="153">
        <f t="shared" si="0"/>
        <v>230.77844652529001</v>
      </c>
      <c r="C5" s="153">
        <f t="shared" si="0"/>
        <v>190.62329642820998</v>
      </c>
      <c r="D5" s="151"/>
      <c r="E5" s="19"/>
      <c r="F5" s="15"/>
      <c r="G5" s="15"/>
    </row>
    <row r="6" spans="1:7">
      <c r="A6" s="149" t="s">
        <v>152</v>
      </c>
      <c r="B6" s="154">
        <f t="shared" si="0"/>
        <v>1993.2558430402494</v>
      </c>
      <c r="C6" s="154">
        <f t="shared" si="0"/>
        <v>1984.0052773109985</v>
      </c>
      <c r="D6" s="151"/>
      <c r="E6" s="19"/>
      <c r="F6" s="15"/>
      <c r="G6" s="15"/>
    </row>
    <row r="7" spans="1:7">
      <c r="A7" s="149" t="s">
        <v>273</v>
      </c>
      <c r="B7" s="153">
        <f t="shared" si="0"/>
        <v>363.35921800173003</v>
      </c>
      <c r="C7" s="153">
        <f t="shared" si="0"/>
        <v>364.05462403551996</v>
      </c>
      <c r="D7" s="151"/>
      <c r="E7" s="19"/>
      <c r="F7" s="15"/>
      <c r="G7" s="15"/>
    </row>
    <row r="8" spans="1:7">
      <c r="A8" s="149" t="s">
        <v>189</v>
      </c>
      <c r="B8" s="155">
        <f t="shared" si="0"/>
        <v>75.60027828682874</v>
      </c>
      <c r="C8" s="155">
        <f t="shared" si="0"/>
        <v>75.412808907360187</v>
      </c>
      <c r="D8" s="151"/>
      <c r="E8" s="19"/>
      <c r="F8" s="15"/>
      <c r="G8" s="15"/>
    </row>
    <row r="9" spans="1:7">
      <c r="A9" s="149" t="s">
        <v>219</v>
      </c>
      <c r="B9" s="153">
        <f t="shared" si="0"/>
        <v>8.1990665477500002</v>
      </c>
      <c r="C9" s="153">
        <f t="shared" si="0"/>
        <v>8.0216381293700003</v>
      </c>
      <c r="D9" s="151"/>
      <c r="E9" s="19"/>
      <c r="F9" s="15"/>
      <c r="G9" s="15"/>
    </row>
    <row r="10" spans="1:7">
      <c r="A10" s="149" t="s">
        <v>274</v>
      </c>
      <c r="B10" s="153">
        <f t="shared" si="0"/>
        <v>66.65721288332</v>
      </c>
      <c r="C10" s="153">
        <f t="shared" si="0"/>
        <v>65.348690718929987</v>
      </c>
      <c r="D10" s="151"/>
      <c r="E10" s="19"/>
      <c r="F10" s="15"/>
      <c r="G10" s="15"/>
    </row>
    <row r="11" spans="1:7">
      <c r="A11" s="149"/>
      <c r="B11" s="153"/>
      <c r="C11" s="153"/>
      <c r="D11" s="151"/>
      <c r="E11" s="19"/>
      <c r="F11" s="15"/>
      <c r="G11" s="15"/>
    </row>
    <row r="12" spans="1:7">
      <c r="A12" s="147"/>
      <c r="B12" s="147"/>
      <c r="C12" s="147"/>
      <c r="D12" s="147"/>
      <c r="E12" s="19"/>
      <c r="F12" s="15"/>
      <c r="G12" s="15"/>
    </row>
    <row r="13" spans="1:7">
      <c r="A13" s="156" t="s">
        <v>15</v>
      </c>
      <c r="B13" s="157">
        <f>'Weekly Valuation'!D25/1000000000</f>
        <v>68.528972082446614</v>
      </c>
      <c r="C13" s="158">
        <f>'Weekly Valuation'!K25/1000000000</f>
        <v>67.808284732281905</v>
      </c>
      <c r="D13" s="147"/>
      <c r="E13" s="19"/>
      <c r="F13" s="15"/>
      <c r="G13" s="15"/>
    </row>
    <row r="14" spans="1:7">
      <c r="A14" s="159" t="s">
        <v>52</v>
      </c>
      <c r="B14" s="157">
        <f>'Weekly Valuation'!D70/1000000000</f>
        <v>3754.5716987220148</v>
      </c>
      <c r="C14" s="160">
        <f>'Weekly Valuation'!K70/1000000000</f>
        <v>3787.5797562952603</v>
      </c>
      <c r="D14" s="147"/>
      <c r="E14" s="19"/>
      <c r="F14" s="15"/>
      <c r="G14" s="15"/>
    </row>
    <row r="15" spans="1:7">
      <c r="A15" s="159" t="s">
        <v>272</v>
      </c>
      <c r="B15" s="157">
        <f>'Weekly Valuation'!D112/1000000000</f>
        <v>230.77844652529001</v>
      </c>
      <c r="C15" s="158">
        <f>'Weekly Valuation'!K112/1000000000</f>
        <v>190.62329642820998</v>
      </c>
      <c r="D15" s="147"/>
      <c r="E15" s="19"/>
      <c r="F15" s="15"/>
      <c r="G15" s="15"/>
    </row>
    <row r="16" spans="1:7">
      <c r="A16" s="159" t="s">
        <v>152</v>
      </c>
      <c r="B16" s="157">
        <f>'Weekly Valuation'!D154/1000000000</f>
        <v>1993.2558430402494</v>
      </c>
      <c r="C16" s="160">
        <f>'Weekly Valuation'!K154/1000000000</f>
        <v>1984.0052773109985</v>
      </c>
      <c r="D16" s="147"/>
      <c r="E16" s="19"/>
      <c r="F16" s="15"/>
      <c r="G16" s="15"/>
    </row>
    <row r="17" spans="1:7">
      <c r="A17" s="159" t="s">
        <v>273</v>
      </c>
      <c r="B17" s="157">
        <f>'Weekly Valuation'!D163/1000000000</f>
        <v>363.35921800173003</v>
      </c>
      <c r="C17" s="158">
        <f>'Weekly Valuation'!K163/1000000000</f>
        <v>364.05462403551996</v>
      </c>
      <c r="D17" s="147"/>
      <c r="E17" s="19"/>
      <c r="F17" s="15"/>
      <c r="G17" s="15"/>
    </row>
    <row r="18" spans="1:7">
      <c r="A18" s="159" t="s">
        <v>189</v>
      </c>
      <c r="B18" s="157">
        <f>'Weekly Valuation'!D194/1000000000</f>
        <v>75.60027828682874</v>
      </c>
      <c r="C18" s="161">
        <f>'Weekly Valuation'!K194/1000000000</f>
        <v>75.412808907360187</v>
      </c>
      <c r="D18" s="147"/>
      <c r="E18" s="19"/>
      <c r="F18" s="15"/>
      <c r="G18" s="15"/>
    </row>
    <row r="19" spans="1:7">
      <c r="A19" s="159" t="s">
        <v>219</v>
      </c>
      <c r="B19" s="157">
        <f>'Weekly Valuation'!D199/1000000000</f>
        <v>8.1990665477500002</v>
      </c>
      <c r="C19" s="158">
        <f>'Weekly Valuation'!K199/1000000000</f>
        <v>8.0216381293700003</v>
      </c>
      <c r="D19" s="147"/>
      <c r="E19" s="19"/>
      <c r="F19" s="15"/>
      <c r="G19" s="15"/>
    </row>
    <row r="20" spans="1:7">
      <c r="A20" s="159" t="s">
        <v>274</v>
      </c>
      <c r="B20" s="157">
        <f>'Weekly Valuation'!D225/1000000000</f>
        <v>66.65721288332</v>
      </c>
      <c r="C20" s="158">
        <f>'Weekly Valuation'!K225/1000000000</f>
        <v>65.348690718929987</v>
      </c>
      <c r="D20" s="147"/>
      <c r="E20" s="19"/>
      <c r="F20" s="15"/>
      <c r="G20" s="15"/>
    </row>
    <row r="21" spans="1:7">
      <c r="A21" s="144"/>
      <c r="B21" s="147"/>
      <c r="C21" s="146"/>
      <c r="D21" s="147"/>
      <c r="E21" s="19"/>
      <c r="F21" s="15"/>
      <c r="G21" s="15"/>
    </row>
    <row r="22" spans="1:7">
      <c r="A22" s="144"/>
      <c r="B22" s="147"/>
      <c r="C22" s="145"/>
      <c r="D22" s="147"/>
      <c r="E22" s="19"/>
      <c r="F22" s="15"/>
      <c r="G22" s="15"/>
    </row>
    <row r="23" spans="1:7">
      <c r="A23" s="135"/>
      <c r="B23" s="136"/>
      <c r="C23" s="134"/>
      <c r="D23" s="19"/>
      <c r="E23" s="19"/>
      <c r="F23" s="15"/>
      <c r="G23" s="15"/>
    </row>
    <row r="24" spans="1:7">
      <c r="A24" s="135"/>
      <c r="B24" s="136"/>
      <c r="C24" s="136"/>
      <c r="D24" s="19"/>
      <c r="E24" s="15"/>
      <c r="F24" s="15"/>
      <c r="G24" s="15"/>
    </row>
    <row r="25" spans="1:7">
      <c r="A25" s="135"/>
      <c r="B25" s="136"/>
      <c r="C25" s="136"/>
      <c r="D25" s="19"/>
      <c r="E25" s="15"/>
      <c r="F25" s="15"/>
      <c r="G25" s="15"/>
    </row>
    <row r="26" spans="1:7">
      <c r="A26" s="135"/>
      <c r="B26" s="136"/>
      <c r="C26" s="136"/>
      <c r="D26" s="19"/>
      <c r="E26" s="19"/>
      <c r="F26" s="19"/>
      <c r="G26" s="15"/>
    </row>
    <row r="27" spans="1:7">
      <c r="A27" s="135"/>
      <c r="B27" s="136"/>
      <c r="C27" s="136"/>
      <c r="D27" s="19"/>
      <c r="E27" s="19"/>
      <c r="F27" s="19"/>
      <c r="G27" s="15"/>
    </row>
    <row r="28" spans="1:7">
      <c r="A28" s="19"/>
      <c r="B28" s="19"/>
      <c r="C28" s="19"/>
      <c r="D28" s="19"/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sheetProtection algorithmName="SHA-512" hashValue="JeMDbF1LCzkU9xG5GMOPqXPR4Y6aRSr1wWEp2hOnuFQ/aLQkVzpIft4BKdLJE9pl4BZyCc3ntWWCI9tNYPQWlQ==" saltValue="aNbB9TRNMd1dQo6WsK5Vf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I12" sqref="I12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42" t="s">
        <v>271</v>
      </c>
      <c r="B1" s="143">
        <v>45904</v>
      </c>
      <c r="C1" s="19"/>
      <c r="D1" s="19"/>
      <c r="E1" s="19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44" t="s">
        <v>219</v>
      </c>
      <c r="B2" s="145">
        <f>'Weekly Valuation'!K199</f>
        <v>8021638129.3699999</v>
      </c>
      <c r="C2" s="19"/>
      <c r="D2" s="19"/>
      <c r="E2" s="19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44" t="s">
        <v>15</v>
      </c>
      <c r="B3" s="145">
        <f>'Weekly Valuation'!K25</f>
        <v>67808284732.281898</v>
      </c>
      <c r="C3" s="19"/>
      <c r="D3" s="19"/>
      <c r="E3" s="1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44" t="s">
        <v>274</v>
      </c>
      <c r="B4" s="134">
        <f>'Weekly Valuation'!K225</f>
        <v>65348690718.929993</v>
      </c>
      <c r="C4" s="19"/>
      <c r="D4" s="19"/>
      <c r="E4" s="19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44" t="s">
        <v>189</v>
      </c>
      <c r="B5" s="145">
        <f>'Weekly Valuation'!K194</f>
        <v>75412808907.360184</v>
      </c>
      <c r="C5" s="19"/>
      <c r="D5" s="19"/>
      <c r="E5" s="19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44" t="s">
        <v>273</v>
      </c>
      <c r="B6" s="145">
        <f>'Weekly Valuation'!K163</f>
        <v>364054624035.51996</v>
      </c>
      <c r="C6" s="19"/>
      <c r="D6" s="19"/>
      <c r="E6" s="1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44" t="s">
        <v>272</v>
      </c>
      <c r="B7" s="145">
        <f>'Weekly Valuation'!K112</f>
        <v>190623296428.20999</v>
      </c>
      <c r="C7" s="19"/>
      <c r="D7" s="19"/>
      <c r="E7" s="19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44" t="s">
        <v>152</v>
      </c>
      <c r="B8" s="146">
        <f>'Weekly Valuation'!K154</f>
        <v>1984005277310.9985</v>
      </c>
      <c r="C8" s="19"/>
      <c r="D8" s="19"/>
      <c r="E8" s="1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44" t="s">
        <v>52</v>
      </c>
      <c r="B9" s="146">
        <f>'Weekly Valuation'!K70</f>
        <v>3787579756295.2603</v>
      </c>
      <c r="C9" s="19"/>
      <c r="D9" s="19"/>
      <c r="E9" s="19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47"/>
      <c r="B10" s="147"/>
      <c r="C10" s="19"/>
      <c r="D10" s="19"/>
      <c r="E10" s="19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44"/>
      <c r="B11" s="148"/>
      <c r="C11" s="19"/>
      <c r="D11" s="19"/>
      <c r="E11" s="19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44"/>
      <c r="B12" s="19"/>
      <c r="C12" s="19"/>
      <c r="D12" s="19"/>
      <c r="E12" s="1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36"/>
      <c r="B13" s="136"/>
      <c r="C13" s="19"/>
      <c r="D13" s="19"/>
      <c r="E13" s="1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36"/>
      <c r="B14" s="136"/>
      <c r="C14" s="19"/>
      <c r="D14" s="19"/>
      <c r="E14" s="19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44"/>
      <c r="B15" s="134"/>
      <c r="C15" s="19"/>
      <c r="D15" s="19"/>
      <c r="E15" s="19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136"/>
      <c r="B16" s="136"/>
      <c r="C16" s="19"/>
      <c r="D16" s="19"/>
      <c r="E16" s="19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136"/>
      <c r="B17" s="136"/>
      <c r="C17" s="19"/>
      <c r="D17" s="19"/>
      <c r="E17" s="19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68"/>
      <c r="B18" s="136"/>
      <c r="C18" s="19"/>
      <c r="D18" s="19"/>
      <c r="E18" s="19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31"/>
      <c r="B19" s="131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31"/>
      <c r="B20" s="131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133"/>
      <c r="B21" s="131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31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20"/>
    </row>
    <row r="33" spans="1:17" ht="15" customHeight="1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20"/>
    </row>
  </sheetData>
  <sheetProtection algorithmName="SHA-512" hashValue="4+CjX9S26swe9EPh5wBslNPlHnGD2I36QmDM1o2lskPlqIvoBLQesroufvQy2gzyoeuxi9v5eXjvXAIGFNBong==" saltValue="eGtr/j6kdXDoxVuIAtKSrA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7"/>
  <sheetViews>
    <sheetView zoomScale="110" zoomScaleNormal="110" workbookViewId="0">
      <selection activeCell="E7" sqref="E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  <c r="M1" s="15"/>
    </row>
    <row r="2" spans="1:13">
      <c r="A2" s="137" t="s">
        <v>275</v>
      </c>
      <c r="B2" s="138">
        <v>45856</v>
      </c>
      <c r="C2" s="138">
        <v>45863</v>
      </c>
      <c r="D2" s="138">
        <v>45870</v>
      </c>
      <c r="E2" s="138">
        <v>45877</v>
      </c>
      <c r="F2" s="138">
        <v>45884</v>
      </c>
      <c r="G2" s="138">
        <v>45891</v>
      </c>
      <c r="H2" s="138">
        <v>45898</v>
      </c>
      <c r="I2" s="138">
        <v>45904</v>
      </c>
      <c r="J2" s="19"/>
      <c r="K2" s="19"/>
      <c r="L2" s="15"/>
      <c r="M2" s="15"/>
    </row>
    <row r="3" spans="1:13">
      <c r="A3" s="137" t="s">
        <v>276</v>
      </c>
      <c r="B3" s="139">
        <f t="shared" ref="B3:I3" si="0">B4</f>
        <v>6080.0352810801669</v>
      </c>
      <c r="C3" s="139">
        <f t="shared" si="0"/>
        <v>6160.1611789888411</v>
      </c>
      <c r="D3" s="139">
        <f t="shared" si="0"/>
        <v>6280.3086656737469</v>
      </c>
      <c r="E3" s="139">
        <f t="shared" si="0"/>
        <v>6385.4792470095699</v>
      </c>
      <c r="F3" s="139">
        <f t="shared" si="0"/>
        <v>6450.9481367566641</v>
      </c>
      <c r="G3" s="139">
        <f t="shared" si="0"/>
        <v>6503.8359094696516</v>
      </c>
      <c r="H3" s="139">
        <f t="shared" si="0"/>
        <v>6560.9507360896305</v>
      </c>
      <c r="I3" s="139">
        <f t="shared" si="0"/>
        <v>6542.8543765579298</v>
      </c>
      <c r="J3" s="19"/>
      <c r="K3" s="19"/>
      <c r="L3" s="15"/>
      <c r="M3" s="15"/>
    </row>
    <row r="4" spans="1:13">
      <c r="A4" s="19"/>
      <c r="B4" s="140">
        <f>'NAV Trend'!C10/1000000000</f>
        <v>6080.0352810801669</v>
      </c>
      <c r="C4" s="140">
        <f>'NAV Trend'!D10/1000000000</f>
        <v>6160.1611789888411</v>
      </c>
      <c r="D4" s="140">
        <f>'NAV Trend'!E10/1000000000</f>
        <v>6280.3086656737469</v>
      </c>
      <c r="E4" s="140">
        <f>'NAV Trend'!F10/1000000000</f>
        <v>6385.4792470095699</v>
      </c>
      <c r="F4" s="140">
        <f>'NAV Trend'!G10/1000000000</f>
        <v>6450.9481367566641</v>
      </c>
      <c r="G4" s="140">
        <f>'NAV Trend'!H10/1000000000</f>
        <v>6503.8359094696516</v>
      </c>
      <c r="H4" s="141">
        <f>'NAV Trend'!I10/1000000000</f>
        <v>6560.9507360896305</v>
      </c>
      <c r="I4" s="141">
        <f>'NAV Trend'!J10/1000000000</f>
        <v>6542.8543765579298</v>
      </c>
      <c r="J4" s="19"/>
      <c r="K4" s="19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  <c r="M6" s="15"/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5"/>
      <c r="M7" s="15"/>
    </row>
    <row r="8" spans="1:13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5"/>
      <c r="M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DTHFEjEqJHTuMmjHgA0heIhFryquSdE87yS4KwavVMo79fhTvd30i0PQzVP9f4AAOHxl7Qt7J7fGRgn9FBAbPA==" saltValue="O51QxbHIFTACIqdUgrxtV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F7" sqref="F7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  <c r="N1" s="15"/>
    </row>
    <row r="2" spans="1:14">
      <c r="A2" s="137" t="s">
        <v>275</v>
      </c>
      <c r="B2" s="138">
        <v>45856</v>
      </c>
      <c r="C2" s="138">
        <v>45863</v>
      </c>
      <c r="D2" s="138">
        <v>45870</v>
      </c>
      <c r="E2" s="138">
        <v>45877</v>
      </c>
      <c r="F2" s="138">
        <v>45884</v>
      </c>
      <c r="G2" s="138">
        <v>45891</v>
      </c>
      <c r="H2" s="138">
        <v>45898</v>
      </c>
      <c r="I2" s="138">
        <v>45904</v>
      </c>
      <c r="J2" s="19"/>
      <c r="K2" s="15"/>
      <c r="L2" s="15"/>
      <c r="M2" s="15"/>
      <c r="N2" s="15"/>
    </row>
    <row r="3" spans="1:14">
      <c r="A3" s="137" t="s">
        <v>277</v>
      </c>
      <c r="B3" s="139">
        <f t="shared" ref="B3:I3" si="0">B4</f>
        <v>16.012018416058002</v>
      </c>
      <c r="C3" s="139">
        <f t="shared" si="0"/>
        <v>16.301542614265998</v>
      </c>
      <c r="D3" s="139">
        <f t="shared" si="0"/>
        <v>17.113558632019</v>
      </c>
      <c r="E3" s="139">
        <f t="shared" si="0"/>
        <v>17.395938297309996</v>
      </c>
      <c r="F3" s="139">
        <f t="shared" si="0"/>
        <v>17.188495940759999</v>
      </c>
      <c r="G3" s="139">
        <f t="shared" si="0"/>
        <v>16.805945304309997</v>
      </c>
      <c r="H3" s="139">
        <f t="shared" si="0"/>
        <v>16.769372316030001</v>
      </c>
      <c r="I3" s="139">
        <f t="shared" si="0"/>
        <v>16.688373226208999</v>
      </c>
      <c r="J3" s="19"/>
      <c r="K3" s="15"/>
      <c r="L3" s="15"/>
      <c r="M3" s="15"/>
      <c r="N3" s="15"/>
    </row>
    <row r="4" spans="1:14">
      <c r="A4" s="19"/>
      <c r="B4" s="140">
        <f>'NAV Trend'!C16/1000000000</f>
        <v>16.012018416058002</v>
      </c>
      <c r="C4" s="140">
        <f>'NAV Trend'!D16/1000000000</f>
        <v>16.301542614265998</v>
      </c>
      <c r="D4" s="140">
        <f>'NAV Trend'!E16/1000000000</f>
        <v>17.113558632019</v>
      </c>
      <c r="E4" s="140">
        <f>'NAV Trend'!F16/1000000000</f>
        <v>17.395938297309996</v>
      </c>
      <c r="F4" s="140">
        <f>'NAV Trend'!G16/1000000000</f>
        <v>17.188495940759999</v>
      </c>
      <c r="G4" s="140">
        <f>'NAV Trend'!H16/1000000000</f>
        <v>16.805945304309997</v>
      </c>
      <c r="H4" s="140">
        <f>'NAV Trend'!I16/1000000000</f>
        <v>16.769372316030001</v>
      </c>
      <c r="I4" s="141">
        <f>'NAV Trend'!J16/1000000000</f>
        <v>16.688373226208999</v>
      </c>
      <c r="J4" s="19"/>
      <c r="K4" s="15"/>
      <c r="L4" s="15"/>
      <c r="M4" s="15"/>
      <c r="N4" s="15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  <c r="N5" s="15"/>
    </row>
    <row r="6" spans="1:14">
      <c r="A6" s="19"/>
      <c r="B6" s="19"/>
      <c r="C6" s="19"/>
      <c r="D6" s="19"/>
      <c r="E6" s="19"/>
      <c r="F6" s="19"/>
      <c r="G6" s="19"/>
      <c r="H6" s="19"/>
      <c r="I6" s="19"/>
      <c r="J6" s="19"/>
      <c r="K6" s="15"/>
      <c r="L6" s="15"/>
      <c r="M6" s="15"/>
      <c r="N6" s="15"/>
    </row>
    <row r="7" spans="1:14">
      <c r="A7" s="19"/>
      <c r="B7" s="19"/>
      <c r="C7" s="19"/>
      <c r="D7" s="19"/>
      <c r="E7" s="19"/>
      <c r="F7" s="19"/>
      <c r="G7" s="19"/>
      <c r="H7" s="19"/>
      <c r="I7" s="19"/>
      <c r="J7" s="19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TOM7n3KHE9sgoHbY4k5PcQJOzFiZixmeltWxLAF23vC+hLn+Y00Eqr7D0pqLJzxWorBu1G756kn49jxYptLJ8A==" saltValue="UlJWUlnvSur4ZRcdTj1N1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I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271</v>
      </c>
      <c r="B1" s="2">
        <v>45849</v>
      </c>
      <c r="C1" s="2">
        <v>45856</v>
      </c>
      <c r="D1" s="2">
        <v>45863</v>
      </c>
      <c r="E1" s="2">
        <v>45870</v>
      </c>
      <c r="F1" s="2">
        <v>45877</v>
      </c>
      <c r="G1" s="2">
        <v>45884</v>
      </c>
      <c r="H1" s="2">
        <v>45891</v>
      </c>
      <c r="I1" s="2">
        <v>45898</v>
      </c>
      <c r="J1" s="2">
        <v>45904</v>
      </c>
    </row>
    <row r="2" spans="1:11">
      <c r="A2" s="3" t="s">
        <v>15</v>
      </c>
      <c r="B2" s="4">
        <v>52269878832.034996</v>
      </c>
      <c r="C2" s="4">
        <v>54748473127.3489</v>
      </c>
      <c r="D2" s="4">
        <v>61687226257.696495</v>
      </c>
      <c r="E2" s="4">
        <v>67229657165.516502</v>
      </c>
      <c r="F2" s="4">
        <v>70540930810.876495</v>
      </c>
      <c r="G2" s="4">
        <v>69783062986.465698</v>
      </c>
      <c r="H2" s="4">
        <v>68712705350.806602</v>
      </c>
      <c r="I2" s="4">
        <v>68528972082.446609</v>
      </c>
      <c r="J2" s="4">
        <v>67808284732.281898</v>
      </c>
    </row>
    <row r="3" spans="1:11">
      <c r="A3" s="3" t="s">
        <v>52</v>
      </c>
      <c r="B3" s="4">
        <v>3306800238955.9248</v>
      </c>
      <c r="C3" s="4">
        <v>3358188060555.9185</v>
      </c>
      <c r="D3" s="4">
        <v>3426266000665.1895</v>
      </c>
      <c r="E3" s="4">
        <v>3516123821226.8936</v>
      </c>
      <c r="F3" s="4">
        <v>3593469633868.4741</v>
      </c>
      <c r="G3" s="4">
        <v>3655006028344.0098</v>
      </c>
      <c r="H3" s="4">
        <v>3698986228978.6582</v>
      </c>
      <c r="I3" s="4">
        <v>3754571698722.0146</v>
      </c>
      <c r="J3" s="4">
        <v>3787579756295.2603</v>
      </c>
    </row>
    <row r="4" spans="1:11">
      <c r="A4" s="3" t="s">
        <v>272</v>
      </c>
      <c r="B4" s="5">
        <v>217097119596.70132</v>
      </c>
      <c r="C4" s="5">
        <v>217434885807.0386</v>
      </c>
      <c r="D4" s="5">
        <v>217689331860.23923</v>
      </c>
      <c r="E4" s="5">
        <v>220851958545.65424</v>
      </c>
      <c r="F4" s="5">
        <v>229152303163.27002</v>
      </c>
      <c r="G4" s="5">
        <v>231120196922.10995</v>
      </c>
      <c r="H4" s="5">
        <v>231150686743.54004</v>
      </c>
      <c r="I4" s="5">
        <v>230778446525.29001</v>
      </c>
      <c r="J4" s="5">
        <v>190623296428.20999</v>
      </c>
    </row>
    <row r="5" spans="1:11">
      <c r="A5" s="3" t="s">
        <v>152</v>
      </c>
      <c r="B5" s="4">
        <v>1936146669670.2039</v>
      </c>
      <c r="C5" s="4">
        <v>1944523128036.5657</v>
      </c>
      <c r="D5" s="4">
        <v>1950379079099.77</v>
      </c>
      <c r="E5" s="4">
        <v>1966523400379.8149</v>
      </c>
      <c r="F5" s="4">
        <v>1980083846272.4412</v>
      </c>
      <c r="G5" s="4">
        <v>1982590366346.2842</v>
      </c>
      <c r="H5" s="4">
        <v>1991922950833.4917</v>
      </c>
      <c r="I5" s="4">
        <v>1993255843040.2493</v>
      </c>
      <c r="J5" s="4">
        <v>1984005277310.9985</v>
      </c>
    </row>
    <row r="6" spans="1:11">
      <c r="A6" s="3" t="s">
        <v>273</v>
      </c>
      <c r="B6" s="6">
        <v>360494145775.05426</v>
      </c>
      <c r="C6" s="6">
        <v>364310838344.93243</v>
      </c>
      <c r="D6" s="6">
        <v>359289716719.88489</v>
      </c>
      <c r="E6" s="6">
        <v>360521402538.07672</v>
      </c>
      <c r="F6" s="6">
        <v>361415805737.66992</v>
      </c>
      <c r="G6" s="6">
        <v>362218270830.89001</v>
      </c>
      <c r="H6" s="6">
        <v>362866619476.15002</v>
      </c>
      <c r="I6" s="6">
        <v>363359218001.73004</v>
      </c>
      <c r="J6" s="6">
        <v>364054624035.51996</v>
      </c>
    </row>
    <row r="7" spans="1:11">
      <c r="A7" s="3" t="s">
        <v>189</v>
      </c>
      <c r="B7" s="7">
        <v>67084468156.605881</v>
      </c>
      <c r="C7" s="7">
        <v>70484807160.729034</v>
      </c>
      <c r="D7" s="7">
        <v>73150059573.293945</v>
      </c>
      <c r="E7" s="7">
        <v>75728715664.741028</v>
      </c>
      <c r="F7" s="7">
        <v>76852575641.817932</v>
      </c>
      <c r="G7" s="7">
        <v>76228983622.506104</v>
      </c>
      <c r="H7" s="7">
        <v>75659187090.104218</v>
      </c>
      <c r="I7" s="7">
        <v>75600278286.828735</v>
      </c>
      <c r="J7" s="7">
        <v>75412808907.360184</v>
      </c>
    </row>
    <row r="8" spans="1:11">
      <c r="A8" s="3" t="s">
        <v>219</v>
      </c>
      <c r="B8" s="6">
        <v>7283906888.0599995</v>
      </c>
      <c r="C8" s="6">
        <v>7482268171.8400002</v>
      </c>
      <c r="D8" s="6">
        <v>8047780571.3400002</v>
      </c>
      <c r="E8" s="6">
        <v>8530161255.6800003</v>
      </c>
      <c r="F8" s="6">
        <v>8604936686.8199997</v>
      </c>
      <c r="G8" s="6">
        <v>8463083509.1000004</v>
      </c>
      <c r="H8" s="6">
        <v>8340033217</v>
      </c>
      <c r="I8" s="6">
        <v>8199066547.75</v>
      </c>
      <c r="J8" s="6">
        <v>8021638129.3699999</v>
      </c>
    </row>
    <row r="9" spans="1:11">
      <c r="A9" s="3" t="s">
        <v>274</v>
      </c>
      <c r="B9" s="6">
        <v>61847346140.690552</v>
      </c>
      <c r="C9" s="6">
        <v>62862819875.793411</v>
      </c>
      <c r="D9" s="6">
        <v>63651984241.427292</v>
      </c>
      <c r="E9" s="6">
        <v>64799548897.370361</v>
      </c>
      <c r="F9" s="6">
        <v>65359214828.200005</v>
      </c>
      <c r="G9" s="6">
        <v>65538144195.299995</v>
      </c>
      <c r="H9" s="6">
        <v>66197497779.900002</v>
      </c>
      <c r="I9" s="6">
        <v>66657212883.32</v>
      </c>
      <c r="J9" s="6">
        <v>65348690718.929993</v>
      </c>
    </row>
    <row r="10" spans="1:11" ht="15.6">
      <c r="A10" s="8" t="s">
        <v>278</v>
      </c>
      <c r="B10" s="9">
        <f t="shared" ref="B10:J10" si="0">SUM(B2:B9)</f>
        <v>6009023774015.2754</v>
      </c>
      <c r="C10" s="9">
        <f t="shared" si="0"/>
        <v>6080035281080.167</v>
      </c>
      <c r="D10" s="9">
        <f t="shared" si="0"/>
        <v>6160161178988.8408</v>
      </c>
      <c r="E10" s="9">
        <f t="shared" si="0"/>
        <v>6280308665673.7471</v>
      </c>
      <c r="F10" s="9">
        <f t="shared" si="0"/>
        <v>6385479247009.5703</v>
      </c>
      <c r="G10" s="9">
        <f t="shared" si="0"/>
        <v>6450948136756.6641</v>
      </c>
      <c r="H10" s="9">
        <f t="shared" si="0"/>
        <v>6503835909469.6514</v>
      </c>
      <c r="I10" s="9">
        <f t="shared" si="0"/>
        <v>6560950736089.6309</v>
      </c>
      <c r="J10" s="9">
        <f t="shared" si="0"/>
        <v>6542854376557.9297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279</v>
      </c>
      <c r="B12" s="121" t="s">
        <v>280</v>
      </c>
      <c r="C12" s="13">
        <f>(B10+C10)/2</f>
        <v>6044529527547.7207</v>
      </c>
      <c r="D12" s="14">
        <f t="shared" ref="D12:J12" si="1">(C10+D10)/2</f>
        <v>6120098230034.5039</v>
      </c>
      <c r="E12" s="14">
        <f t="shared" si="1"/>
        <v>6220234922331.2939</v>
      </c>
      <c r="F12" s="14">
        <f t="shared" si="1"/>
        <v>6332893956341.6582</v>
      </c>
      <c r="G12" s="14">
        <f t="shared" si="1"/>
        <v>6418213691883.1172</v>
      </c>
      <c r="H12" s="14">
        <f t="shared" si="1"/>
        <v>6477392023113.1582</v>
      </c>
      <c r="I12" s="14">
        <f t="shared" si="1"/>
        <v>6532393322779.6406</v>
      </c>
      <c r="J12" s="14">
        <f t="shared" si="1"/>
        <v>6551902556323.7803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45849</v>
      </c>
      <c r="C15" s="2">
        <v>45856</v>
      </c>
      <c r="D15" s="2">
        <v>45863</v>
      </c>
      <c r="E15" s="2">
        <v>45870</v>
      </c>
      <c r="F15" s="2">
        <v>45877</v>
      </c>
      <c r="G15" s="2">
        <v>45884</v>
      </c>
      <c r="H15" s="2">
        <v>45891</v>
      </c>
      <c r="I15" s="2">
        <v>45898</v>
      </c>
      <c r="J15" s="2">
        <v>45904</v>
      </c>
      <c r="K15" s="15"/>
    </row>
    <row r="16" spans="1:11">
      <c r="A16" s="16" t="s">
        <v>281</v>
      </c>
      <c r="B16" s="17">
        <v>15344019261.460001</v>
      </c>
      <c r="C16" s="17">
        <v>16012018416.058001</v>
      </c>
      <c r="D16" s="17">
        <v>16301542614.265999</v>
      </c>
      <c r="E16" s="17">
        <v>17113558632.019001</v>
      </c>
      <c r="F16" s="17">
        <v>17395938297.309998</v>
      </c>
      <c r="G16" s="17">
        <v>17188495940.759998</v>
      </c>
      <c r="H16" s="17">
        <v>16805945304.309998</v>
      </c>
      <c r="I16" s="17">
        <v>16769372316.030001</v>
      </c>
      <c r="J16" s="17">
        <v>16688373226.209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27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P4AMKgR6OxiJ1ARb8i1/o8Lv+877x4nMxrvaqravijDxeyyqUV+rkNo1zV/QAoIptlbSEXm7FPRHHEMgVnYWbQ==" saltValue="ou0+vB5wbD1tQsRgrUBNgQ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2025-09-11T10:19:39Z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