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Mutual Funds Update 2024\"/>
    </mc:Choice>
  </mc:AlternateContent>
  <bookViews>
    <workbookView xWindow="0" yWindow="0" windowWidth="24000" windowHeight="10215"/>
  </bookViews>
  <sheets>
    <sheet name="May 2024" sheetId="7" r:id="rId1"/>
    <sheet name="NAV Comparison" sheetId="2" r:id="rId2"/>
    <sheet name="Market Share" sheetId="3" r:id="rId3"/>
    <sheet name="Unitholders" sheetId="6" r:id="rId4"/>
  </sheets>
  <calcPr calcId="162913"/>
</workbook>
</file>

<file path=xl/calcChain.xml><?xml version="1.0" encoding="utf-8"?>
<calcChain xmlns="http://schemas.openxmlformats.org/spreadsheetml/2006/main">
  <c r="J87" i="7" l="1"/>
  <c r="J88" i="7"/>
  <c r="J89" i="7"/>
  <c r="J90" i="7"/>
  <c r="J91" i="7"/>
  <c r="P89" i="7"/>
  <c r="N89" i="7"/>
  <c r="M89" i="7"/>
  <c r="H89" i="7"/>
  <c r="Q89" i="7" s="1"/>
  <c r="M175" i="7"/>
  <c r="N175" i="7"/>
  <c r="P175" i="7"/>
  <c r="M176" i="7"/>
  <c r="N176" i="7"/>
  <c r="P176" i="7"/>
  <c r="M177" i="7"/>
  <c r="N177" i="7"/>
  <c r="P177" i="7"/>
  <c r="M178" i="7"/>
  <c r="N178" i="7"/>
  <c r="P178" i="7"/>
  <c r="M179" i="7"/>
  <c r="N179" i="7"/>
  <c r="P179" i="7"/>
  <c r="M180" i="7"/>
  <c r="N180" i="7"/>
  <c r="P180" i="7"/>
  <c r="M181" i="7"/>
  <c r="N181" i="7"/>
  <c r="P181" i="7"/>
  <c r="M182" i="7"/>
  <c r="N182" i="7"/>
  <c r="P182" i="7"/>
  <c r="M183" i="7"/>
  <c r="N183" i="7"/>
  <c r="P183" i="7"/>
  <c r="M184" i="7"/>
  <c r="N184" i="7"/>
  <c r="P184" i="7"/>
  <c r="M171" i="7"/>
  <c r="N171" i="7"/>
  <c r="P171" i="7"/>
  <c r="M164" i="7"/>
  <c r="N164" i="7"/>
  <c r="P164" i="7"/>
  <c r="M165" i="7"/>
  <c r="N165" i="7"/>
  <c r="P165" i="7"/>
  <c r="M135" i="7"/>
  <c r="N135" i="7"/>
  <c r="P135" i="7"/>
  <c r="M136" i="7"/>
  <c r="N136" i="7"/>
  <c r="P136" i="7"/>
  <c r="M137" i="7"/>
  <c r="N137" i="7"/>
  <c r="P137" i="7"/>
  <c r="M138" i="7"/>
  <c r="N138" i="7"/>
  <c r="P138" i="7"/>
  <c r="M139" i="7"/>
  <c r="N139" i="7"/>
  <c r="P139" i="7"/>
  <c r="M140" i="7"/>
  <c r="N140" i="7"/>
  <c r="O140" i="7"/>
  <c r="P140" i="7"/>
  <c r="Q140" i="7"/>
  <c r="M141" i="7"/>
  <c r="N141" i="7"/>
  <c r="P141" i="7"/>
  <c r="M142" i="7"/>
  <c r="N142" i="7"/>
  <c r="P142" i="7"/>
  <c r="M143" i="7"/>
  <c r="N143" i="7"/>
  <c r="P143" i="7"/>
  <c r="M144" i="7"/>
  <c r="N144" i="7"/>
  <c r="P144" i="7"/>
  <c r="M145" i="7"/>
  <c r="N145" i="7"/>
  <c r="P145" i="7"/>
  <c r="M146" i="7"/>
  <c r="N146" i="7"/>
  <c r="P146" i="7"/>
  <c r="M147" i="7"/>
  <c r="N147" i="7"/>
  <c r="P147" i="7"/>
  <c r="M148" i="7"/>
  <c r="N148" i="7"/>
  <c r="P148" i="7"/>
  <c r="M149" i="7"/>
  <c r="N149" i="7"/>
  <c r="P149" i="7"/>
  <c r="M150" i="7"/>
  <c r="N150" i="7"/>
  <c r="P150" i="7"/>
  <c r="M151" i="7"/>
  <c r="N151" i="7"/>
  <c r="P151" i="7"/>
  <c r="M152" i="7"/>
  <c r="N152" i="7"/>
  <c r="P152" i="7"/>
  <c r="M153" i="7"/>
  <c r="N153" i="7"/>
  <c r="P153" i="7"/>
  <c r="M154" i="7"/>
  <c r="N154" i="7"/>
  <c r="P154" i="7"/>
  <c r="M155" i="7"/>
  <c r="N155" i="7"/>
  <c r="P155" i="7"/>
  <c r="M156" i="7"/>
  <c r="N156" i="7"/>
  <c r="P156" i="7"/>
  <c r="M157" i="7"/>
  <c r="N157" i="7"/>
  <c r="P157" i="7"/>
  <c r="M158" i="7"/>
  <c r="N158" i="7"/>
  <c r="P158" i="7"/>
  <c r="M159" i="7"/>
  <c r="N159" i="7"/>
  <c r="P159" i="7"/>
  <c r="M127" i="7"/>
  <c r="N127" i="7"/>
  <c r="P127" i="7"/>
  <c r="M128" i="7"/>
  <c r="N128" i="7"/>
  <c r="P128" i="7"/>
  <c r="M129" i="7"/>
  <c r="N129" i="7"/>
  <c r="P129" i="7"/>
  <c r="M130" i="7"/>
  <c r="N130" i="7"/>
  <c r="P130" i="7"/>
  <c r="P126" i="7"/>
  <c r="N126" i="7"/>
  <c r="M126" i="7"/>
  <c r="M104" i="7"/>
  <c r="N104" i="7"/>
  <c r="P104" i="7"/>
  <c r="M105" i="7"/>
  <c r="N105" i="7"/>
  <c r="P105" i="7"/>
  <c r="M109" i="7"/>
  <c r="N109" i="7"/>
  <c r="P109" i="7"/>
  <c r="M61" i="7"/>
  <c r="N61" i="7"/>
  <c r="P61" i="7"/>
  <c r="M62" i="7"/>
  <c r="N62" i="7"/>
  <c r="P62" i="7"/>
  <c r="M63" i="7"/>
  <c r="N63" i="7"/>
  <c r="P63" i="7"/>
  <c r="M64" i="7"/>
  <c r="N64" i="7"/>
  <c r="P64" i="7"/>
  <c r="M65" i="7"/>
  <c r="N65" i="7"/>
  <c r="P65" i="7"/>
  <c r="M66" i="7"/>
  <c r="N66" i="7"/>
  <c r="P66" i="7"/>
  <c r="M67" i="7"/>
  <c r="N67" i="7"/>
  <c r="P67" i="7"/>
  <c r="M68" i="7"/>
  <c r="N68" i="7"/>
  <c r="P68" i="7"/>
  <c r="M69" i="7"/>
  <c r="N69" i="7"/>
  <c r="P69" i="7"/>
  <c r="M70" i="7"/>
  <c r="N70" i="7"/>
  <c r="P70" i="7"/>
  <c r="M71" i="7"/>
  <c r="N71" i="7"/>
  <c r="P71" i="7"/>
  <c r="M72" i="7"/>
  <c r="N72" i="7"/>
  <c r="P72" i="7"/>
  <c r="M73" i="7"/>
  <c r="N73" i="7"/>
  <c r="P73" i="7"/>
  <c r="M74" i="7"/>
  <c r="N74" i="7"/>
  <c r="P74" i="7"/>
  <c r="M75" i="7"/>
  <c r="N75" i="7"/>
  <c r="P75" i="7"/>
  <c r="M76" i="7"/>
  <c r="N76" i="7"/>
  <c r="P76" i="7"/>
  <c r="M77" i="7"/>
  <c r="N77" i="7"/>
  <c r="P77" i="7"/>
  <c r="M78" i="7"/>
  <c r="N78" i="7"/>
  <c r="P78" i="7"/>
  <c r="M79" i="7"/>
  <c r="N79" i="7"/>
  <c r="P79" i="7"/>
  <c r="M80" i="7"/>
  <c r="N80" i="7"/>
  <c r="P80" i="7"/>
  <c r="M81" i="7"/>
  <c r="N81" i="7"/>
  <c r="P81" i="7"/>
  <c r="M82" i="7"/>
  <c r="N82" i="7"/>
  <c r="P82" i="7"/>
  <c r="M83" i="7"/>
  <c r="N83" i="7"/>
  <c r="P83" i="7"/>
  <c r="M84" i="7"/>
  <c r="N84" i="7"/>
  <c r="P84" i="7"/>
  <c r="M85" i="7"/>
  <c r="N85" i="7"/>
  <c r="P85" i="7"/>
  <c r="M86" i="7"/>
  <c r="N86" i="7"/>
  <c r="P86" i="7"/>
  <c r="M87" i="7"/>
  <c r="N87" i="7"/>
  <c r="P87" i="7"/>
  <c r="M88" i="7"/>
  <c r="N88" i="7"/>
  <c r="P88" i="7"/>
  <c r="M90" i="7"/>
  <c r="N90" i="7"/>
  <c r="P90" i="7"/>
  <c r="M91" i="7"/>
  <c r="N91" i="7"/>
  <c r="P91" i="7"/>
  <c r="M26" i="7"/>
  <c r="N26" i="7"/>
  <c r="P26" i="7"/>
  <c r="M27" i="7"/>
  <c r="N27" i="7"/>
  <c r="P27" i="7"/>
  <c r="M28" i="7"/>
  <c r="N28" i="7"/>
  <c r="P28" i="7"/>
  <c r="M29" i="7"/>
  <c r="N29" i="7"/>
  <c r="P29" i="7"/>
  <c r="M30" i="7"/>
  <c r="N30" i="7"/>
  <c r="P30" i="7"/>
  <c r="M31" i="7"/>
  <c r="N31" i="7"/>
  <c r="P31" i="7"/>
  <c r="M32" i="7"/>
  <c r="N32" i="7"/>
  <c r="P32" i="7"/>
  <c r="M33" i="7"/>
  <c r="N33" i="7"/>
  <c r="P33" i="7"/>
  <c r="M34" i="7"/>
  <c r="N34" i="7"/>
  <c r="P34" i="7"/>
  <c r="M35" i="7"/>
  <c r="N35" i="7"/>
  <c r="P35" i="7"/>
  <c r="M36" i="7"/>
  <c r="N36" i="7"/>
  <c r="P36" i="7"/>
  <c r="M37" i="7"/>
  <c r="N37" i="7"/>
  <c r="P37" i="7"/>
  <c r="M38" i="7"/>
  <c r="N38" i="7"/>
  <c r="P38" i="7"/>
  <c r="M39" i="7"/>
  <c r="N39" i="7"/>
  <c r="P39" i="7"/>
  <c r="M40" i="7"/>
  <c r="N40" i="7"/>
  <c r="P40" i="7"/>
  <c r="M41" i="7"/>
  <c r="N41" i="7"/>
  <c r="P41" i="7"/>
  <c r="M42" i="7"/>
  <c r="N42" i="7"/>
  <c r="P42" i="7"/>
  <c r="M43" i="7"/>
  <c r="N43" i="7"/>
  <c r="P43" i="7"/>
  <c r="M44" i="7"/>
  <c r="N44" i="7"/>
  <c r="P44" i="7"/>
  <c r="M45" i="7"/>
  <c r="N45" i="7"/>
  <c r="P45" i="7"/>
  <c r="M46" i="7"/>
  <c r="N46" i="7"/>
  <c r="P46" i="7"/>
  <c r="M47" i="7"/>
  <c r="N47" i="7"/>
  <c r="P47" i="7"/>
  <c r="M48" i="7"/>
  <c r="N48" i="7"/>
  <c r="P48" i="7"/>
  <c r="M49" i="7"/>
  <c r="N49" i="7"/>
  <c r="P49" i="7"/>
  <c r="M50" i="7"/>
  <c r="N50" i="7"/>
  <c r="P50" i="7"/>
  <c r="M51" i="7"/>
  <c r="N51" i="7"/>
  <c r="P51" i="7"/>
  <c r="M52" i="7"/>
  <c r="N52" i="7"/>
  <c r="P52" i="7"/>
  <c r="M53" i="7"/>
  <c r="N53" i="7"/>
  <c r="P53" i="7"/>
  <c r="M54" i="7"/>
  <c r="N54" i="7"/>
  <c r="P54" i="7"/>
  <c r="M55" i="7"/>
  <c r="N55" i="7"/>
  <c r="P55" i="7"/>
  <c r="M56" i="7"/>
  <c r="N56" i="7"/>
  <c r="P56" i="7"/>
  <c r="M6" i="7"/>
  <c r="N6" i="7"/>
  <c r="P6" i="7"/>
  <c r="M7" i="7"/>
  <c r="N7" i="7"/>
  <c r="P7" i="7"/>
  <c r="M8" i="7"/>
  <c r="N8" i="7"/>
  <c r="P8" i="7"/>
  <c r="M9" i="7"/>
  <c r="N9" i="7"/>
  <c r="P9" i="7"/>
  <c r="M10" i="7"/>
  <c r="N10" i="7"/>
  <c r="P10" i="7"/>
  <c r="M11" i="7"/>
  <c r="N11" i="7"/>
  <c r="P11" i="7"/>
  <c r="M12" i="7"/>
  <c r="N12" i="7"/>
  <c r="P12" i="7"/>
  <c r="M13" i="7"/>
  <c r="N13" i="7"/>
  <c r="P13" i="7"/>
  <c r="M14" i="7"/>
  <c r="N14" i="7"/>
  <c r="P14" i="7"/>
  <c r="M15" i="7"/>
  <c r="N15" i="7"/>
  <c r="P15" i="7"/>
  <c r="M16" i="7"/>
  <c r="N16" i="7"/>
  <c r="P16" i="7"/>
  <c r="M17" i="7"/>
  <c r="N17" i="7"/>
  <c r="P17" i="7"/>
  <c r="M18" i="7"/>
  <c r="N18" i="7"/>
  <c r="P18" i="7"/>
  <c r="M19" i="7"/>
  <c r="N19" i="7"/>
  <c r="P19" i="7"/>
  <c r="M20" i="7"/>
  <c r="N20" i="7"/>
  <c r="P20" i="7"/>
  <c r="M21" i="7"/>
  <c r="N21" i="7"/>
  <c r="P21" i="7"/>
  <c r="O89" i="7" l="1"/>
  <c r="I122" i="7"/>
  <c r="I121" i="7"/>
  <c r="I120" i="7"/>
  <c r="I119" i="7"/>
  <c r="I118" i="7"/>
  <c r="I117" i="7"/>
  <c r="I116" i="7"/>
  <c r="I115" i="7"/>
  <c r="I114" i="7"/>
  <c r="I113" i="7"/>
  <c r="I110" i="7"/>
  <c r="I108" i="7"/>
  <c r="I107" i="7"/>
  <c r="I106" i="7"/>
  <c r="I103" i="7"/>
  <c r="I102" i="7"/>
  <c r="I101" i="7"/>
  <c r="I100" i="7"/>
  <c r="I99" i="7"/>
  <c r="I98" i="7"/>
  <c r="I97" i="7"/>
  <c r="H180" i="7" l="1"/>
  <c r="H181" i="7"/>
  <c r="O181" i="7" l="1"/>
  <c r="Q181" i="7"/>
  <c r="O180" i="7"/>
  <c r="Q180" i="7"/>
  <c r="V117" i="7"/>
  <c r="S117" i="7"/>
  <c r="R117" i="7"/>
  <c r="K117" i="7"/>
  <c r="G117" i="7"/>
  <c r="N117" i="7" s="1"/>
  <c r="E117" i="7"/>
  <c r="H117" i="7" s="1"/>
  <c r="D117" i="7"/>
  <c r="O117" i="7" l="1"/>
  <c r="Q117" i="7"/>
  <c r="M117" i="7"/>
  <c r="P117" i="7"/>
  <c r="H81" i="7"/>
  <c r="O81" i="7" l="1"/>
  <c r="Q81" i="7"/>
  <c r="T140" i="7"/>
  <c r="H34" i="7"/>
  <c r="O34" i="7" l="1"/>
  <c r="Q34" i="7"/>
  <c r="K100" i="7"/>
  <c r="U100" i="7"/>
  <c r="G100" i="7"/>
  <c r="N100" i="7" s="1"/>
  <c r="E100" i="7"/>
  <c r="D100" i="7"/>
  <c r="H66" i="7"/>
  <c r="D66" i="7"/>
  <c r="H31" i="7"/>
  <c r="D31" i="7"/>
  <c r="O66" i="7" l="1"/>
  <c r="Q66" i="7"/>
  <c r="O31" i="7"/>
  <c r="Q31" i="7"/>
  <c r="M100" i="7"/>
  <c r="P100" i="7"/>
  <c r="D142" i="7"/>
  <c r="S101" i="7"/>
  <c r="R101" i="7"/>
  <c r="K101" i="7"/>
  <c r="G101" i="7"/>
  <c r="N101" i="7" s="1"/>
  <c r="E101" i="7"/>
  <c r="D101" i="7"/>
  <c r="D70" i="7"/>
  <c r="M101" i="7" l="1"/>
  <c r="P101" i="7"/>
  <c r="D10" i="7"/>
  <c r="H154" i="7" l="1"/>
  <c r="S118" i="7"/>
  <c r="R118" i="7"/>
  <c r="K118" i="7"/>
  <c r="G118" i="7"/>
  <c r="E118" i="7"/>
  <c r="D118" i="7"/>
  <c r="S99" i="7"/>
  <c r="R99" i="7"/>
  <c r="K99" i="7"/>
  <c r="H101" i="7"/>
  <c r="H100" i="7"/>
  <c r="G99" i="7"/>
  <c r="E99" i="7"/>
  <c r="H99" i="7" s="1"/>
  <c r="D99" i="7"/>
  <c r="H9" i="7"/>
  <c r="H90" i="7"/>
  <c r="S103" i="7"/>
  <c r="R103" i="7"/>
  <c r="K103" i="7"/>
  <c r="G103" i="7"/>
  <c r="E103" i="7"/>
  <c r="D103" i="7"/>
  <c r="I131" i="7"/>
  <c r="K131" i="7"/>
  <c r="H126" i="7"/>
  <c r="S110" i="7"/>
  <c r="R110" i="7"/>
  <c r="K110" i="7"/>
  <c r="G110" i="7"/>
  <c r="N110" i="7" s="1"/>
  <c r="E110" i="7"/>
  <c r="D110" i="7"/>
  <c r="S97" i="7"/>
  <c r="R97" i="7"/>
  <c r="K97" i="7"/>
  <c r="E97" i="7"/>
  <c r="G97" i="7"/>
  <c r="D97" i="7"/>
  <c r="J127" i="7" l="1"/>
  <c r="J129" i="7"/>
  <c r="J126" i="7"/>
  <c r="J128" i="7"/>
  <c r="J130" i="7"/>
  <c r="M103" i="7"/>
  <c r="P103" i="7"/>
  <c r="Q9" i="7"/>
  <c r="O9" i="7"/>
  <c r="O99" i="7"/>
  <c r="Q99" i="7"/>
  <c r="O100" i="7"/>
  <c r="Q100" i="7"/>
  <c r="M99" i="7"/>
  <c r="P99" i="7"/>
  <c r="M118" i="7"/>
  <c r="P118" i="7"/>
  <c r="Q126" i="7"/>
  <c r="O126" i="7"/>
  <c r="H97" i="7"/>
  <c r="N97" i="7"/>
  <c r="M97" i="7"/>
  <c r="P97" i="7"/>
  <c r="M110" i="7"/>
  <c r="P110" i="7"/>
  <c r="B6" i="3"/>
  <c r="C9" i="2"/>
  <c r="L127" i="7"/>
  <c r="L128" i="7"/>
  <c r="L129" i="7"/>
  <c r="L130" i="7"/>
  <c r="L126" i="7"/>
  <c r="N103" i="7"/>
  <c r="O90" i="7"/>
  <c r="Q90" i="7"/>
  <c r="N99" i="7"/>
  <c r="O101" i="7"/>
  <c r="Q101" i="7"/>
  <c r="N118" i="7"/>
  <c r="O154" i="7"/>
  <c r="Q154" i="7"/>
  <c r="H178" i="7"/>
  <c r="S116" i="7"/>
  <c r="R116" i="7"/>
  <c r="K116" i="7"/>
  <c r="G116" i="7"/>
  <c r="N116" i="7" s="1"/>
  <c r="E116" i="7"/>
  <c r="D116" i="7"/>
  <c r="H135" i="7"/>
  <c r="O178" i="7" l="1"/>
  <c r="Q178" i="7"/>
  <c r="O135" i="7"/>
  <c r="Q135" i="7"/>
  <c r="M116" i="7"/>
  <c r="P116" i="7"/>
  <c r="O97" i="7"/>
  <c r="Q97" i="7"/>
  <c r="S102" i="7"/>
  <c r="R102" i="7"/>
  <c r="K102" i="7"/>
  <c r="G102" i="7"/>
  <c r="E102" i="7"/>
  <c r="D102" i="7"/>
  <c r="D107" i="7"/>
  <c r="E107" i="7"/>
  <c r="M102" i="7" l="1"/>
  <c r="P102" i="7"/>
  <c r="N102" i="7"/>
  <c r="H102" i="7"/>
  <c r="H49" i="7"/>
  <c r="H50" i="7"/>
  <c r="O49" i="7" l="1"/>
  <c r="Q49" i="7"/>
  <c r="O50" i="7"/>
  <c r="Q50" i="7"/>
  <c r="O102" i="7"/>
  <c r="Q102" i="7"/>
  <c r="S98" i="7"/>
  <c r="R98" i="7"/>
  <c r="K98" i="7"/>
  <c r="G98" i="7"/>
  <c r="N98" i="7" s="1"/>
  <c r="E98" i="7"/>
  <c r="D98" i="7"/>
  <c r="M98" i="7" l="1"/>
  <c r="P98" i="7"/>
  <c r="S114" i="7"/>
  <c r="R114" i="7"/>
  <c r="K114" i="7"/>
  <c r="G114" i="7"/>
  <c r="E114" i="7"/>
  <c r="D114" i="7"/>
  <c r="M114" i="7" l="1"/>
  <c r="P114" i="7"/>
  <c r="N114" i="7"/>
  <c r="S119" i="7"/>
  <c r="R119" i="7"/>
  <c r="K119" i="7"/>
  <c r="F119" i="7"/>
  <c r="G119" i="7"/>
  <c r="N119" i="7" s="1"/>
  <c r="E119" i="7"/>
  <c r="D119" i="7"/>
  <c r="M119" i="7" l="1"/>
  <c r="P119" i="7"/>
  <c r="S108" i="7"/>
  <c r="R108" i="7"/>
  <c r="K108" i="7"/>
  <c r="G108" i="7"/>
  <c r="E108" i="7"/>
  <c r="D108" i="7"/>
  <c r="M108" i="7" l="1"/>
  <c r="P108" i="7"/>
  <c r="N108" i="7"/>
  <c r="S121" i="7"/>
  <c r="R121" i="7"/>
  <c r="K121" i="7"/>
  <c r="E121" i="7"/>
  <c r="G121" i="7"/>
  <c r="N121" i="7" s="1"/>
  <c r="D121" i="7"/>
  <c r="M121" i="7" l="1"/>
  <c r="P121" i="7"/>
  <c r="S113" i="7"/>
  <c r="R113" i="7"/>
  <c r="K113" i="7"/>
  <c r="G113" i="7"/>
  <c r="E113" i="7"/>
  <c r="D113" i="7"/>
  <c r="S107" i="7"/>
  <c r="R107" i="7"/>
  <c r="K107" i="7"/>
  <c r="G107" i="7"/>
  <c r="M107" i="7" l="1"/>
  <c r="P107" i="7"/>
  <c r="N107" i="7"/>
  <c r="S122" i="7"/>
  <c r="R122" i="7"/>
  <c r="K122" i="7"/>
  <c r="G122" i="7"/>
  <c r="N122" i="7" s="1"/>
  <c r="E122" i="7"/>
  <c r="D122" i="7"/>
  <c r="M122" i="7" l="1"/>
  <c r="P122" i="7"/>
  <c r="S106" i="7"/>
  <c r="R106" i="7"/>
  <c r="K106" i="7"/>
  <c r="G106" i="7"/>
  <c r="E106" i="7"/>
  <c r="D106" i="7"/>
  <c r="S105" i="7"/>
  <c r="R105" i="7"/>
  <c r="S104" i="7"/>
  <c r="R104" i="7"/>
  <c r="H74" i="7"/>
  <c r="O74" i="7" l="1"/>
  <c r="Q74" i="7"/>
  <c r="M106" i="7"/>
  <c r="P106" i="7"/>
  <c r="N106" i="7"/>
  <c r="S115" i="7"/>
  <c r="R115" i="7"/>
  <c r="K115" i="7"/>
  <c r="G115" i="7"/>
  <c r="N115" i="7" s="1"/>
  <c r="E115" i="7"/>
  <c r="D115" i="7"/>
  <c r="M115" i="7" l="1"/>
  <c r="P115" i="7"/>
  <c r="S96" i="7"/>
  <c r="R96" i="7"/>
  <c r="S120" i="7" l="1"/>
  <c r="R120" i="7"/>
  <c r="K120" i="7"/>
  <c r="G120" i="7"/>
  <c r="N120" i="7" s="1"/>
  <c r="E120" i="7"/>
  <c r="D120" i="7"/>
  <c r="M120" i="7" l="1"/>
  <c r="P120" i="7"/>
  <c r="H159" i="7"/>
  <c r="O159" i="7" l="1"/>
  <c r="Q159" i="7"/>
  <c r="H106" i="7"/>
  <c r="H175" i="7"/>
  <c r="H176" i="7"/>
  <c r="H177" i="7"/>
  <c r="H182" i="7"/>
  <c r="H183" i="7"/>
  <c r="H184" i="7"/>
  <c r="H174" i="7"/>
  <c r="H171" i="7"/>
  <c r="H170" i="7"/>
  <c r="H164" i="7"/>
  <c r="H165" i="7"/>
  <c r="H163" i="7"/>
  <c r="H136" i="7"/>
  <c r="H137" i="7"/>
  <c r="H138" i="7"/>
  <c r="H139" i="7"/>
  <c r="H141" i="7"/>
  <c r="H143" i="7"/>
  <c r="H144" i="7"/>
  <c r="H145" i="7"/>
  <c r="H146" i="7"/>
  <c r="H147" i="7"/>
  <c r="H148" i="7"/>
  <c r="H149" i="7"/>
  <c r="H150" i="7"/>
  <c r="H151" i="7"/>
  <c r="H152" i="7"/>
  <c r="H153" i="7"/>
  <c r="H142" i="7"/>
  <c r="H155" i="7"/>
  <c r="H156" i="7"/>
  <c r="H157" i="7"/>
  <c r="H158" i="7"/>
  <c r="H134" i="7"/>
  <c r="H128" i="7"/>
  <c r="H129" i="7"/>
  <c r="H130" i="7"/>
  <c r="H127" i="7"/>
  <c r="H114" i="7"/>
  <c r="H115" i="7"/>
  <c r="H116" i="7"/>
  <c r="H119" i="7"/>
  <c r="H120" i="7"/>
  <c r="H121" i="7"/>
  <c r="H122" i="7"/>
  <c r="H113" i="7"/>
  <c r="H98" i="7"/>
  <c r="H103" i="7"/>
  <c r="H104" i="7"/>
  <c r="H105" i="7"/>
  <c r="H107" i="7"/>
  <c r="H108" i="7"/>
  <c r="H109" i="7"/>
  <c r="H110" i="7"/>
  <c r="H96" i="7"/>
  <c r="H61" i="7"/>
  <c r="H62" i="7"/>
  <c r="H63" i="7"/>
  <c r="H64" i="7"/>
  <c r="H65" i="7"/>
  <c r="H79" i="7"/>
  <c r="H67" i="7"/>
  <c r="H68" i="7"/>
  <c r="H69" i="7"/>
  <c r="H71" i="7"/>
  <c r="H72" i="7"/>
  <c r="H73" i="7"/>
  <c r="H60" i="7"/>
  <c r="H26" i="7"/>
  <c r="H27" i="7"/>
  <c r="H28" i="7"/>
  <c r="H29" i="7"/>
  <c r="H30" i="7"/>
  <c r="H32" i="7"/>
  <c r="H33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51" i="7"/>
  <c r="H52" i="7"/>
  <c r="H53" i="7"/>
  <c r="H54" i="7"/>
  <c r="H55" i="7"/>
  <c r="H56" i="7"/>
  <c r="H25" i="7"/>
  <c r="H6" i="7"/>
  <c r="H7" i="7"/>
  <c r="H8" i="7"/>
  <c r="H11" i="7"/>
  <c r="H12" i="7"/>
  <c r="H13" i="7"/>
  <c r="H14" i="7"/>
  <c r="H15" i="7"/>
  <c r="H16" i="7"/>
  <c r="H17" i="7"/>
  <c r="H18" i="7"/>
  <c r="H19" i="7"/>
  <c r="H20" i="7"/>
  <c r="H10" i="7"/>
  <c r="H21" i="7"/>
  <c r="H5" i="7"/>
  <c r="H75" i="7"/>
  <c r="H77" i="7"/>
  <c r="H78" i="7"/>
  <c r="H179" i="7"/>
  <c r="H80" i="7"/>
  <c r="H82" i="7"/>
  <c r="H83" i="7"/>
  <c r="H84" i="7"/>
  <c r="H85" i="7"/>
  <c r="H86" i="7"/>
  <c r="H87" i="7"/>
  <c r="H88" i="7"/>
  <c r="H70" i="7"/>
  <c r="H76" i="7"/>
  <c r="H91" i="7"/>
  <c r="O70" i="7" l="1"/>
  <c r="Q70" i="7"/>
  <c r="O85" i="7"/>
  <c r="Q85" i="7"/>
  <c r="O83" i="7"/>
  <c r="Q83" i="7"/>
  <c r="O80" i="7"/>
  <c r="Q80" i="7"/>
  <c r="O78" i="7"/>
  <c r="Q78" i="7"/>
  <c r="O75" i="7"/>
  <c r="Q75" i="7"/>
  <c r="O21" i="7"/>
  <c r="Q21" i="7"/>
  <c r="O20" i="7"/>
  <c r="Q20" i="7"/>
  <c r="O18" i="7"/>
  <c r="Q18" i="7"/>
  <c r="O16" i="7"/>
  <c r="Q16" i="7"/>
  <c r="O14" i="7"/>
  <c r="Q14" i="7"/>
  <c r="O12" i="7"/>
  <c r="Q12" i="7"/>
  <c r="Q8" i="7"/>
  <c r="O8" i="7"/>
  <c r="Q6" i="7"/>
  <c r="O6" i="7"/>
  <c r="O56" i="7"/>
  <c r="Q56" i="7"/>
  <c r="O54" i="7"/>
  <c r="Q54" i="7"/>
  <c r="O52" i="7"/>
  <c r="Q52" i="7"/>
  <c r="O48" i="7"/>
  <c r="Q48" i="7"/>
  <c r="O46" i="7"/>
  <c r="Q46" i="7"/>
  <c r="O44" i="7"/>
  <c r="Q44" i="7"/>
  <c r="O42" i="7"/>
  <c r="Q42" i="7"/>
  <c r="O40" i="7"/>
  <c r="Q40" i="7"/>
  <c r="O38" i="7"/>
  <c r="Q38" i="7"/>
  <c r="O36" i="7"/>
  <c r="Q36" i="7"/>
  <c r="O33" i="7"/>
  <c r="Q33" i="7"/>
  <c r="O30" i="7"/>
  <c r="Q30" i="7"/>
  <c r="O28" i="7"/>
  <c r="Q28" i="7"/>
  <c r="O26" i="7"/>
  <c r="Q26" i="7"/>
  <c r="O73" i="7"/>
  <c r="Q73" i="7"/>
  <c r="O71" i="7"/>
  <c r="Q71" i="7"/>
  <c r="O68" i="7"/>
  <c r="Q68" i="7"/>
  <c r="O79" i="7"/>
  <c r="Q79" i="7"/>
  <c r="O64" i="7"/>
  <c r="Q64" i="7"/>
  <c r="O62" i="7"/>
  <c r="Q62" i="7"/>
  <c r="O109" i="7"/>
  <c r="Q109" i="7"/>
  <c r="O107" i="7"/>
  <c r="Q107" i="7"/>
  <c r="O104" i="7"/>
  <c r="Q104" i="7"/>
  <c r="O98" i="7"/>
  <c r="Q98" i="7"/>
  <c r="O122" i="7"/>
  <c r="Q122" i="7"/>
  <c r="O120" i="7"/>
  <c r="Q120" i="7"/>
  <c r="O116" i="7"/>
  <c r="Q116" i="7"/>
  <c r="O114" i="7"/>
  <c r="Q114" i="7"/>
  <c r="O130" i="7"/>
  <c r="Q130" i="7"/>
  <c r="O128" i="7"/>
  <c r="Q128" i="7"/>
  <c r="O158" i="7"/>
  <c r="Q158" i="7"/>
  <c r="O156" i="7"/>
  <c r="Q156" i="7"/>
  <c r="O142" i="7"/>
  <c r="Q142" i="7"/>
  <c r="O152" i="7"/>
  <c r="Q152" i="7"/>
  <c r="O150" i="7"/>
  <c r="Q150" i="7"/>
  <c r="O148" i="7"/>
  <c r="Q148" i="7"/>
  <c r="O146" i="7"/>
  <c r="Q146" i="7"/>
  <c r="O144" i="7"/>
  <c r="Q144" i="7"/>
  <c r="O141" i="7"/>
  <c r="Q141" i="7"/>
  <c r="O138" i="7"/>
  <c r="Q138" i="7"/>
  <c r="O136" i="7"/>
  <c r="Q136" i="7"/>
  <c r="O165" i="7"/>
  <c r="Q165" i="7"/>
  <c r="O183" i="7"/>
  <c r="Q183" i="7"/>
  <c r="O177" i="7"/>
  <c r="Q177" i="7"/>
  <c r="O175" i="7"/>
  <c r="Q175" i="7"/>
  <c r="O91" i="7"/>
  <c r="Q91" i="7"/>
  <c r="O87" i="7"/>
  <c r="Q87" i="7"/>
  <c r="O76" i="7"/>
  <c r="Q76" i="7"/>
  <c r="O88" i="7"/>
  <c r="Q88" i="7"/>
  <c r="O86" i="7"/>
  <c r="Q86" i="7"/>
  <c r="O84" i="7"/>
  <c r="Q84" i="7"/>
  <c r="O82" i="7"/>
  <c r="Q82" i="7"/>
  <c r="O179" i="7"/>
  <c r="Q179" i="7"/>
  <c r="O77" i="7"/>
  <c r="Q77" i="7"/>
  <c r="Q10" i="7"/>
  <c r="O10" i="7"/>
  <c r="O19" i="7"/>
  <c r="Q19" i="7"/>
  <c r="O17" i="7"/>
  <c r="Q17" i="7"/>
  <c r="O15" i="7"/>
  <c r="Q15" i="7"/>
  <c r="O13" i="7"/>
  <c r="Q13" i="7"/>
  <c r="O11" i="7"/>
  <c r="Q11" i="7"/>
  <c r="Q7" i="7"/>
  <c r="O7" i="7"/>
  <c r="O55" i="7"/>
  <c r="Q55" i="7"/>
  <c r="O53" i="7"/>
  <c r="Q53" i="7"/>
  <c r="O51" i="7"/>
  <c r="Q51" i="7"/>
  <c r="O47" i="7"/>
  <c r="Q47" i="7"/>
  <c r="O45" i="7"/>
  <c r="Q45" i="7"/>
  <c r="O43" i="7"/>
  <c r="Q43" i="7"/>
  <c r="O41" i="7"/>
  <c r="Q41" i="7"/>
  <c r="O39" i="7"/>
  <c r="Q39" i="7"/>
  <c r="O37" i="7"/>
  <c r="Q37" i="7"/>
  <c r="O35" i="7"/>
  <c r="Q35" i="7"/>
  <c r="O32" i="7"/>
  <c r="Q32" i="7"/>
  <c r="O29" i="7"/>
  <c r="Q29" i="7"/>
  <c r="O27" i="7"/>
  <c r="Q27" i="7"/>
  <c r="O72" i="7"/>
  <c r="Q72" i="7"/>
  <c r="O69" i="7"/>
  <c r="Q69" i="7"/>
  <c r="O67" i="7"/>
  <c r="Q67" i="7"/>
  <c r="O65" i="7"/>
  <c r="Q65" i="7"/>
  <c r="O63" i="7"/>
  <c r="Q63" i="7"/>
  <c r="O61" i="7"/>
  <c r="Q61" i="7"/>
  <c r="O110" i="7"/>
  <c r="Q110" i="7"/>
  <c r="O108" i="7"/>
  <c r="Q108" i="7"/>
  <c r="O105" i="7"/>
  <c r="Q105" i="7"/>
  <c r="O103" i="7"/>
  <c r="Q103" i="7"/>
  <c r="O121" i="7"/>
  <c r="Q121" i="7"/>
  <c r="O119" i="7"/>
  <c r="Q119" i="7"/>
  <c r="O115" i="7"/>
  <c r="Q115" i="7"/>
  <c r="O127" i="7"/>
  <c r="Q127" i="7"/>
  <c r="O129" i="7"/>
  <c r="Q129" i="7"/>
  <c r="O157" i="7"/>
  <c r="Q157" i="7"/>
  <c r="O155" i="7"/>
  <c r="Q155" i="7"/>
  <c r="O153" i="7"/>
  <c r="Q153" i="7"/>
  <c r="O151" i="7"/>
  <c r="Q151" i="7"/>
  <c r="O149" i="7"/>
  <c r="Q149" i="7"/>
  <c r="O147" i="7"/>
  <c r="Q147" i="7"/>
  <c r="O145" i="7"/>
  <c r="Q145" i="7"/>
  <c r="O143" i="7"/>
  <c r="Q143" i="7"/>
  <c r="O139" i="7"/>
  <c r="Q139" i="7"/>
  <c r="O137" i="7"/>
  <c r="Q137" i="7"/>
  <c r="O164" i="7"/>
  <c r="Q164" i="7"/>
  <c r="O171" i="7"/>
  <c r="Q171" i="7"/>
  <c r="O184" i="7"/>
  <c r="Q184" i="7"/>
  <c r="O182" i="7"/>
  <c r="Q182" i="7"/>
  <c r="O176" i="7"/>
  <c r="Q176" i="7"/>
  <c r="O106" i="7"/>
  <c r="Q106" i="7"/>
  <c r="T185" i="7"/>
  <c r="B13" i="6" s="1"/>
  <c r="K185" i="7"/>
  <c r="I185" i="7"/>
  <c r="Q174" i="7"/>
  <c r="P174" i="7"/>
  <c r="O174" i="7"/>
  <c r="N174" i="7"/>
  <c r="M174" i="7"/>
  <c r="J174" i="7"/>
  <c r="Q170" i="7"/>
  <c r="P170" i="7"/>
  <c r="O170" i="7"/>
  <c r="N170" i="7"/>
  <c r="M170" i="7"/>
  <c r="J170" i="7"/>
  <c r="T166" i="7"/>
  <c r="B12" i="6" s="1"/>
  <c r="K166" i="7"/>
  <c r="I166" i="7"/>
  <c r="Q163" i="7"/>
  <c r="P163" i="7"/>
  <c r="O163" i="7"/>
  <c r="N163" i="7"/>
  <c r="M163" i="7"/>
  <c r="K160" i="7"/>
  <c r="I160" i="7"/>
  <c r="T160" i="7"/>
  <c r="B11" i="6" s="1"/>
  <c r="Q134" i="7"/>
  <c r="P134" i="7"/>
  <c r="O134" i="7"/>
  <c r="N134" i="7"/>
  <c r="M134" i="7"/>
  <c r="T131" i="7"/>
  <c r="B10" i="6" s="1"/>
  <c r="M131" i="7"/>
  <c r="T123" i="7"/>
  <c r="B9" i="6" s="1"/>
  <c r="P113" i="7"/>
  <c r="N113" i="7"/>
  <c r="M113" i="7"/>
  <c r="K123" i="7"/>
  <c r="Q96" i="7"/>
  <c r="P96" i="7"/>
  <c r="O96" i="7"/>
  <c r="N96" i="7"/>
  <c r="M96" i="7"/>
  <c r="T92" i="7"/>
  <c r="B8" i="6" s="1"/>
  <c r="K92" i="7"/>
  <c r="I92" i="7"/>
  <c r="Q60" i="7"/>
  <c r="P60" i="7"/>
  <c r="O60" i="7"/>
  <c r="N60" i="7"/>
  <c r="M60" i="7"/>
  <c r="T57" i="7"/>
  <c r="B7" i="6" s="1"/>
  <c r="K57" i="7"/>
  <c r="I57" i="7"/>
  <c r="Q25" i="7"/>
  <c r="P25" i="7"/>
  <c r="O25" i="7"/>
  <c r="N25" i="7"/>
  <c r="M25" i="7"/>
  <c r="T22" i="7"/>
  <c r="B6" i="6" s="1"/>
  <c r="K22" i="7"/>
  <c r="I22" i="7"/>
  <c r="Q5" i="7"/>
  <c r="P5" i="7"/>
  <c r="O5" i="7"/>
  <c r="N5" i="7"/>
  <c r="M5" i="7"/>
  <c r="B8" i="3" l="1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C6" i="2"/>
  <c r="L55" i="7"/>
  <c r="L45" i="7"/>
  <c r="L46" i="7"/>
  <c r="L47" i="7"/>
  <c r="L48" i="7"/>
  <c r="L49" i="7"/>
  <c r="L50" i="7"/>
  <c r="L51" i="7"/>
  <c r="L52" i="7"/>
  <c r="L53" i="7"/>
  <c r="L54" i="7"/>
  <c r="L56" i="7"/>
  <c r="J135" i="7"/>
  <c r="J137" i="7"/>
  <c r="J139" i="7"/>
  <c r="J141" i="7"/>
  <c r="J143" i="7"/>
  <c r="J145" i="7"/>
  <c r="J147" i="7"/>
  <c r="J149" i="7"/>
  <c r="J151" i="7"/>
  <c r="J153" i="7"/>
  <c r="J155" i="7"/>
  <c r="J157" i="7"/>
  <c r="J159" i="7"/>
  <c r="J138" i="7"/>
  <c r="J142" i="7"/>
  <c r="J146" i="7"/>
  <c r="J150" i="7"/>
  <c r="J154" i="7"/>
  <c r="J158" i="7"/>
  <c r="J136" i="7"/>
  <c r="J144" i="7"/>
  <c r="J152" i="7"/>
  <c r="J140" i="7"/>
  <c r="J148" i="7"/>
  <c r="J156" i="7"/>
  <c r="J7" i="7"/>
  <c r="J9" i="7"/>
  <c r="J11" i="7"/>
  <c r="J13" i="7"/>
  <c r="J15" i="7"/>
  <c r="J17" i="7"/>
  <c r="J19" i="7"/>
  <c r="J21" i="7"/>
  <c r="J6" i="7"/>
  <c r="J8" i="7"/>
  <c r="J10" i="7"/>
  <c r="J12" i="7"/>
  <c r="J14" i="7"/>
  <c r="J16" i="7"/>
  <c r="J18" i="7"/>
  <c r="J20" i="7"/>
  <c r="J27" i="7"/>
  <c r="J29" i="7"/>
  <c r="J31" i="7"/>
  <c r="J33" i="7"/>
  <c r="J35" i="7"/>
  <c r="J37" i="7"/>
  <c r="J39" i="7"/>
  <c r="J41" i="7"/>
  <c r="J43" i="7"/>
  <c r="J45" i="7"/>
  <c r="J47" i="7"/>
  <c r="J49" i="7"/>
  <c r="J51" i="7"/>
  <c r="J53" i="7"/>
  <c r="J55" i="7"/>
  <c r="J26" i="7"/>
  <c r="J30" i="7"/>
  <c r="J32" i="7"/>
  <c r="J36" i="7"/>
  <c r="J38" i="7"/>
  <c r="J42" i="7"/>
  <c r="J44" i="7"/>
  <c r="J48" i="7"/>
  <c r="J52" i="7"/>
  <c r="J56" i="7"/>
  <c r="J28" i="7"/>
  <c r="J34" i="7"/>
  <c r="J40" i="7"/>
  <c r="J46" i="7"/>
  <c r="J50" i="7"/>
  <c r="J54" i="7"/>
  <c r="C8" i="2"/>
  <c r="B9" i="3"/>
  <c r="L104" i="7"/>
  <c r="L105" i="7"/>
  <c r="L109" i="7"/>
  <c r="L117" i="7"/>
  <c r="L100" i="7"/>
  <c r="L101" i="7"/>
  <c r="L103" i="7"/>
  <c r="L118" i="7"/>
  <c r="L97" i="7"/>
  <c r="L110" i="7"/>
  <c r="L99" i="7"/>
  <c r="L116" i="7"/>
  <c r="L102" i="7"/>
  <c r="L98" i="7"/>
  <c r="L114" i="7"/>
  <c r="L119" i="7"/>
  <c r="L108" i="7"/>
  <c r="L121" i="7"/>
  <c r="L107" i="7"/>
  <c r="L122" i="7"/>
  <c r="L106" i="7"/>
  <c r="L115" i="7"/>
  <c r="L120" i="7"/>
  <c r="C10" i="2"/>
  <c r="L152" i="7"/>
  <c r="L153" i="7"/>
  <c r="L154" i="7"/>
  <c r="L155" i="7"/>
  <c r="L156" i="7"/>
  <c r="L157" i="7"/>
  <c r="L158" i="7"/>
  <c r="L159" i="7"/>
  <c r="B4" i="3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J164" i="7"/>
  <c r="J165" i="7"/>
  <c r="B5" i="3"/>
  <c r="C12" i="2"/>
  <c r="L175" i="7"/>
  <c r="L176" i="7"/>
  <c r="L177" i="7"/>
  <c r="L178" i="7"/>
  <c r="L179" i="7"/>
  <c r="L180" i="7"/>
  <c r="L181" i="7"/>
  <c r="L182" i="7"/>
  <c r="L183" i="7"/>
  <c r="L184" i="7"/>
  <c r="L171" i="7"/>
  <c r="B3" i="3"/>
  <c r="C5" i="2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164" i="7"/>
  <c r="L165" i="7"/>
  <c r="B2" i="3"/>
  <c r="C11" i="2"/>
  <c r="J176" i="7"/>
  <c r="J178" i="7"/>
  <c r="J180" i="7"/>
  <c r="J182" i="7"/>
  <c r="J184" i="7"/>
  <c r="J175" i="7"/>
  <c r="J179" i="7"/>
  <c r="J183" i="7"/>
  <c r="J181" i="7"/>
  <c r="J177" i="7"/>
  <c r="J171" i="7"/>
  <c r="J61" i="7"/>
  <c r="J63" i="7"/>
  <c r="J65" i="7"/>
  <c r="J67" i="7"/>
  <c r="J69" i="7"/>
  <c r="J71" i="7"/>
  <c r="J73" i="7"/>
  <c r="J75" i="7"/>
  <c r="J77" i="7"/>
  <c r="J79" i="7"/>
  <c r="J81" i="7"/>
  <c r="J83" i="7"/>
  <c r="J85" i="7"/>
  <c r="J62" i="7"/>
  <c r="J64" i="7"/>
  <c r="J66" i="7"/>
  <c r="J68" i="7"/>
  <c r="J70" i="7"/>
  <c r="J72" i="7"/>
  <c r="J74" i="7"/>
  <c r="J76" i="7"/>
  <c r="J78" i="7"/>
  <c r="J80" i="7"/>
  <c r="J82" i="7"/>
  <c r="J84" i="7"/>
  <c r="J86" i="7"/>
  <c r="B7" i="3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90" i="7"/>
  <c r="L91" i="7"/>
  <c r="L89" i="7"/>
  <c r="C7" i="2"/>
  <c r="M185" i="7"/>
  <c r="J134" i="7"/>
  <c r="M160" i="7"/>
  <c r="I123" i="7"/>
  <c r="H118" i="7"/>
  <c r="J163" i="7"/>
  <c r="J60" i="7"/>
  <c r="L60" i="7"/>
  <c r="J5" i="7"/>
  <c r="L170" i="7"/>
  <c r="L174" i="7"/>
  <c r="L163" i="7"/>
  <c r="L5" i="7"/>
  <c r="T186" i="7"/>
  <c r="L134" i="7"/>
  <c r="L25" i="7"/>
  <c r="M92" i="7"/>
  <c r="L96" i="7"/>
  <c r="Q113" i="7"/>
  <c r="O113" i="7"/>
  <c r="L113" i="7"/>
  <c r="M57" i="7"/>
  <c r="I186" i="7"/>
  <c r="J166" i="7" s="1"/>
  <c r="K186" i="7"/>
  <c r="L57" i="7" s="1"/>
  <c r="M22" i="7"/>
  <c r="J25" i="7"/>
  <c r="M166" i="7"/>
  <c r="J96" i="7" l="1"/>
  <c r="J105" i="7"/>
  <c r="J109" i="7"/>
  <c r="J104" i="7"/>
  <c r="J98" i="7"/>
  <c r="J102" i="7"/>
  <c r="J108" i="7"/>
  <c r="J117" i="7"/>
  <c r="J121" i="7"/>
  <c r="J99" i="7"/>
  <c r="J103" i="7"/>
  <c r="J110" i="7"/>
  <c r="J116" i="7"/>
  <c r="J120" i="7"/>
  <c r="J106" i="7"/>
  <c r="J115" i="7"/>
  <c r="J119" i="7"/>
  <c r="J97" i="7"/>
  <c r="J101" i="7"/>
  <c r="J107" i="7"/>
  <c r="J118" i="7"/>
  <c r="J122" i="7"/>
  <c r="J100" i="7"/>
  <c r="J114" i="7"/>
  <c r="J113" i="7"/>
  <c r="O118" i="7"/>
  <c r="Q118" i="7"/>
  <c r="M123" i="7"/>
  <c r="J123" i="7"/>
  <c r="L92" i="7"/>
  <c r="J185" i="7"/>
  <c r="J160" i="7"/>
  <c r="J131" i="7"/>
  <c r="J22" i="7"/>
  <c r="L166" i="7"/>
  <c r="L185" i="7"/>
  <c r="L160" i="7"/>
  <c r="L131" i="7"/>
  <c r="L22" i="7"/>
  <c r="L123" i="7"/>
  <c r="J92" i="7"/>
  <c r="J57" i="7"/>
</calcChain>
</file>

<file path=xl/sharedStrings.xml><?xml version="1.0" encoding="utf-8"?>
<sst xmlns="http://schemas.openxmlformats.org/spreadsheetml/2006/main" count="390" uniqueCount="260">
  <si>
    <t>S/N</t>
  </si>
  <si>
    <t>FUND</t>
  </si>
  <si>
    <t>FUND MANAGER</t>
  </si>
  <si>
    <t>TOTAL VALUE OF INVESTMENT (N)</t>
  </si>
  <si>
    <t>TOTAL INCOME (N)</t>
  </si>
  <si>
    <t>TOTAL EXPENSES (N)</t>
  </si>
  <si>
    <t>NET INCOME/LOSS (N)</t>
  </si>
  <si>
    <t>NET ASSET VALUE (N) PREVIOUS - APRIL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</si>
  <si>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</si>
  <si>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</si>
  <si>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</si>
  <si>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</si>
  <si>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</si>
  <si>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</si>
  <si>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</si>
  <si>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</si>
  <si>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</si>
  <si>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</si>
  <si>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</si>
  <si>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</si>
  <si>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</si>
  <si>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</si>
  <si>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</si>
  <si>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</si>
  <si>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</si>
  <si>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</si>
  <si>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</si>
  <si>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</si>
  <si>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</si>
  <si>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</si>
  <si>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</si>
  <si>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</si>
  <si>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</si>
  <si>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</si>
  <si>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</si>
  <si>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</si>
  <si>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</si>
  <si>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</si>
  <si>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</si>
  <si>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</si>
  <si>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</si>
  <si>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</si>
  <si>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</si>
  <si>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</si>
  <si>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</si>
  <si>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</si>
  <si>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</si>
  <si>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</si>
  <si>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</si>
  <si>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</si>
  <si>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</si>
  <si>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</si>
  <si>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</si>
  <si>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</si>
  <si>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</si>
  <si>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</si>
  <si>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</si>
  <si>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</si>
  <si>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</si>
  <si>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Chapel Hill Denham Money Market Fund(Frml NGIF)</t>
  </si>
  <si>
    <t>Coral Money Market Fund (FSDH Treasury Bill Fund)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</si>
  <si>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</si>
  <si>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</si>
  <si>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</si>
  <si>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</si>
  <si>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</si>
  <si>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</si>
  <si>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</si>
  <si>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</si>
  <si>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</si>
  <si>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</si>
  <si>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</si>
  <si>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</si>
  <si>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</si>
  <si>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</si>
  <si>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</si>
  <si>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</si>
  <si>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</si>
  <si>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</si>
  <si>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</si>
  <si>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</si>
  <si>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</si>
  <si>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</si>
  <si>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</si>
  <si>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</si>
  <si>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</si>
  <si>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</si>
  <si>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</si>
  <si>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</si>
  <si>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</si>
  <si>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</si>
  <si>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</si>
  <si>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</si>
  <si>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</si>
  <si>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</si>
  <si>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</si>
  <si>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</si>
  <si>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</si>
  <si>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</si>
  <si>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</si>
  <si>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</si>
  <si>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</si>
  <si>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</si>
  <si>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</si>
  <si>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</si>
  <si>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</si>
  <si>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</si>
  <si>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</si>
  <si>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</si>
  <si>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</si>
  <si>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</si>
  <si>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</si>
  <si>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</si>
  <si>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</si>
  <si>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</si>
  <si>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</si>
  <si>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FBN Bond Fund (FBN Fixed Income Fund)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</si>
  <si>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</si>
  <si>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</si>
  <si>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</si>
  <si>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</si>
  <si>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</si>
  <si>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</si>
  <si>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</si>
  <si>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</si>
  <si>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</si>
  <si>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</si>
  <si>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</si>
  <si>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</si>
  <si>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</si>
  <si>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</si>
  <si>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</si>
  <si>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</si>
  <si>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</si>
  <si>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</si>
  <si>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</si>
  <si>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</si>
  <si>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</si>
  <si>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</si>
  <si>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</si>
  <si>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</si>
  <si>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</si>
  <si>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</si>
  <si>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</si>
  <si>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</si>
  <si>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</si>
  <si>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</si>
  <si>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</si>
  <si>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</si>
  <si>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</si>
  <si>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</si>
  <si>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</si>
  <si>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</si>
  <si>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</si>
  <si>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</si>
  <si>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</si>
  <si>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</si>
  <si>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</si>
  <si>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</si>
  <si>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</si>
  <si>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</si>
  <si>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</si>
  <si>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</si>
  <si>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</si>
  <si>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</si>
  <si>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</si>
  <si>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</si>
  <si>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</si>
  <si>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</si>
  <si>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</si>
  <si>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</si>
  <si>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</si>
  <si>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</si>
  <si>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</si>
  <si>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</si>
  <si>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</si>
  <si>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</si>
  <si>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</si>
  <si>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</si>
  <si>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</si>
  <si>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</si>
  <si>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</si>
  <si>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</si>
  <si>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</si>
  <si>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</si>
  <si>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</si>
  <si>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</si>
  <si>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</si>
  <si>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</si>
  <si>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</si>
  <si>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</si>
  <si>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</si>
  <si>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</si>
  <si>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</si>
  <si>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</si>
  <si>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</si>
  <si>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</si>
  <si>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</si>
  <si>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</si>
  <si>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</si>
  <si>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</si>
  <si>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</si>
  <si>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</si>
  <si>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</si>
  <si>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</si>
  <si>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</si>
  <si>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</si>
  <si>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</si>
  <si>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</si>
  <si>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</si>
  <si>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</si>
  <si>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</si>
  <si>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</si>
  <si>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</si>
  <si>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</si>
  <si>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ARM Fixed Income Fund</t>
  </si>
  <si>
    <t>UNREALIZED CAPITAL GAIN/LOSS (N)</t>
  </si>
  <si>
    <t>Page Money Market Fund</t>
  </si>
  <si>
    <t>Page Asset Management Limited</t>
  </si>
  <si>
    <t>RT Briscoe Savings &amp; Investment Fund</t>
  </si>
  <si>
    <t>Cowry Equity Fund</t>
  </si>
  <si>
    <r>
      <t>US$/NG</t>
    </r>
    <r>
      <rPr>
        <strike/>
        <sz val="10"/>
        <color rgb="FFFFFFFF"/>
        <rFont val="Times New Roman"/>
        <family val="1"/>
      </rPr>
      <t>N</t>
    </r>
    <r>
      <rPr>
        <sz val="10"/>
        <color rgb="FFFFFFFF"/>
        <rFont val="Times New Roman"/>
        <family val="1"/>
      </rPr>
      <t xml:space="preserve"> I&amp;E as at 31st May, 2024 = N1,483.482</t>
    </r>
  </si>
  <si>
    <t>AIICO Eurobond Fund</t>
  </si>
  <si>
    <t>CardinalStone Dollar Fund</t>
  </si>
  <si>
    <t>Comercio Partners Dollar Fund</t>
  </si>
  <si>
    <t>Comercio Partners Asset Management Limited</t>
  </si>
  <si>
    <t>Cowry Eurobond Fund</t>
  </si>
  <si>
    <t>EDC Dollar Fund</t>
  </si>
  <si>
    <t>Alpha Morgan Balanced Fund</t>
  </si>
  <si>
    <t>Alpha Morgan Capital Managers Limited</t>
  </si>
  <si>
    <t>FSDH Halal Fund</t>
  </si>
  <si>
    <t>Marble Halal Commodities Fund</t>
  </si>
  <si>
    <t xml:space="preserve">Marble Capital Limited </t>
  </si>
  <si>
    <t>Marble Halal Fixed Income Fund</t>
  </si>
  <si>
    <t>Cowry Fixed Income Fund</t>
  </si>
  <si>
    <t>15,794,942.20</t>
  </si>
  <si>
    <t>Housing Solution Fund</t>
  </si>
  <si>
    <t>FUNDCO Capital Managers Limited</t>
  </si>
  <si>
    <t>2,286,797,004.41</t>
  </si>
  <si>
    <t>107.77</t>
  </si>
  <si>
    <t>21,220,000</t>
  </si>
  <si>
    <t>Utica Custodian Assured Fixed Income Fund</t>
  </si>
  <si>
    <t>Utica Capital Limited</t>
  </si>
  <si>
    <t>CardinalStone Equity Fund</t>
  </si>
  <si>
    <t>Cowry Balanced Fund</t>
  </si>
  <si>
    <t>The Nigeria Football Fund</t>
  </si>
  <si>
    <t>GTI Asset Management &amp; Trust Limited</t>
  </si>
  <si>
    <t>Comercio Partners Money Market Fund</t>
  </si>
  <si>
    <t>Comercio Partners Fixed Income Fund</t>
  </si>
  <si>
    <t>Nigeria Bond Fund</t>
  </si>
  <si>
    <t>Guaranty Trust Fixed Income Fund</t>
  </si>
  <si>
    <t>Norrenberger Turbo Fixed Income Fund</t>
  </si>
  <si>
    <t>Norrenberger Investment &amp; Capital Mgt. Ltd.</t>
  </si>
  <si>
    <t>Lead Dollar Fixed Income Fund</t>
  </si>
  <si>
    <t>Lead Asset Management Limited</t>
  </si>
  <si>
    <t>% TO TOTAL</t>
  </si>
  <si>
    <t>April 2024</t>
  </si>
  <si>
    <t>May 2024</t>
  </si>
  <si>
    <t>The chart above shows that the Dollar Fund (Eurobonds and Fixed Income) has the highest share of the Aggregate Net Asset Value (NAV) at 48.68% followed by Money Market Fund  with 34.87%, Bond/Fixed Income Fund at 8.52%, Real Estate Investment Trust at 3.34%.  Next is Balanced Fund at 1.68%, Shari'ah Compliant Fund at 1.77%, Equity Fund at 0.96% and Ethical Fund at 0.17%.</t>
  </si>
  <si>
    <t>MONTHLY UPDATE ON REGISTERED MUTUAL FUNDS AS AT 31ST MAY,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</si>
</sst>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8"/>
      <color theme="0"/>
      <name val="Century Gothic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0"/>
      <color rgb="FF00000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b/>
      <sz val="10"/>
      <color rgb="FFFF0000"/>
      <name val="Century Gothic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theme="0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rgb="FFFFFFFF"/>
      <name val="Times New Roman"/>
      <family val="1"/>
    </font>
    <font>
      <strike/>
      <sz val="10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entury Gothic"/>
      <family val="2"/>
    </font>
    <font>
      <sz val="8"/>
      <name val="Arial Narrow"/>
      <family val="2"/>
    </font>
    <font>
      <b/>
      <sz val="8"/>
      <name val="Century Gothic"/>
      <family val="2"/>
    </font>
    <font>
      <sz val="8"/>
      <color indexed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9"/>
      <name val="Century Gothic"/>
      <family val="2"/>
    </font>
    <font>
      <b/>
      <sz val="32"/>
      <color indexed="9"/>
      <name val="Segoe UI Black"/>
      <family val="2"/>
    </font>
    <font>
      <b/>
      <sz val="8"/>
      <color theme="9"/>
      <name val="Century Gothic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0"/>
      <name val="Century Gothic"/>
      <family val="2"/>
    </font>
    <font>
      <sz val="12"/>
      <color theme="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4" tint="0.79989013336588644"/>
      </left>
      <right style="thin">
        <color theme="4" tint="0.79989013336588644"/>
      </right>
      <top style="thin">
        <color theme="4" tint="0.79989013336588644"/>
      </top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65">
    <xf numFmtId="0" fontId="0" fillId="0" borderId="0"/>
    <xf numFmtId="164" fontId="30" fillId="0" borderId="0" applyFont="0" applyFill="0" applyBorder="0" applyAlignment="0" applyProtection="0"/>
    <xf numFmtId="44" fontId="30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165" fontId="21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3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3" fillId="11" borderId="0" applyNumberFormat="0" applyBorder="0" applyAlignment="0" applyProtection="0"/>
    <xf numFmtId="17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49" fontId="18" fillId="0" borderId="0"/>
    <xf numFmtId="49" fontId="18" fillId="0" borderId="0"/>
    <xf numFmtId="49" fontId="18" fillId="0" borderId="0"/>
    <xf numFmtId="49" fontId="18" fillId="0" borderId="0"/>
    <xf numFmtId="0" fontId="18" fillId="0" borderId="0"/>
    <xf numFmtId="37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9" fontId="1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15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0" fontId="9" fillId="2" borderId="0" xfId="0" applyFont="1" applyFill="1" applyAlignment="1">
      <alignment wrapText="1"/>
    </xf>
    <xf numFmtId="0" fontId="3" fillId="0" borderId="0" xfId="0" applyFont="1" applyAlignment="1">
      <alignment horizontal="right"/>
    </xf>
    <xf numFmtId="16" fontId="5" fillId="2" borderId="0" xfId="0" applyNumberFormat="1" applyFont="1" applyFill="1"/>
    <xf numFmtId="164" fontId="6" fillId="2" borderId="0" xfId="1" applyFont="1" applyFill="1" applyBorder="1"/>
    <xf numFmtId="164" fontId="2" fillId="0" borderId="0" xfId="1" applyFont="1" applyBorder="1"/>
    <xf numFmtId="4" fontId="8" fillId="2" borderId="0" xfId="0" applyNumberFormat="1" applyFont="1" applyFill="1"/>
    <xf numFmtId="172" fontId="7" fillId="2" borderId="0" xfId="0" applyNumberFormat="1" applyFont="1" applyFill="1"/>
    <xf numFmtId="4" fontId="8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164" fontId="8" fillId="2" borderId="0" xfId="1" applyFont="1" applyFill="1" applyBorder="1" applyAlignment="1">
      <alignment horizontal="right" vertical="top" wrapText="1"/>
    </xf>
    <xf numFmtId="164" fontId="6" fillId="2" borderId="0" xfId="1" applyFont="1" applyFill="1" applyBorder="1" applyAlignment="1">
      <alignment horizontal="right" vertical="top" wrapText="1"/>
    </xf>
    <xf numFmtId="0" fontId="11" fillId="0" borderId="0" xfId="0" applyFont="1"/>
    <xf numFmtId="0" fontId="12" fillId="4" borderId="0" xfId="0" applyFont="1" applyFill="1"/>
    <xf numFmtId="0" fontId="12" fillId="0" borderId="0" xfId="0" applyFont="1"/>
    <xf numFmtId="0" fontId="14" fillId="0" borderId="0" xfId="0" applyFont="1"/>
    <xf numFmtId="0" fontId="12" fillId="2" borderId="0" xfId="0" applyFont="1" applyFill="1"/>
    <xf numFmtId="0" fontId="19" fillId="2" borderId="0" xfId="0" applyFont="1" applyFill="1"/>
    <xf numFmtId="164" fontId="12" fillId="2" borderId="0" xfId="1" applyFont="1" applyFill="1" applyBorder="1" applyAlignment="1"/>
    <xf numFmtId="0" fontId="20" fillId="9" borderId="0" xfId="0" applyFont="1" applyFill="1" applyAlignment="1">
      <alignment horizontal="right" vertical="center"/>
    </xf>
    <xf numFmtId="172" fontId="16" fillId="2" borderId="0" xfId="0" applyNumberFormat="1" applyFont="1" applyFill="1"/>
    <xf numFmtId="175" fontId="16" fillId="2" borderId="0" xfId="0" applyNumberFormat="1" applyFont="1" applyFill="1"/>
    <xf numFmtId="0" fontId="31" fillId="0" borderId="0" xfId="0" applyFont="1"/>
    <xf numFmtId="164" fontId="32" fillId="2" borderId="2" xfId="1" applyFont="1" applyFill="1" applyBorder="1"/>
    <xf numFmtId="0" fontId="28" fillId="9" borderId="0" xfId="0" applyFont="1" applyFill="1" applyAlignment="1">
      <alignment horizontal="left"/>
    </xf>
    <xf numFmtId="164" fontId="32" fillId="2" borderId="2" xfId="1" applyFont="1" applyFill="1" applyBorder="1" applyAlignment="1">
      <alignment horizontal="left"/>
    </xf>
    <xf numFmtId="164" fontId="35" fillId="2" borderId="2" xfId="1" applyFont="1" applyFill="1" applyBorder="1" applyAlignment="1"/>
    <xf numFmtId="164" fontId="35" fillId="2" borderId="2" xfId="1" applyFont="1" applyFill="1" applyBorder="1"/>
    <xf numFmtId="172" fontId="32" fillId="2" borderId="2" xfId="0" applyNumberFormat="1" applyFont="1" applyFill="1" applyBorder="1"/>
    <xf numFmtId="164" fontId="37" fillId="2" borderId="2" xfId="1" applyFont="1" applyFill="1" applyBorder="1"/>
    <xf numFmtId="164" fontId="35" fillId="2" borderId="2" xfId="1" applyFont="1" applyFill="1" applyBorder="1" applyAlignment="1">
      <alignment horizontal="right"/>
    </xf>
    <xf numFmtId="164" fontId="32" fillId="2" borderId="2" xfId="1" applyFont="1" applyFill="1" applyBorder="1" applyAlignment="1">
      <alignment horizontal="right" vertical="top" wrapText="1"/>
    </xf>
    <xf numFmtId="164" fontId="35" fillId="2" borderId="2" xfId="1" applyFont="1" applyFill="1" applyBorder="1" applyAlignment="1">
      <alignment horizontal="left"/>
    </xf>
    <xf numFmtId="164" fontId="32" fillId="2" borderId="2" xfId="1" applyFont="1" applyFill="1" applyBorder="1" applyAlignment="1">
      <alignment horizontal="right"/>
    </xf>
    <xf numFmtId="172" fontId="13" fillId="6" borderId="9" xfId="0" applyNumberFormat="1" applyFont="1" applyFill="1" applyBorder="1"/>
    <xf numFmtId="10" fontId="13" fillId="6" borderId="9" xfId="0" applyNumberFormat="1" applyFont="1" applyFill="1" applyBorder="1"/>
    <xf numFmtId="10" fontId="17" fillId="6" borderId="9" xfId="0" applyNumberFormat="1" applyFont="1" applyFill="1" applyBorder="1" applyAlignment="1">
      <alignment horizontal="right" vertical="center"/>
    </xf>
    <xf numFmtId="10" fontId="13" fillId="6" borderId="9" xfId="0" applyNumberFormat="1" applyFont="1" applyFill="1" applyBorder="1" applyAlignment="1">
      <alignment horizontal="right" vertical="center"/>
    </xf>
    <xf numFmtId="172" fontId="13" fillId="6" borderId="9" xfId="0" applyNumberFormat="1" applyFont="1" applyFill="1" applyBorder="1" applyAlignment="1">
      <alignment horizontal="right" vertical="center"/>
    </xf>
    <xf numFmtId="164" fontId="13" fillId="6" borderId="9" xfId="1" applyFont="1" applyFill="1" applyBorder="1"/>
    <xf numFmtId="173" fontId="32" fillId="2" borderId="4" xfId="0" applyNumberFormat="1" applyFont="1" applyFill="1" applyBorder="1" applyAlignment="1">
      <alignment horizontal="center" wrapText="1"/>
    </xf>
    <xf numFmtId="49" fontId="32" fillId="2" borderId="4" xfId="0" applyNumberFormat="1" applyFont="1" applyFill="1" applyBorder="1" applyAlignment="1">
      <alignment wrapText="1"/>
    </xf>
    <xf numFmtId="164" fontId="32" fillId="2" borderId="4" xfId="1" applyFont="1" applyFill="1" applyBorder="1" applyAlignment="1"/>
    <xf numFmtId="172" fontId="32" fillId="2" borderId="4" xfId="0" applyNumberFormat="1" applyFont="1" applyFill="1" applyBorder="1" applyAlignment="1">
      <alignment horizontal="left"/>
    </xf>
    <xf numFmtId="10" fontId="32" fillId="2" borderId="4" xfId="0" applyNumberFormat="1" applyFont="1" applyFill="1" applyBorder="1" applyAlignment="1">
      <alignment horizontal="center"/>
    </xf>
    <xf numFmtId="10" fontId="34" fillId="7" borderId="4" xfId="0" applyNumberFormat="1" applyFont="1" applyFill="1" applyBorder="1" applyAlignment="1">
      <alignment horizontal="center" vertical="center"/>
    </xf>
    <xf numFmtId="10" fontId="32" fillId="7" borderId="4" xfId="0" applyNumberFormat="1" applyFont="1" applyFill="1" applyBorder="1" applyAlignment="1">
      <alignment horizontal="center" vertical="center"/>
    </xf>
    <xf numFmtId="172" fontId="32" fillId="7" borderId="4" xfId="0" applyNumberFormat="1" applyFont="1" applyFill="1" applyBorder="1" applyAlignment="1">
      <alignment horizontal="right" vertical="center"/>
    </xf>
    <xf numFmtId="172" fontId="32" fillId="2" borderId="4" xfId="0" applyNumberFormat="1" applyFont="1" applyFill="1" applyBorder="1"/>
    <xf numFmtId="164" fontId="32" fillId="2" borderId="4" xfId="1" applyFont="1" applyFill="1" applyBorder="1"/>
    <xf numFmtId="49" fontId="32" fillId="2" borderId="4" xfId="0" applyNumberFormat="1" applyFont="1" applyFill="1" applyBorder="1"/>
    <xf numFmtId="49" fontId="32" fillId="2" borderId="4" xfId="0" applyNumberFormat="1" applyFont="1" applyFill="1" applyBorder="1" applyAlignment="1">
      <alignment vertical="center" wrapText="1"/>
    </xf>
    <xf numFmtId="4" fontId="32" fillId="0" borderId="4" xfId="0" applyNumberFormat="1" applyFont="1" applyBorder="1"/>
    <xf numFmtId="4" fontId="32" fillId="0" borderId="4" xfId="0" applyNumberFormat="1" applyFont="1" applyBorder="1" applyAlignment="1">
      <alignment horizontal="right"/>
    </xf>
    <xf numFmtId="172" fontId="32" fillId="2" borderId="4" xfId="0" applyNumberFormat="1" applyFont="1" applyFill="1" applyBorder="1" applyAlignment="1">
      <alignment horizontal="right"/>
    </xf>
    <xf numFmtId="172" fontId="32" fillId="29" borderId="4" xfId="0" applyNumberFormat="1" applyFont="1" applyFill="1" applyBorder="1" applyAlignment="1">
      <alignment horizontal="left"/>
    </xf>
    <xf numFmtId="3" fontId="32" fillId="0" borderId="4" xfId="0" applyNumberFormat="1" applyFont="1" applyBorder="1"/>
    <xf numFmtId="43" fontId="32" fillId="0" borderId="4" xfId="0" applyNumberFormat="1" applyFont="1" applyBorder="1"/>
    <xf numFmtId="43" fontId="32" fillId="0" borderId="4" xfId="2" applyNumberFormat="1" applyFont="1" applyBorder="1" applyAlignment="1"/>
    <xf numFmtId="43" fontId="32" fillId="0" borderId="4" xfId="0" applyNumberFormat="1" applyFont="1" applyBorder="1" applyAlignment="1">
      <alignment vertical="center"/>
    </xf>
    <xf numFmtId="172" fontId="34" fillId="2" borderId="4" xfId="0" applyNumberFormat="1" applyFont="1" applyFill="1" applyBorder="1" applyAlignment="1">
      <alignment horizontal="left"/>
    </xf>
    <xf numFmtId="10" fontId="34" fillId="2" borderId="4" xfId="0" applyNumberFormat="1" applyFont="1" applyFill="1" applyBorder="1" applyAlignment="1">
      <alignment horizontal="center"/>
    </xf>
    <xf numFmtId="172" fontId="34" fillId="7" borderId="4" xfId="0" applyNumberFormat="1" applyFont="1" applyFill="1" applyBorder="1" applyAlignment="1">
      <alignment horizontal="right" vertical="center"/>
    </xf>
    <xf numFmtId="172" fontId="34" fillId="2" borderId="4" xfId="0" applyNumberFormat="1" applyFont="1" applyFill="1" applyBorder="1"/>
    <xf numFmtId="164" fontId="34" fillId="2" borderId="4" xfId="1" applyFont="1" applyFill="1" applyBorder="1"/>
    <xf numFmtId="172" fontId="32" fillId="29" borderId="4" xfId="0" applyNumberFormat="1" applyFont="1" applyFill="1" applyBorder="1"/>
    <xf numFmtId="172" fontId="32" fillId="7" borderId="4" xfId="0" applyNumberFormat="1" applyFont="1" applyFill="1" applyBorder="1" applyAlignment="1">
      <alignment horizontal="center" vertical="center"/>
    </xf>
    <xf numFmtId="43" fontId="32" fillId="2" borderId="4" xfId="0" applyNumberFormat="1" applyFont="1" applyFill="1" applyBorder="1" applyAlignment="1">
      <alignment horizontal="center"/>
    </xf>
    <xf numFmtId="172" fontId="34" fillId="7" borderId="4" xfId="0" applyNumberFormat="1" applyFont="1" applyFill="1" applyBorder="1" applyAlignment="1">
      <alignment horizontal="center" vertical="center"/>
    </xf>
    <xf numFmtId="4" fontId="32" fillId="0" borderId="4" xfId="0" applyNumberFormat="1" applyFont="1" applyFill="1" applyBorder="1"/>
    <xf numFmtId="164" fontId="32" fillId="0" borderId="4" xfId="1" applyFont="1" applyFill="1" applyBorder="1" applyAlignment="1"/>
    <xf numFmtId="0" fontId="32" fillId="2" borderId="4" xfId="0" applyFont="1" applyFill="1" applyBorder="1"/>
    <xf numFmtId="173" fontId="32" fillId="2" borderId="4" xfId="0" applyNumberFormat="1" applyFont="1" applyFill="1" applyBorder="1" applyAlignment="1">
      <alignment horizontal="right" wrapText="1"/>
    </xf>
    <xf numFmtId="164" fontId="32" fillId="0" borderId="4" xfId="1" applyFont="1" applyBorder="1"/>
    <xf numFmtId="4" fontId="32" fillId="2" borderId="4" xfId="0" applyNumberFormat="1" applyFont="1" applyFill="1" applyBorder="1" applyAlignment="1">
      <alignment wrapText="1"/>
    </xf>
    <xf numFmtId="0" fontId="32" fillId="2" borderId="4" xfId="0" applyFont="1" applyFill="1" applyBorder="1" applyAlignment="1">
      <alignment wrapText="1"/>
    </xf>
    <xf numFmtId="164" fontId="34" fillId="2" borderId="4" xfId="1" applyFont="1" applyFill="1" applyBorder="1" applyAlignment="1"/>
    <xf numFmtId="164" fontId="32" fillId="2" borderId="4" xfId="1" applyFont="1" applyFill="1" applyBorder="1" applyAlignment="1">
      <alignment horizontal="center" vertical="top" wrapText="1"/>
    </xf>
    <xf numFmtId="164" fontId="34" fillId="2" borderId="4" xfId="1" applyFont="1" applyFill="1" applyBorder="1" applyAlignment="1">
      <alignment horizontal="center" vertical="top" wrapText="1"/>
    </xf>
    <xf numFmtId="164" fontId="32" fillId="2" borderId="4" xfId="1" applyFont="1" applyFill="1" applyBorder="1" applyAlignment="1">
      <alignment horizontal="right"/>
    </xf>
    <xf numFmtId="164" fontId="32" fillId="2" borderId="4" xfId="1" applyFont="1" applyFill="1" applyBorder="1" applyAlignment="1">
      <alignment horizontal="right" vertical="top" wrapText="1"/>
    </xf>
    <xf numFmtId="164" fontId="32" fillId="2" borderId="4" xfId="1" applyFont="1" applyFill="1" applyBorder="1" applyAlignment="1">
      <alignment horizontal="left"/>
    </xf>
    <xf numFmtId="49" fontId="32" fillId="2" borderId="4" xfId="0" applyNumberFormat="1" applyFont="1" applyFill="1" applyBorder="1" applyAlignment="1">
      <alignment vertical="top" wrapText="1"/>
    </xf>
    <xf numFmtId="164" fontId="34" fillId="2" borderId="4" xfId="1" applyFont="1" applyFill="1" applyBorder="1" applyAlignment="1">
      <alignment wrapText="1"/>
    </xf>
    <xf numFmtId="10" fontId="34" fillId="7" borderId="4" xfId="0" applyNumberFormat="1" applyFont="1" applyFill="1" applyBorder="1" applyAlignment="1">
      <alignment horizontal="right" vertical="center"/>
    </xf>
    <xf numFmtId="10" fontId="32" fillId="2" borderId="4" xfId="0" applyNumberFormat="1" applyFont="1" applyFill="1" applyBorder="1"/>
    <xf numFmtId="164" fontId="32" fillId="2" borderId="4" xfId="1" applyFont="1" applyFill="1" applyBorder="1" applyAlignment="1">
      <alignment wrapText="1"/>
    </xf>
    <xf numFmtId="49" fontId="15" fillId="6" borderId="4" xfId="0" applyNumberFormat="1" applyFont="1" applyFill="1" applyBorder="1" applyAlignment="1">
      <alignment horizontal="center" vertical="top" wrapText="1"/>
    </xf>
    <xf numFmtId="164" fontId="15" fillId="6" borderId="4" xfId="1" applyFont="1" applyFill="1" applyBorder="1" applyAlignment="1">
      <alignment horizontal="center" vertical="top" wrapText="1"/>
    </xf>
    <xf numFmtId="174" fontId="32" fillId="2" borderId="4" xfId="1" applyNumberFormat="1" applyFont="1" applyFill="1" applyBorder="1" applyAlignment="1">
      <alignment horizontal="center" wrapText="1"/>
    </xf>
    <xf numFmtId="164" fontId="32" fillId="2" borderId="4" xfId="1" applyFont="1" applyFill="1" applyBorder="1" applyAlignment="1">
      <alignment horizontal="left" vertical="top" wrapText="1"/>
    </xf>
    <xf numFmtId="4" fontId="32" fillId="2" borderId="4" xfId="464" applyNumberFormat="1" applyFont="1" applyFill="1" applyBorder="1" applyAlignment="1">
      <alignment wrapText="1"/>
    </xf>
    <xf numFmtId="0" fontId="32" fillId="2" borderId="4" xfId="464" applyFont="1" applyFill="1" applyBorder="1" applyAlignment="1">
      <alignment wrapText="1"/>
    </xf>
    <xf numFmtId="164" fontId="32" fillId="0" borderId="4" xfId="1" applyFont="1" applyBorder="1" applyAlignment="1">
      <alignment horizontal="right"/>
    </xf>
    <xf numFmtId="164" fontId="32" fillId="0" borderId="4" xfId="1" applyFont="1" applyBorder="1" applyAlignment="1"/>
    <xf numFmtId="164" fontId="32" fillId="0" borderId="4" xfId="1" applyFont="1" applyFill="1" applyBorder="1"/>
    <xf numFmtId="164" fontId="32" fillId="0" borderId="4" xfId="1" applyFont="1" applyFill="1" applyBorder="1" applyAlignment="1">
      <alignment horizontal="right"/>
    </xf>
    <xf numFmtId="164" fontId="32" fillId="0" borderId="4" xfId="1" applyFont="1" applyBorder="1" applyAlignment="1">
      <alignment vertical="center"/>
    </xf>
    <xf numFmtId="164" fontId="32" fillId="2" borderId="4" xfId="1" applyFont="1" applyFill="1" applyBorder="1" applyAlignment="1">
      <alignment horizontal="right" wrapText="1"/>
    </xf>
    <xf numFmtId="164" fontId="32" fillId="2" borderId="4" xfId="1" applyFont="1" applyFill="1" applyBorder="1" applyAlignment="1" applyProtection="1"/>
    <xf numFmtId="164" fontId="32" fillId="0" borderId="4" xfId="1" applyFont="1" applyBorder="1" applyAlignment="1">
      <alignment horizontal="right" vertical="center"/>
    </xf>
    <xf numFmtId="164" fontId="36" fillId="0" borderId="2" xfId="1" applyFont="1" applyBorder="1"/>
    <xf numFmtId="164" fontId="36" fillId="29" borderId="2" xfId="1" applyFont="1" applyFill="1" applyBorder="1" applyAlignment="1">
      <alignment horizontal="left"/>
    </xf>
    <xf numFmtId="164" fontId="36" fillId="0" borderId="2" xfId="1" applyFont="1" applyBorder="1" applyAlignment="1"/>
    <xf numFmtId="164" fontId="36" fillId="29" borderId="2" xfId="1" applyFont="1" applyFill="1" applyBorder="1"/>
    <xf numFmtId="164" fontId="37" fillId="0" borderId="2" xfId="1" applyFont="1" applyBorder="1"/>
    <xf numFmtId="164" fontId="36" fillId="0" borderId="2" xfId="1" applyFont="1" applyBorder="1" applyAlignment="1">
      <alignment horizontal="right"/>
    </xf>
    <xf numFmtId="164" fontId="35" fillId="2" borderId="2" xfId="1" applyFont="1" applyFill="1" applyBorder="1" applyAlignment="1">
      <alignment horizontal="center"/>
    </xf>
    <xf numFmtId="164" fontId="36" fillId="0" borderId="2" xfId="1" applyFont="1" applyBorder="1" applyAlignment="1">
      <alignment vertical="center"/>
    </xf>
    <xf numFmtId="164" fontId="36" fillId="2" borderId="2" xfId="1" applyFont="1" applyFill="1" applyBorder="1"/>
    <xf numFmtId="10" fontId="40" fillId="2" borderId="4" xfId="0" applyNumberFormat="1" applyFont="1" applyFill="1" applyBorder="1" applyAlignment="1">
      <alignment horizontal="center"/>
    </xf>
    <xf numFmtId="164" fontId="33" fillId="2" borderId="2" xfId="1" applyFont="1" applyFill="1" applyBorder="1" applyAlignment="1">
      <alignment horizontal="right" vertical="top" wrapText="1"/>
    </xf>
    <xf numFmtId="43" fontId="11" fillId="0" borderId="0" xfId="201" applyFont="1"/>
    <xf numFmtId="4" fontId="33" fillId="2" borderId="2" xfId="0" applyNumberFormat="1" applyFont="1" applyFill="1" applyBorder="1"/>
    <xf numFmtId="4" fontId="33" fillId="2" borderId="2" xfId="0" applyNumberFormat="1" applyFont="1" applyFill="1" applyBorder="1" applyAlignment="1">
      <alignment horizontal="righ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4" fontId="42" fillId="2" borderId="1" xfId="0" applyNumberFormat="1" applyFont="1" applyFill="1" applyBorder="1" applyAlignment="1">
      <alignment horizontal="right"/>
    </xf>
    <xf numFmtId="4" fontId="42" fillId="2" borderId="0" xfId="0" applyNumberFormat="1" applyFont="1" applyFill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71" fontId="2" fillId="0" borderId="0" xfId="201" applyNumberFormat="1" applyFont="1" applyBorder="1"/>
    <xf numFmtId="49" fontId="34" fillId="2" borderId="4" xfId="0" applyNumberFormat="1" applyFont="1" applyFill="1" applyBorder="1" applyAlignment="1">
      <alignment horizontal="right"/>
    </xf>
    <xf numFmtId="49" fontId="13" fillId="6" borderId="6" xfId="0" applyNumberFormat="1" applyFont="1" applyFill="1" applyBorder="1" applyAlignment="1">
      <alignment horizontal="right"/>
    </xf>
    <xf numFmtId="49" fontId="13" fillId="6" borderId="7" xfId="0" applyNumberFormat="1" applyFont="1" applyFill="1" applyBorder="1" applyAlignment="1">
      <alignment horizontal="right"/>
    </xf>
    <xf numFmtId="49" fontId="13" fillId="6" borderId="8" xfId="0" applyNumberFormat="1" applyFont="1" applyFill="1" applyBorder="1" applyAlignment="1">
      <alignment horizontal="right"/>
    </xf>
    <xf numFmtId="173" fontId="32" fillId="2" borderId="4" xfId="0" applyNumberFormat="1" applyFont="1" applyFill="1" applyBorder="1" applyAlignment="1">
      <alignment horizontal="center" wrapText="1"/>
    </xf>
    <xf numFmtId="49" fontId="15" fillId="2" borderId="4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wrapText="1"/>
    </xf>
    <xf numFmtId="49" fontId="34" fillId="2" borderId="4" xfId="0" applyNumberFormat="1" applyFont="1" applyFill="1" applyBorder="1" applyAlignment="1">
      <alignment horizontal="center" vertical="top" wrapText="1"/>
    </xf>
    <xf numFmtId="173" fontId="34" fillId="2" borderId="4" xfId="0" applyNumberFormat="1" applyFont="1" applyFill="1" applyBorder="1" applyAlignment="1">
      <alignment horizontal="center" wrapText="1"/>
    </xf>
    <xf numFmtId="49" fontId="34" fillId="2" borderId="4" xfId="0" applyNumberFormat="1" applyFont="1" applyFill="1" applyBorder="1" applyAlignment="1">
      <alignment horizontal="center" wrapText="1"/>
    </xf>
    <xf numFmtId="49" fontId="39" fillId="5" borderId="5" xfId="0" applyNumberFormat="1" applyFont="1" applyFill="1" applyBorder="1" applyAlignment="1">
      <alignment horizontal="center"/>
    </xf>
    <xf numFmtId="0" fontId="39" fillId="5" borderId="5" xfId="0" applyFont="1" applyFill="1" applyBorder="1" applyAlignment="1">
      <alignment horizontal="center"/>
    </xf>
    <xf numFmtId="173" fontId="34" fillId="2" borderId="4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 wrapText="1"/>
    </xf>
    <xf numFmtId="0" fontId="43" fillId="0" borderId="2" xfId="0" applyFont="1" applyBorder="1" applyAlignment="1">
      <alignment horizontal="right"/>
    </xf>
    <xf numFmtId="16" fontId="43" fillId="2" borderId="2" xfId="0" quotePrefix="1" applyNumberFormat="1" applyFont="1" applyFill="1" applyBorder="1" applyAlignment="1">
      <alignment horizontal="right"/>
    </xf>
    <xf numFmtId="164" fontId="44" fillId="2" borderId="2" xfId="1" applyFont="1" applyFill="1" applyBorder="1" applyAlignment="1">
      <alignment horizontal="right" vertical="top" wrapText="1"/>
    </xf>
    <xf numFmtId="164" fontId="44" fillId="2" borderId="2" xfId="1" applyFont="1" applyFill="1" applyBorder="1"/>
    <xf numFmtId="4" fontId="44" fillId="2" borderId="2" xfId="0" applyNumberFormat="1" applyFont="1" applyFill="1" applyBorder="1"/>
    <xf numFmtId="4" fontId="44" fillId="2" borderId="2" xfId="0" applyNumberFormat="1" applyFont="1" applyFill="1" applyBorder="1" applyAlignment="1">
      <alignment horizontal="right"/>
    </xf>
    <xf numFmtId="172" fontId="45" fillId="2" borderId="2" xfId="0" applyNumberFormat="1" applyFont="1" applyFill="1" applyBorder="1"/>
    <xf numFmtId="164" fontId="6" fillId="2" borderId="2" xfId="1" applyFont="1" applyFill="1" applyBorder="1"/>
    <xf numFmtId="16" fontId="3" fillId="2" borderId="0" xfId="0" quotePrefix="1" applyNumberFormat="1" applyFont="1" applyFill="1" applyAlignment="1">
      <alignment horizontal="right" wrapText="1"/>
    </xf>
    <xf numFmtId="0" fontId="3" fillId="0" borderId="0" xfId="0" applyFont="1" applyAlignment="1">
      <alignment horizontal="right" wrapText="1"/>
    </xf>
    <xf numFmtId="43" fontId="2" fillId="0" borderId="0" xfId="201" applyFont="1" applyBorder="1"/>
    <xf numFmtId="43" fontId="46" fillId="0" borderId="0" xfId="201" applyFont="1" applyBorder="1"/>
    <xf numFmtId="172" fontId="38" fillId="2" borderId="4" xfId="0" applyNumberFormat="1" applyFont="1" applyFill="1" applyBorder="1" applyAlignment="1">
      <alignment horizontal="center" wrapText="1"/>
    </xf>
  </cellXfs>
  <cellStyles count="465">
    <cellStyle name="20% - Accent1 2" xfId="3"/>
    <cellStyle name="20% - Accent1 2 2" xfId="4"/>
    <cellStyle name="20% - Accent1 2 3" xfId="5"/>
    <cellStyle name="20% - Accent1 3" xfId="6"/>
    <cellStyle name="20% - Accent1 3 2" xfId="7"/>
    <cellStyle name="20% - Accent1 3 3" xfId="8"/>
    <cellStyle name="20% - Accent1 4" xfId="9"/>
    <cellStyle name="20% - Accent1 4 2" xfId="10"/>
    <cellStyle name="20% - Accent1 5" xfId="11"/>
    <cellStyle name="20% - Accent1 6" xfId="12"/>
    <cellStyle name="20% - Accent2 2" xfId="13"/>
    <cellStyle name="20% - Accent2 2 2" xfId="14"/>
    <cellStyle name="20% - Accent2 2 3" xfId="15"/>
    <cellStyle name="20% - Accent2 3" xfId="16"/>
    <cellStyle name="20% - Accent2 3 2" xfId="17"/>
    <cellStyle name="20% - Accent2 3 3" xfId="18"/>
    <cellStyle name="20% - Accent2 4" xfId="19"/>
    <cellStyle name="20% - Accent2 4 2" xfId="20"/>
    <cellStyle name="20% - Accent2 5" xfId="21"/>
    <cellStyle name="20% - Accent2 6" xfId="22"/>
    <cellStyle name="20% - Accent3 2" xfId="23"/>
    <cellStyle name="20% - Accent3 2 2" xfId="24"/>
    <cellStyle name="20% - Accent3 2 3" xfId="25"/>
    <cellStyle name="20% - Accent3 3" xfId="26"/>
    <cellStyle name="20% - Accent3 3 2" xfId="27"/>
    <cellStyle name="20% - Accent3 3 3" xfId="28"/>
    <cellStyle name="20% - Accent3 4" xfId="29"/>
    <cellStyle name="20% - Accent3 4 2" xfId="30"/>
    <cellStyle name="20% - Accent3 5" xfId="31"/>
    <cellStyle name="20% - Accent3 6" xfId="32"/>
    <cellStyle name="20% - Accent4 2" xfId="33"/>
    <cellStyle name="20% - Accent4 2 2" xfId="34"/>
    <cellStyle name="20% - Accent4 2 3" xfId="35"/>
    <cellStyle name="20% - Accent4 3" xfId="36"/>
    <cellStyle name="20% - Accent4 3 2" xfId="37"/>
    <cellStyle name="20% - Accent4 3 3" xfId="38"/>
    <cellStyle name="20% - Accent4 4" xfId="39"/>
    <cellStyle name="20% - Accent4 4 2" xfId="40"/>
    <cellStyle name="20% - Accent4 5" xfId="41"/>
    <cellStyle name="20% - Accent4 6" xfId="42"/>
    <cellStyle name="20% - Accent5 2" xfId="43"/>
    <cellStyle name="20% - Accent5 2 2" xfId="44"/>
    <cellStyle name="20% - Accent5 2 3" xfId="45"/>
    <cellStyle name="20% - Accent5 3" xfId="46"/>
    <cellStyle name="20% - Accent5 3 2" xfId="47"/>
    <cellStyle name="20% - Accent5 3 3" xfId="48"/>
    <cellStyle name="20% - Accent5 4" xfId="49"/>
    <cellStyle name="20% - Accent5 4 2" xfId="50"/>
    <cellStyle name="20% - Accent5 5" xfId="51"/>
    <cellStyle name="20% - Accent5 6" xfId="52"/>
    <cellStyle name="20% - Accent6 2" xfId="53"/>
    <cellStyle name="20% - Accent6 2 2" xfId="54"/>
    <cellStyle name="20% - Accent6 2 3" xfId="55"/>
    <cellStyle name="20% - Accent6 3" xfId="56"/>
    <cellStyle name="20% - Accent6 3 2" xfId="57"/>
    <cellStyle name="20% - Accent6 3 3" xfId="58"/>
    <cellStyle name="20% - Accent6 4" xfId="59"/>
    <cellStyle name="20% - Accent6 4 2" xfId="60"/>
    <cellStyle name="20% - Accent6 5" xfId="61"/>
    <cellStyle name="20% - Accent6 6" xfId="62"/>
    <cellStyle name="40% - Accent1 2" xfId="63"/>
    <cellStyle name="40% - Accent1 2 2" xfId="64"/>
    <cellStyle name="40% - Accent1 2 3" xfId="65"/>
    <cellStyle name="40% - Accent1 3" xfId="66"/>
    <cellStyle name="40% - Accent1 3 2" xfId="67"/>
    <cellStyle name="40% - Accent1 3 3" xfId="68"/>
    <cellStyle name="40% - Accent1 4" xfId="69"/>
    <cellStyle name="40% - Accent1 4 2" xfId="70"/>
    <cellStyle name="40% - Accent1 5" xfId="71"/>
    <cellStyle name="40% - Accent1 6" xfId="72"/>
    <cellStyle name="40% - Accent2 2" xfId="73"/>
    <cellStyle name="40% - Accent2 2 2" xfId="74"/>
    <cellStyle name="40% - Accent2 2 3" xfId="75"/>
    <cellStyle name="40% - Accent2 3" xfId="76"/>
    <cellStyle name="40% - Accent2 3 2" xfId="77"/>
    <cellStyle name="40% - Accent2 3 3" xfId="78"/>
    <cellStyle name="40% - Accent2 4" xfId="79"/>
    <cellStyle name="40% - Accent2 4 2" xfId="80"/>
    <cellStyle name="40% - Accent2 5" xfId="81"/>
    <cellStyle name="40% - Accent2 6" xfId="82"/>
    <cellStyle name="40% - Accent3 2" xfId="83"/>
    <cellStyle name="40% - Accent3 2 2" xfId="84"/>
    <cellStyle name="40% - Accent3 2 3" xfId="85"/>
    <cellStyle name="40% - Accent3 3" xfId="86"/>
    <cellStyle name="40% - Accent3 3 2" xfId="87"/>
    <cellStyle name="40% - Accent3 3 3" xfId="88"/>
    <cellStyle name="40% - Accent3 4" xfId="89"/>
    <cellStyle name="40% - Accent3 4 2" xfId="90"/>
    <cellStyle name="40% - Accent3 5" xfId="91"/>
    <cellStyle name="40% - Accent3 6" xfId="92"/>
    <cellStyle name="40% - Accent4 2" xfId="93"/>
    <cellStyle name="40% - Accent4 2 2" xfId="94"/>
    <cellStyle name="40% - Accent4 2 3" xfId="95"/>
    <cellStyle name="40% - Accent4 3" xfId="96"/>
    <cellStyle name="40% - Accent4 3 2" xfId="97"/>
    <cellStyle name="40% - Accent4 3 3" xfId="98"/>
    <cellStyle name="40% - Accent4 4" xfId="99"/>
    <cellStyle name="40% - Accent4 4 2" xfId="100"/>
    <cellStyle name="40% - Accent4 5" xfId="101"/>
    <cellStyle name="40% - Accent4 6" xfId="102"/>
    <cellStyle name="40% - Accent5 2" xfId="103"/>
    <cellStyle name="40% - Accent5 2 2" xfId="104"/>
    <cellStyle name="40% - Accent5 2 3" xfId="105"/>
    <cellStyle name="40% - Accent5 3" xfId="106"/>
    <cellStyle name="40% - Accent5 3 2" xfId="107"/>
    <cellStyle name="40% - Accent5 3 3" xfId="108"/>
    <cellStyle name="40% - Accent5 4" xfId="109"/>
    <cellStyle name="40% - Accent5 4 2" xfId="110"/>
    <cellStyle name="40% - Accent5 5" xfId="111"/>
    <cellStyle name="40% - Accent5 6" xfId="112"/>
    <cellStyle name="40% - Accent6 2" xfId="113"/>
    <cellStyle name="40% - Accent6 2 2" xfId="114"/>
    <cellStyle name="40% - Accent6 2 3" xfId="115"/>
    <cellStyle name="40% - Accent6 3" xfId="116"/>
    <cellStyle name="40% - Accent6 3 2" xfId="117"/>
    <cellStyle name="40% - Accent6 3 3" xfId="118"/>
    <cellStyle name="40% - Accent6 4" xfId="119"/>
    <cellStyle name="40% - Accent6 4 2" xfId="120"/>
    <cellStyle name="40% - Accent6 5" xfId="121"/>
    <cellStyle name="40% - Accent6 6" xfId="122"/>
    <cellStyle name="60% - Accent1 2" xfId="123"/>
    <cellStyle name="60% - Accent1 2 2" xfId="124"/>
    <cellStyle name="60% - Accent1 2 3" xfId="125"/>
    <cellStyle name="60% - Accent1 3" xfId="126"/>
    <cellStyle name="60% - Accent1 3 2" xfId="127"/>
    <cellStyle name="60% - Accent1 3 3" xfId="128"/>
    <cellStyle name="60% - Accent1 4" xfId="129"/>
    <cellStyle name="60% - Accent1 4 2" xfId="130"/>
    <cellStyle name="60% - Accent1 5" xfId="131"/>
    <cellStyle name="60% - Accent1 6" xfId="132"/>
    <cellStyle name="60% - Accent2 2" xfId="133"/>
    <cellStyle name="60% - Accent2 2 2" xfId="134"/>
    <cellStyle name="60% - Accent2 2 3" xfId="135"/>
    <cellStyle name="60% - Accent2 3" xfId="136"/>
    <cellStyle name="60% - Accent2 3 2" xfId="137"/>
    <cellStyle name="60% - Accent2 3 3" xfId="138"/>
    <cellStyle name="60% - Accent2 4" xfId="139"/>
    <cellStyle name="60% - Accent2 4 2" xfId="140"/>
    <cellStyle name="60% - Accent2 5" xfId="141"/>
    <cellStyle name="60% - Accent2 6" xfId="142"/>
    <cellStyle name="60% - Accent3 2" xfId="143"/>
    <cellStyle name="60% - Accent3 2 2" xfId="144"/>
    <cellStyle name="60% - Accent3 2 3" xfId="145"/>
    <cellStyle name="60% - Accent3 3" xfId="146"/>
    <cellStyle name="60% - Accent3 3 2" xfId="147"/>
    <cellStyle name="60% - Accent3 3 3" xfId="148"/>
    <cellStyle name="60% - Accent3 4" xfId="149"/>
    <cellStyle name="60% - Accent3 4 2" xfId="150"/>
    <cellStyle name="60% - Accent3 5" xfId="151"/>
    <cellStyle name="60% - Accent3 6" xfId="152"/>
    <cellStyle name="60% - Accent4 2" xfId="153"/>
    <cellStyle name="60% - Accent4 2 2" xfId="154"/>
    <cellStyle name="60% - Accent4 2 3" xfId="155"/>
    <cellStyle name="60% - Accent4 3" xfId="156"/>
    <cellStyle name="60% - Accent4 3 2" xfId="157"/>
    <cellStyle name="60% - Accent4 3 3" xfId="158"/>
    <cellStyle name="60% - Accent4 4" xfId="159"/>
    <cellStyle name="60% - Accent4 4 2" xfId="160"/>
    <cellStyle name="60% - Accent4 5" xfId="161"/>
    <cellStyle name="60% - Accent4 6" xfId="162"/>
    <cellStyle name="60% - Accent5 2" xfId="163"/>
    <cellStyle name="60% - Accent5 2 2" xfId="164"/>
    <cellStyle name="60% - Accent5 2 3" xfId="165"/>
    <cellStyle name="60% - Accent5 3" xfId="166"/>
    <cellStyle name="60% - Accent5 3 2" xfId="167"/>
    <cellStyle name="60% - Accent5 3 3" xfId="168"/>
    <cellStyle name="60% - Accent5 4" xfId="169"/>
    <cellStyle name="60% - Accent5 4 2" xfId="170"/>
    <cellStyle name="60% - Accent5 5" xfId="171"/>
    <cellStyle name="60% - Accent5 6" xfId="172"/>
    <cellStyle name="60% - Accent6 2" xfId="173"/>
    <cellStyle name="60% - Accent6 2 2" xfId="174"/>
    <cellStyle name="60% - Accent6 2 3" xfId="175"/>
    <cellStyle name="60% - Accent6 3" xfId="176"/>
    <cellStyle name="60% - Accent6 3 2" xfId="177"/>
    <cellStyle name="60% - Accent6 3 3" xfId="178"/>
    <cellStyle name="60% - Accent6 4" xfId="179"/>
    <cellStyle name="60% - Accent6 4 2" xfId="180"/>
    <cellStyle name="60% - Accent6 5" xfId="181"/>
    <cellStyle name="60% - Accent6 6" xfId="182"/>
    <cellStyle name="Comma" xfId="1" builtinId="3"/>
    <cellStyle name="Comma 10" xfId="183"/>
    <cellStyle name="Comma 10 13" xfId="184"/>
    <cellStyle name="Comma 11" xfId="185"/>
    <cellStyle name="Comma 12" xfId="186"/>
    <cellStyle name="Comma 12 2" xfId="187"/>
    <cellStyle name="Comma 12 3" xfId="188"/>
    <cellStyle name="Comma 13" xfId="189"/>
    <cellStyle name="Comma 13 2" xfId="190"/>
    <cellStyle name="Comma 13 3" xfId="191"/>
    <cellStyle name="Comma 14" xfId="192"/>
    <cellStyle name="Comma 15" xfId="193"/>
    <cellStyle name="Comma 15 2" xfId="194"/>
    <cellStyle name="Comma 15 3" xfId="195"/>
    <cellStyle name="Comma 16" xfId="196"/>
    <cellStyle name="Comma 16 2" xfId="197"/>
    <cellStyle name="Comma 16 3" xfId="198"/>
    <cellStyle name="Comma 17" xfId="199"/>
    <cellStyle name="Comma 18" xfId="200"/>
    <cellStyle name="Comma 2" xfId="201"/>
    <cellStyle name="Comma 2 10" xfId="202"/>
    <cellStyle name="Comma 2 10 2" xfId="203"/>
    <cellStyle name="Comma 2 11" xfId="204"/>
    <cellStyle name="Comma 2 11 2" xfId="205"/>
    <cellStyle name="Comma 2 12" xfId="206"/>
    <cellStyle name="Comma 2 13" xfId="207"/>
    <cellStyle name="Comma 2 2" xfId="208"/>
    <cellStyle name="Comma 2 2 2" xfId="209"/>
    <cellStyle name="Comma 2 2 2 2" xfId="210"/>
    <cellStyle name="Comma 2 2 2 2 2" xfId="211"/>
    <cellStyle name="Comma 2 2 2 2 3" xfId="212"/>
    <cellStyle name="Comma 2 2 2 3" xfId="213"/>
    <cellStyle name="Comma 2 3" xfId="214"/>
    <cellStyle name="Comma 2 3 2" xfId="215"/>
    <cellStyle name="Comma 2 4" xfId="216"/>
    <cellStyle name="Comma 2 4 2" xfId="217"/>
    <cellStyle name="Comma 2 5" xfId="218"/>
    <cellStyle name="Comma 2 5 2" xfId="219"/>
    <cellStyle name="Comma 2 6" xfId="220"/>
    <cellStyle name="Comma 2 6 2" xfId="221"/>
    <cellStyle name="Comma 2 7" xfId="222"/>
    <cellStyle name="Comma 2 7 2" xfId="223"/>
    <cellStyle name="Comma 2 8" xfId="224"/>
    <cellStyle name="Comma 2 8 2" xfId="225"/>
    <cellStyle name="Comma 2 9" xfId="226"/>
    <cellStyle name="Comma 2 9 2" xfId="227"/>
    <cellStyle name="Comma 3" xfId="228"/>
    <cellStyle name="Comma 3 2" xfId="229"/>
    <cellStyle name="Comma 3 2 2" xfId="230"/>
    <cellStyle name="Comma 3 3" xfId="231"/>
    <cellStyle name="Comma 3 4" xfId="232"/>
    <cellStyle name="Comma 3 4 3" xfId="233"/>
    <cellStyle name="Comma 3 4 4" xfId="234"/>
    <cellStyle name="Comma 4" xfId="235"/>
    <cellStyle name="Comma 4 2" xfId="236"/>
    <cellStyle name="Comma 4 3" xfId="237"/>
    <cellStyle name="Comma 5" xfId="238"/>
    <cellStyle name="Comma 6" xfId="239"/>
    <cellStyle name="Comma 7" xfId="240"/>
    <cellStyle name="Comma 8" xfId="241"/>
    <cellStyle name="Comma 8 2" xfId="242"/>
    <cellStyle name="Comma 9" xfId="243"/>
    <cellStyle name="Currency" xfId="2" builtinId="4"/>
    <cellStyle name="Neutral 2" xfId="244"/>
    <cellStyle name="Normal" xfId="0" builtinId="0"/>
    <cellStyle name="Normal - Style1" xfId="245"/>
    <cellStyle name="Normal 10" xfId="246"/>
    <cellStyle name="Normal 10 2" xfId="247"/>
    <cellStyle name="Normal 10 3" xfId="248"/>
    <cellStyle name="Normal 11" xfId="249"/>
    <cellStyle name="Normal 11 2" xfId="250"/>
    <cellStyle name="Normal 11 3" xfId="251"/>
    <cellStyle name="Normal 12" xfId="252"/>
    <cellStyle name="Normal 12 2" xfId="253"/>
    <cellStyle name="Normal 12 2 2" xfId="254"/>
    <cellStyle name="Normal 12 2 3" xfId="255"/>
    <cellStyle name="Normal 12 3" xfId="256"/>
    <cellStyle name="Normal 12 4" xfId="257"/>
    <cellStyle name="Normal 13" xfId="258"/>
    <cellStyle name="Normal 13 2" xfId="259"/>
    <cellStyle name="Normal 13 3" xfId="260"/>
    <cellStyle name="Normal 14" xfId="261"/>
    <cellStyle name="Normal 14 2" xfId="262"/>
    <cellStyle name="Normal 15" xfId="263"/>
    <cellStyle name="Normal 15 2" xfId="264"/>
    <cellStyle name="Normal 15 3" xfId="265"/>
    <cellStyle name="Normal 16" xfId="266"/>
    <cellStyle name="Normal 16 2" xfId="267"/>
    <cellStyle name="Normal 16 3" xfId="268"/>
    <cellStyle name="Normal 17" xfId="269"/>
    <cellStyle name="Normal 17 2" xfId="270"/>
    <cellStyle name="Normal 17 3" xfId="271"/>
    <cellStyle name="Normal 18" xfId="272"/>
    <cellStyle name="Normal 18 2" xfId="273"/>
    <cellStyle name="Normal 18 3" xfId="274"/>
    <cellStyle name="Normal 19" xfId="275"/>
    <cellStyle name="Normal 19 2" xfId="276"/>
    <cellStyle name="Normal 19 3" xfId="277"/>
    <cellStyle name="Normal 2" xfId="278"/>
    <cellStyle name="Normal 2 2" xfId="279"/>
    <cellStyle name="Normal 2 2 2" xfId="280"/>
    <cellStyle name="Normal 2 3" xfId="281"/>
    <cellStyle name="Normal 2 4" xfId="282"/>
    <cellStyle name="Normal 2 5" xfId="283"/>
    <cellStyle name="Normal 2 6" xfId="284"/>
    <cellStyle name="Normal 20" xfId="285"/>
    <cellStyle name="Normal 20 2" xfId="286"/>
    <cellStyle name="Normal 20 3" xfId="287"/>
    <cellStyle name="Normal 21" xfId="288"/>
    <cellStyle name="Normal 21 2" xfId="289"/>
    <cellStyle name="Normal 21 3" xfId="290"/>
    <cellStyle name="Normal 22" xfId="291"/>
    <cellStyle name="Normal 22 2" xfId="292"/>
    <cellStyle name="Normal 22 3" xfId="293"/>
    <cellStyle name="Normal 23" xfId="294"/>
    <cellStyle name="Normal 23 2" xfId="295"/>
    <cellStyle name="Normal 23 3" xfId="296"/>
    <cellStyle name="Normal 24" xfId="297"/>
    <cellStyle name="Normal 24 2" xfId="298"/>
    <cellStyle name="Normal 24 3" xfId="299"/>
    <cellStyle name="Normal 25" xfId="300"/>
    <cellStyle name="Normal 25 2" xfId="301"/>
    <cellStyle name="Normal 25 3" xfId="302"/>
    <cellStyle name="Normal 26" xfId="303"/>
    <cellStyle name="Normal 26 2" xfId="304"/>
    <cellStyle name="Normal 26 3" xfId="305"/>
    <cellStyle name="Normal 27" xfId="306"/>
    <cellStyle name="Normal 27 2" xfId="307"/>
    <cellStyle name="Normal 27 2 2" xfId="308"/>
    <cellStyle name="Normal 27 3" xfId="309"/>
    <cellStyle name="Normal 28" xfId="310"/>
    <cellStyle name="Normal 28 2" xfId="311"/>
    <cellStyle name="Normal 29" xfId="312"/>
    <cellStyle name="Normal 29 2" xfId="313"/>
    <cellStyle name="Normal 3" xfId="314"/>
    <cellStyle name="Normal 3 2" xfId="315"/>
    <cellStyle name="Normal 3 2 2" xfId="316"/>
    <cellStyle name="Normal 3 2 3" xfId="317"/>
    <cellStyle name="Normal 3 3" xfId="318"/>
    <cellStyle name="Normal 3 4" xfId="319"/>
    <cellStyle name="Normal 30" xfId="320"/>
    <cellStyle name="Normal 30 2" xfId="321"/>
    <cellStyle name="Normal 31" xfId="322"/>
    <cellStyle name="Normal 31 2" xfId="323"/>
    <cellStyle name="Normal 32" xfId="324"/>
    <cellStyle name="Normal 32 2" xfId="325"/>
    <cellStyle name="Normal 33" xfId="326"/>
    <cellStyle name="Normal 33 2" xfId="327"/>
    <cellStyle name="Normal 34" xfId="328"/>
    <cellStyle name="Normal 34 2" xfId="329"/>
    <cellStyle name="Normal 35" xfId="330"/>
    <cellStyle name="Normal 35 2" xfId="331"/>
    <cellStyle name="Normal 36" xfId="332"/>
    <cellStyle name="Normal 36 2" xfId="333"/>
    <cellStyle name="Normal 37" xfId="334"/>
    <cellStyle name="Normal 37 2" xfId="335"/>
    <cellStyle name="Normal 38" xfId="336"/>
    <cellStyle name="Normal 38 2" xfId="337"/>
    <cellStyle name="Normal 39" xfId="338"/>
    <cellStyle name="Normal 39 2" xfId="339"/>
    <cellStyle name="Normal 4" xfId="340"/>
    <cellStyle name="Normal 4 2" xfId="341"/>
    <cellStyle name="Normal 40" xfId="342"/>
    <cellStyle name="Normal 40 2" xfId="343"/>
    <cellStyle name="Normal 41" xfId="344"/>
    <cellStyle name="Normal 41 2" xfId="345"/>
    <cellStyle name="Normal 42" xfId="346"/>
    <cellStyle name="Normal 42 2" xfId="347"/>
    <cellStyle name="Normal 43" xfId="348"/>
    <cellStyle name="Normal 43 2" xfId="349"/>
    <cellStyle name="Normal 44" xfId="350"/>
    <cellStyle name="Normal 44 2" xfId="351"/>
    <cellStyle name="Normal 45" xfId="352"/>
    <cellStyle name="Normal 45 2" xfId="353"/>
    <cellStyle name="Normal 46" xfId="354"/>
    <cellStyle name="Normal 46 2" xfId="355"/>
    <cellStyle name="Normal 47" xfId="356"/>
    <cellStyle name="Normal 47 2" xfId="357"/>
    <cellStyle name="Normal 48" xfId="358"/>
    <cellStyle name="Normal 48 2" xfId="359"/>
    <cellStyle name="Normal 49" xfId="360"/>
    <cellStyle name="Normal 49 2" xfId="361"/>
    <cellStyle name="Normal 5" xfId="362"/>
    <cellStyle name="Normal 50" xfId="363"/>
    <cellStyle name="Normal 50 2" xfId="364"/>
    <cellStyle name="Normal 51" xfId="365"/>
    <cellStyle name="Normal 51 2" xfId="366"/>
    <cellStyle name="Normal 52" xfId="367"/>
    <cellStyle name="Normal 52 2" xfId="368"/>
    <cellStyle name="Normal 53" xfId="369"/>
    <cellStyle name="Normal 53 2" xfId="370"/>
    <cellStyle name="Normal 54" xfId="371"/>
    <cellStyle name="Normal 54 2" xfId="372"/>
    <cellStyle name="Normal 55" xfId="373"/>
    <cellStyle name="Normal 55 2" xfId="374"/>
    <cellStyle name="Normal 56" xfId="375"/>
    <cellStyle name="Normal 56 2" xfId="376"/>
    <cellStyle name="Normal 57" xfId="377"/>
    <cellStyle name="Normal 57 2" xfId="378"/>
    <cellStyle name="Normal 58" xfId="379"/>
    <cellStyle name="Normal 58 2" xfId="380"/>
    <cellStyle name="Normal 59" xfId="381"/>
    <cellStyle name="Normal 59 2" xfId="382"/>
    <cellStyle name="Normal 6" xfId="383"/>
    <cellStyle name="Normal 6 2" xfId="384"/>
    <cellStyle name="Normal 6 3" xfId="385"/>
    <cellStyle name="Normal 60" xfId="386"/>
    <cellStyle name="Normal 60 2" xfId="387"/>
    <cellStyle name="Normal 61" xfId="388"/>
    <cellStyle name="Normal 61 2" xfId="389"/>
    <cellStyle name="Normal 62" xfId="390"/>
    <cellStyle name="Normal 62 2" xfId="391"/>
    <cellStyle name="Normal 63" xfId="392"/>
    <cellStyle name="Normal 63 2" xfId="393"/>
    <cellStyle name="Normal 64" xfId="394"/>
    <cellStyle name="Normal 64 2" xfId="395"/>
    <cellStyle name="Normal 65" xfId="396"/>
    <cellStyle name="Normal 65 2" xfId="397"/>
    <cellStyle name="Normal 66" xfId="398"/>
    <cellStyle name="Normal 66 2" xfId="399"/>
    <cellStyle name="Normal 67" xfId="400"/>
    <cellStyle name="Normal 67 2" xfId="401"/>
    <cellStyle name="Normal 68" xfId="402"/>
    <cellStyle name="Normal 68 2" xfId="403"/>
    <cellStyle name="Normal 69" xfId="404"/>
    <cellStyle name="Normal 69 2" xfId="405"/>
    <cellStyle name="Normal 7" xfId="406"/>
    <cellStyle name="Normal 7 2" xfId="407"/>
    <cellStyle name="Normal 7 3" xfId="408"/>
    <cellStyle name="Normal 70" xfId="409"/>
    <cellStyle name="Normal 71" xfId="410"/>
    <cellStyle name="Normal 72" xfId="411"/>
    <cellStyle name="Normal 73" xfId="412"/>
    <cellStyle name="Normal 74" xfId="413"/>
    <cellStyle name="Normal 75" xfId="464"/>
    <cellStyle name="Normal 8" xfId="414"/>
    <cellStyle name="Normal 8 2" xfId="415"/>
    <cellStyle name="Normal 8 3" xfId="416"/>
    <cellStyle name="Normal 9" xfId="417"/>
    <cellStyle name="Normal 9 2" xfId="418"/>
    <cellStyle name="Normal 9 3" xfId="419"/>
    <cellStyle name="Note 10" xfId="420"/>
    <cellStyle name="Note 10 2" xfId="421"/>
    <cellStyle name="Note 10 3" xfId="422"/>
    <cellStyle name="Note 11" xfId="423"/>
    <cellStyle name="Note 11 2" xfId="424"/>
    <cellStyle name="Note 11 3" xfId="425"/>
    <cellStyle name="Note 12" xfId="426"/>
    <cellStyle name="Note 12 2" xfId="427"/>
    <cellStyle name="Note 12 3" xfId="428"/>
    <cellStyle name="Note 13" xfId="429"/>
    <cellStyle name="Note 13 2" xfId="430"/>
    <cellStyle name="Note 14" xfId="431"/>
    <cellStyle name="Note 14 2" xfId="432"/>
    <cellStyle name="Note 2" xfId="433"/>
    <cellStyle name="Note 2 2" xfId="434"/>
    <cellStyle name="Note 2 3" xfId="435"/>
    <cellStyle name="Note 3" xfId="436"/>
    <cellStyle name="Note 3 2" xfId="437"/>
    <cellStyle name="Note 3 3" xfId="438"/>
    <cellStyle name="Note 4" xfId="439"/>
    <cellStyle name="Note 4 2" xfId="440"/>
    <cellStyle name="Note 4 3" xfId="441"/>
    <cellStyle name="Note 5" xfId="442"/>
    <cellStyle name="Note 5 2" xfId="443"/>
    <cellStyle name="Note 5 3" xfId="444"/>
    <cellStyle name="Note 6" xfId="445"/>
    <cellStyle name="Note 6 2" xfId="446"/>
    <cellStyle name="Note 6 3" xfId="447"/>
    <cellStyle name="Note 7" xfId="448"/>
    <cellStyle name="Note 7 2" xfId="449"/>
    <cellStyle name="Note 7 3" xfId="450"/>
    <cellStyle name="Note 8" xfId="451"/>
    <cellStyle name="Note 8 2" xfId="452"/>
    <cellStyle name="Note 8 3" xfId="453"/>
    <cellStyle name="Note 9" xfId="454"/>
    <cellStyle name="Note 9 2" xfId="455"/>
    <cellStyle name="Note 9 3" xfId="456"/>
    <cellStyle name="Percent 2" xfId="457"/>
    <cellStyle name="Percent 2 2" xfId="458"/>
    <cellStyle name="Percent 2 2 2" xfId="459"/>
    <cellStyle name="Percent 3" xfId="460"/>
    <cellStyle name="Percent 4" xfId="461"/>
    <cellStyle name="Title 2" xfId="462"/>
    <cellStyle name="Title 3" xfId="463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April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26.446817562529997</c:v>
                </c:pt>
                <c:pt idx="1">
                  <c:v>937.44782176622016</c:v>
                </c:pt>
                <c:pt idx="2">
                  <c:v>266.46510591255998</c:v>
                </c:pt>
                <c:pt idx="3">
                  <c:v>1249.1517902703031</c:v>
                </c:pt>
                <c:pt idx="4">
                  <c:v>99.856457548350008</c:v>
                </c:pt>
                <c:pt idx="5">
                  <c:v>47.633109913879998</c:v>
                </c:pt>
                <c:pt idx="6">
                  <c:v>4.6398494677399995</c:v>
                </c:pt>
                <c:pt idx="7">
                  <c:v>51.754753232900001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C-4CE6-8340-267A4224C0F3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May 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27.745310432420002</c:v>
                </c:pt>
                <c:pt idx="1">
                  <c:v>1009.6129393269802</c:v>
                </c:pt>
                <c:pt idx="2">
                  <c:v>246.55149026459</c:v>
                </c:pt>
                <c:pt idx="3">
                  <c:v>1409.3785152316091</c:v>
                </c:pt>
                <c:pt idx="4">
                  <c:v>96.780336038469997</c:v>
                </c:pt>
                <c:pt idx="5">
                  <c:v>48.750450955880005</c:v>
                </c:pt>
                <c:pt idx="6">
                  <c:v>4.9049213739599997</c:v>
                </c:pt>
                <c:pt idx="7">
                  <c:v>51.241026579075928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C-4CE6-8340-267A4224C0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May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C0C-A12A-7945BB6BD8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C0C-A12A-7945BB6BD80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C0C-A12A-7945BB6BD80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C0C-A12A-7945BB6BD80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BE4-4C0C-A12A-7945BB6BD80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BE4-4C0C-A12A-7945BB6BD8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BE4-4C0C-A12A-7945BB6BD80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BE4-4C0C-A12A-7945BB6BD802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E4-4C0C-A12A-7945BB6BD802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E4-4C0C-A12A-7945BB6BD802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E4-4C0C-A12A-7945BB6BD802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E4-4C0C-A12A-7945BB6BD802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BE4-4C0C-A12A-7945BB6BD802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BE4-4C0C-A12A-7945BB6BD802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BE4-4C0C-A12A-7945BB6BD802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BE4-4C0C-A12A-7945BB6BD802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4904921373.96</c:v>
                </c:pt>
                <c:pt idx="1">
                  <c:v>27745310432.420002</c:v>
                </c:pt>
                <c:pt idx="2" formatCode="#,##0.00">
                  <c:v>48750450955.880005</c:v>
                </c:pt>
                <c:pt idx="3" formatCode="#,##0.00">
                  <c:v>51241026579.075928</c:v>
                </c:pt>
                <c:pt idx="4" formatCode="#,##0.00">
                  <c:v>96780336038.470001</c:v>
                </c:pt>
                <c:pt idx="5" formatCode="#,##0.00">
                  <c:v>246551490264.59</c:v>
                </c:pt>
                <c:pt idx="6" formatCode="#,##0.00">
                  <c:v>1009612939326.9801</c:v>
                </c:pt>
                <c:pt idx="7" formatCode="&quot; &quot;* #,##0.00&quot; &quot;;&quot;-&quot;* #,##0.00&quot; &quot;;&quot; &quot;* &quot;-&quot;??&quot; &quot;">
                  <c:v>1409378515231.6091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E4-4C0C-A12A-7945BB6BD80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48822</c:v>
                </c:pt>
                <c:pt idx="1">
                  <c:v>288814</c:v>
                </c:pt>
                <c:pt idx="2">
                  <c:v>45142</c:v>
                </c:pt>
                <c:pt idx="3">
                  <c:v>15858</c:v>
                </c:pt>
                <c:pt idx="4">
                  <c:v>216992</c:v>
                </c:pt>
                <c:pt idx="5">
                  <c:v>69082</c:v>
                </c:pt>
                <c:pt idx="6">
                  <c:v>13128</c:v>
                </c:pt>
                <c:pt idx="7">
                  <c:v>27353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0-4FB8-9E12-D082586372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266700</xdr:colOff>
      <xdr:row>22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8"/>
  <sheetViews>
    <sheetView tabSelected="1" view="pageBreakPreview" zoomScaleNormal="70" zoomScaleSheetLayoutView="100" workbookViewId="0">
      <pane ySplit="2" topLeftCell="A3" activePane="bottomLeft" state="frozen"/>
      <selection pane="bottomLeft" activeCell="A3" sqref="A3:V3"/>
    </sheetView>
  </sheetViews>
  <sheetFormatPr defaultColWidth="9" defaultRowHeight="12.75"/>
  <cols>
    <col min="1" max="1" width="6.7109375" style="17" customWidth="1"/>
    <col min="2" max="2" width="53.7109375" style="17" customWidth="1"/>
    <col min="3" max="3" width="53.85546875" style="17" customWidth="1"/>
    <col min="4" max="4" width="22.42578125" style="17" customWidth="1"/>
    <col min="5" max="6" width="19.28515625" style="17" customWidth="1"/>
    <col min="7" max="7" width="19.7109375" style="17" customWidth="1"/>
    <col min="8" max="8" width="20" style="17" customWidth="1"/>
    <col min="9" max="9" width="22" style="17" customWidth="1"/>
    <col min="10" max="10" width="9" style="17"/>
    <col min="11" max="11" width="23" style="17" customWidth="1"/>
    <col min="12" max="12" width="9" style="17"/>
    <col min="13" max="13" width="11.5703125" style="17" customWidth="1"/>
    <col min="14" max="14" width="12.140625" style="17" customWidth="1"/>
    <col min="15" max="15" width="12.5703125" style="17" customWidth="1"/>
    <col min="16" max="17" width="12.7109375" style="17" customWidth="1"/>
    <col min="18" max="19" width="14.42578125" style="17" customWidth="1"/>
    <col min="20" max="20" width="15.5703125" style="17" customWidth="1"/>
    <col min="21" max="22" width="20.140625" style="17" customWidth="1"/>
    <col min="23" max="16384" width="9" style="17"/>
  </cols>
  <sheetData>
    <row r="1" spans="1:26" ht="39.950000000000003" customHeight="1">
      <c r="A1" s="137" t="s">
        <v>259</v>
      </c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25"/>
      <c r="X1" s="25"/>
      <c r="Y1" s="25"/>
      <c r="Z1" s="25"/>
    </row>
    <row r="2" spans="1:26" ht="48" customHeight="1">
      <c r="A2" s="90" t="s">
        <v>0</v>
      </c>
      <c r="B2" s="90" t="s">
        <v>1</v>
      </c>
      <c r="C2" s="90" t="s">
        <v>2</v>
      </c>
      <c r="D2" s="90" t="s">
        <v>3</v>
      </c>
      <c r="E2" s="90" t="s">
        <v>4</v>
      </c>
      <c r="F2" s="90" t="s">
        <v>216</v>
      </c>
      <c r="G2" s="90" t="s">
        <v>5</v>
      </c>
      <c r="H2" s="91" t="s">
        <v>6</v>
      </c>
      <c r="I2" s="90" t="s">
        <v>7</v>
      </c>
      <c r="J2" s="90" t="s">
        <v>255</v>
      </c>
      <c r="K2" s="90" t="s">
        <v>8</v>
      </c>
      <c r="L2" s="90" t="s">
        <v>255</v>
      </c>
      <c r="M2" s="90" t="s">
        <v>9</v>
      </c>
      <c r="N2" s="90" t="s">
        <v>10</v>
      </c>
      <c r="O2" s="90" t="s">
        <v>11</v>
      </c>
      <c r="P2" s="90" t="s">
        <v>12</v>
      </c>
      <c r="Q2" s="90" t="s">
        <v>13</v>
      </c>
      <c r="R2" s="90" t="s">
        <v>14</v>
      </c>
      <c r="S2" s="90" t="s">
        <v>15</v>
      </c>
      <c r="T2" s="90" t="s">
        <v>16</v>
      </c>
      <c r="U2" s="90" t="s">
        <v>17</v>
      </c>
      <c r="V2" s="90" t="s">
        <v>18</v>
      </c>
    </row>
    <row r="3" spans="1:26" ht="6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6" ht="17.100000000000001" customHeight="1">
      <c r="A4" s="132" t="s">
        <v>19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6" ht="15" customHeight="1">
      <c r="A5" s="43">
        <v>1</v>
      </c>
      <c r="B5" s="44" t="s">
        <v>20</v>
      </c>
      <c r="C5" s="44" t="s">
        <v>21</v>
      </c>
      <c r="D5" s="52">
        <v>1077686516.79</v>
      </c>
      <c r="E5" s="52">
        <v>22037897.899999999</v>
      </c>
      <c r="F5" s="52">
        <v>307979623.07999998</v>
      </c>
      <c r="G5" s="52">
        <v>2070451.27</v>
      </c>
      <c r="H5" s="45">
        <f t="shared" ref="H5:H21" si="0">(E5+F5)-G5</f>
        <v>327947069.70999998</v>
      </c>
      <c r="I5" s="35">
        <v>1068228033.58</v>
      </c>
      <c r="J5" s="47">
        <f>(I5/$I$22)</f>
        <v>4.0391553012165501E-2</v>
      </c>
      <c r="K5" s="46">
        <v>1091528878.0799999</v>
      </c>
      <c r="L5" s="47">
        <f>(K5/$K$22)</f>
        <v>3.9341022359027707E-2</v>
      </c>
      <c r="M5" s="47">
        <f t="shared" ref="M5:M22" si="1">((K5-I5)/I5)</f>
        <v>2.1812612820046227E-2</v>
      </c>
      <c r="N5" s="48">
        <f t="shared" ref="N5" si="2">(G5/K5)</f>
        <v>1.8968359991005691E-3</v>
      </c>
      <c r="O5" s="49">
        <f t="shared" ref="O5" si="3">H5/K5</f>
        <v>0.30044745154783181</v>
      </c>
      <c r="P5" s="50">
        <f t="shared" ref="P5" si="4">K5/V5</f>
        <v>329.51187796705102</v>
      </c>
      <c r="Q5" s="50">
        <f t="shared" ref="Q5" si="5">H5/V5</f>
        <v>99.001003989940628</v>
      </c>
      <c r="R5" s="52">
        <v>329.51190000000003</v>
      </c>
      <c r="S5" s="52">
        <v>333.94380000000001</v>
      </c>
      <c r="T5" s="52">
        <v>1741</v>
      </c>
      <c r="U5" s="52">
        <v>3389263.88</v>
      </c>
      <c r="V5" s="52">
        <v>3312563.07</v>
      </c>
    </row>
    <row r="6" spans="1:26" ht="14.25">
      <c r="A6" s="43">
        <v>2</v>
      </c>
      <c r="B6" s="44" t="s">
        <v>22</v>
      </c>
      <c r="C6" s="44" t="s">
        <v>23</v>
      </c>
      <c r="D6" s="52">
        <v>601091091.32000005</v>
      </c>
      <c r="E6" s="52">
        <v>5611540.2999999998</v>
      </c>
      <c r="F6" s="52"/>
      <c r="G6" s="52">
        <v>830476.97</v>
      </c>
      <c r="H6" s="45">
        <f t="shared" si="0"/>
        <v>4781063.33</v>
      </c>
      <c r="I6" s="35">
        <v>568890232.39999998</v>
      </c>
      <c r="J6" s="47">
        <f t="shared" ref="J6:J21" si="6">(I6/$I$22)</f>
        <v>2.1510725479726787E-2</v>
      </c>
      <c r="K6" s="46">
        <v>601183615.78999996</v>
      </c>
      <c r="L6" s="47">
        <f t="shared" ref="L6:L21" si="7">(K6/$K$22)</f>
        <v>2.1667936181659204E-2</v>
      </c>
      <c r="M6" s="47">
        <f t="shared" ref="M6:M21" si="8">((K6-I6)/I6)</f>
        <v>5.6765578930337048E-2</v>
      </c>
      <c r="N6" s="48">
        <f t="shared" ref="N6:N21" si="9">(G6/K6)</f>
        <v>1.3814031989356388E-3</v>
      </c>
      <c r="O6" s="49">
        <f t="shared" ref="O6:O21" si="10">H6/K6</f>
        <v>7.9527505481288407E-3</v>
      </c>
      <c r="P6" s="50">
        <f t="shared" ref="P6:P21" si="11">K6/V6</f>
        <v>223.13911862775558</v>
      </c>
      <c r="Q6" s="50">
        <f t="shared" ref="Q6:Q21" si="12">H6/V6</f>
        <v>1.7745697479758693</v>
      </c>
      <c r="R6" s="52">
        <v>219.88</v>
      </c>
      <c r="S6" s="52">
        <v>222.46</v>
      </c>
      <c r="T6" s="52">
        <v>310</v>
      </c>
      <c r="U6" s="52">
        <v>2696671.01</v>
      </c>
      <c r="V6" s="52">
        <v>2694209.87</v>
      </c>
    </row>
    <row r="7" spans="1:26" ht="14.25">
      <c r="A7" s="43">
        <v>3</v>
      </c>
      <c r="B7" s="44" t="s">
        <v>24</v>
      </c>
      <c r="C7" s="53" t="s">
        <v>25</v>
      </c>
      <c r="D7" s="52">
        <v>3593096349.5999999</v>
      </c>
      <c r="E7" s="52">
        <v>28513852.559999999</v>
      </c>
      <c r="F7" s="52">
        <v>26619370.27</v>
      </c>
      <c r="G7" s="52">
        <v>7403693.46</v>
      </c>
      <c r="H7" s="45">
        <f t="shared" si="0"/>
        <v>47729529.369999997</v>
      </c>
      <c r="I7" s="35">
        <v>3848151949</v>
      </c>
      <c r="J7" s="47">
        <f t="shared" si="6"/>
        <v>0.14550529340256363</v>
      </c>
      <c r="K7" s="46">
        <v>3888961497</v>
      </c>
      <c r="L7" s="47">
        <f t="shared" si="7"/>
        <v>0.14016644385624907</v>
      </c>
      <c r="M7" s="47">
        <f t="shared" si="8"/>
        <v>1.0604973124984051E-2</v>
      </c>
      <c r="N7" s="48">
        <f t="shared" si="9"/>
        <v>1.9037713450522238E-3</v>
      </c>
      <c r="O7" s="49">
        <f t="shared" si="10"/>
        <v>1.227307840584671E-2</v>
      </c>
      <c r="P7" s="50">
        <f t="shared" si="11"/>
        <v>36.265306864277399</v>
      </c>
      <c r="Q7" s="50">
        <f t="shared" si="12"/>
        <v>0.44508695455736746</v>
      </c>
      <c r="R7" s="52">
        <v>36.084000000000003</v>
      </c>
      <c r="S7" s="52">
        <v>37.171900000000001</v>
      </c>
      <c r="T7" s="52">
        <v>6482</v>
      </c>
      <c r="U7" s="52">
        <v>106717238</v>
      </c>
      <c r="V7" s="52">
        <v>107236415</v>
      </c>
    </row>
    <row r="8" spans="1:26" ht="14.25">
      <c r="A8" s="43">
        <v>4</v>
      </c>
      <c r="B8" s="54" t="s">
        <v>26</v>
      </c>
      <c r="C8" s="54" t="s">
        <v>27</v>
      </c>
      <c r="D8" s="76">
        <v>510407368.54000002</v>
      </c>
      <c r="E8" s="52">
        <v>-5273268.3</v>
      </c>
      <c r="F8" s="52">
        <v>64554793.189999998</v>
      </c>
      <c r="G8" s="52">
        <v>1707815.27</v>
      </c>
      <c r="H8" s="45">
        <f t="shared" si="0"/>
        <v>57573709.619999997</v>
      </c>
      <c r="I8" s="104">
        <v>678583454.77999997</v>
      </c>
      <c r="J8" s="47">
        <f t="shared" si="6"/>
        <v>2.5658416298126579E-2</v>
      </c>
      <c r="K8" s="55">
        <v>617384689.67999995</v>
      </c>
      <c r="L8" s="47">
        <f t="shared" si="7"/>
        <v>2.2251857343019477E-2</v>
      </c>
      <c r="M8" s="47">
        <f t="shared" si="8"/>
        <v>-9.0186055479117094E-2</v>
      </c>
      <c r="N8" s="48">
        <f t="shared" si="9"/>
        <v>2.766209299561975E-3</v>
      </c>
      <c r="O8" s="49">
        <f t="shared" si="10"/>
        <v>9.325419075397115E-2</v>
      </c>
      <c r="P8" s="50">
        <f t="shared" si="11"/>
        <v>200.31000597333801</v>
      </c>
      <c r="Q8" s="50">
        <f t="shared" si="12"/>
        <v>18.679747506966763</v>
      </c>
      <c r="R8" s="76">
        <v>200.31</v>
      </c>
      <c r="S8" s="76">
        <v>200.31</v>
      </c>
      <c r="T8" s="52">
        <v>1773</v>
      </c>
      <c r="U8" s="52">
        <v>2999816.1641000002</v>
      </c>
      <c r="V8" s="52">
        <v>3082146.03</v>
      </c>
    </row>
    <row r="9" spans="1:26" ht="14.25">
      <c r="A9" s="43">
        <v>5</v>
      </c>
      <c r="B9" s="89" t="s">
        <v>243</v>
      </c>
      <c r="C9" s="89" t="s">
        <v>106</v>
      </c>
      <c r="D9" s="76">
        <v>587791307.59000003</v>
      </c>
      <c r="E9" s="52">
        <v>14574333.59</v>
      </c>
      <c r="F9" s="52">
        <v>11988246.300000001</v>
      </c>
      <c r="G9" s="52">
        <v>1061590.5</v>
      </c>
      <c r="H9" s="45">
        <f>(E9+F9)-G9</f>
        <v>25500989.390000001</v>
      </c>
      <c r="I9" s="26">
        <v>580844329.51999998</v>
      </c>
      <c r="J9" s="47">
        <f t="shared" si="6"/>
        <v>2.1962730606307185E-2</v>
      </c>
      <c r="K9" s="55">
        <v>605286709.80999994</v>
      </c>
      <c r="L9" s="47">
        <f t="shared" si="7"/>
        <v>2.1815820417086809E-2</v>
      </c>
      <c r="M9" s="47">
        <f t="shared" si="8"/>
        <v>4.2080776290264785E-2</v>
      </c>
      <c r="N9" s="48">
        <f t="shared" si="9"/>
        <v>1.7538638843288567E-3</v>
      </c>
      <c r="O9" s="49">
        <f t="shared" si="10"/>
        <v>4.2130430053560541E-2</v>
      </c>
      <c r="P9" s="50">
        <f t="shared" si="11"/>
        <v>0.88997433884895394</v>
      </c>
      <c r="Q9" s="50">
        <f t="shared" si="12"/>
        <v>3.7495001632339646E-2</v>
      </c>
      <c r="R9" s="76">
        <v>0.876</v>
      </c>
      <c r="S9" s="76">
        <v>0.88290000000000002</v>
      </c>
      <c r="T9" s="52">
        <v>562</v>
      </c>
      <c r="U9" s="52">
        <v>682145055.86000001</v>
      </c>
      <c r="V9" s="52">
        <v>680117036.39999998</v>
      </c>
    </row>
    <row r="10" spans="1:26" ht="14.25">
      <c r="A10" s="43">
        <v>6</v>
      </c>
      <c r="B10" s="77" t="s">
        <v>220</v>
      </c>
      <c r="C10" s="78" t="s">
        <v>47</v>
      </c>
      <c r="D10" s="52">
        <f>85084083.1+2534482.91</f>
        <v>87618566.00999999</v>
      </c>
      <c r="E10" s="52">
        <v>1571317.27</v>
      </c>
      <c r="F10" s="52"/>
      <c r="G10" s="52">
        <v>2321032.59</v>
      </c>
      <c r="H10" s="45">
        <f>(E10+F10)-G10</f>
        <v>-749715.31999999983</v>
      </c>
      <c r="I10" s="30">
        <v>85482643.269999996</v>
      </c>
      <c r="J10" s="47">
        <f t="shared" si="6"/>
        <v>3.2322468693213313E-3</v>
      </c>
      <c r="K10" s="51">
        <v>86381834.670000002</v>
      </c>
      <c r="L10" s="47">
        <f t="shared" si="7"/>
        <v>3.1133850486338064E-3</v>
      </c>
      <c r="M10" s="47">
        <f t="shared" si="8"/>
        <v>1.0518993863583251E-2</v>
      </c>
      <c r="N10" s="48">
        <f t="shared" si="9"/>
        <v>2.6869452343388157E-2</v>
      </c>
      <c r="O10" s="49">
        <f t="shared" si="10"/>
        <v>-8.6790853987310877E-3</v>
      </c>
      <c r="P10" s="50">
        <f t="shared" si="11"/>
        <v>153.89265075405083</v>
      </c>
      <c r="Q10" s="50">
        <f t="shared" si="12"/>
        <v>-1.3356474581315054</v>
      </c>
      <c r="R10" s="52">
        <v>153.61490000000001</v>
      </c>
      <c r="S10" s="52">
        <v>154.12440000000001</v>
      </c>
      <c r="T10" s="52">
        <v>90</v>
      </c>
      <c r="U10" s="52">
        <v>563393.53</v>
      </c>
      <c r="V10" s="52">
        <v>561312.28</v>
      </c>
    </row>
    <row r="11" spans="1:26" ht="14.25">
      <c r="A11" s="43">
        <v>7</v>
      </c>
      <c r="B11" s="44" t="s">
        <v>28</v>
      </c>
      <c r="C11" s="44" t="s">
        <v>29</v>
      </c>
      <c r="D11" s="96">
        <v>1030780191.1900001</v>
      </c>
      <c r="E11" s="76">
        <v>3241756.6</v>
      </c>
      <c r="F11" s="76">
        <v>47474619.950000003</v>
      </c>
      <c r="G11" s="76">
        <v>1831305.65</v>
      </c>
      <c r="H11" s="45">
        <f t="shared" si="0"/>
        <v>48885070.900000006</v>
      </c>
      <c r="I11" s="33">
        <v>963250213.16999996</v>
      </c>
      <c r="J11" s="47">
        <f t="shared" si="6"/>
        <v>3.6422159713263132E-2</v>
      </c>
      <c r="K11" s="57">
        <v>1014334792.34</v>
      </c>
      <c r="L11" s="47">
        <f t="shared" si="7"/>
        <v>3.6558783323424784E-2</v>
      </c>
      <c r="M11" s="47">
        <f t="shared" si="8"/>
        <v>5.3033550858902719E-2</v>
      </c>
      <c r="N11" s="48">
        <f t="shared" si="9"/>
        <v>1.8054252538999523E-3</v>
      </c>
      <c r="O11" s="49">
        <f t="shared" si="10"/>
        <v>4.8194216810039159E-2</v>
      </c>
      <c r="P11" s="50">
        <f t="shared" si="11"/>
        <v>274.70285345892194</v>
      </c>
      <c r="Q11" s="50">
        <f t="shared" si="12"/>
        <v>13.239088877935698</v>
      </c>
      <c r="R11" s="76">
        <v>274.7</v>
      </c>
      <c r="S11" s="76">
        <v>278.45999999999998</v>
      </c>
      <c r="T11" s="76">
        <v>1618</v>
      </c>
      <c r="U11" s="96">
        <v>3697613</v>
      </c>
      <c r="V11" s="96">
        <v>3692480</v>
      </c>
    </row>
    <row r="12" spans="1:26" ht="14.25">
      <c r="A12" s="43">
        <v>8</v>
      </c>
      <c r="B12" s="44" t="s">
        <v>30</v>
      </c>
      <c r="C12" s="53" t="s">
        <v>31</v>
      </c>
      <c r="D12" s="52">
        <v>341053099.76999998</v>
      </c>
      <c r="E12" s="52">
        <v>4123122.86</v>
      </c>
      <c r="F12" s="52">
        <v>-16341685.25</v>
      </c>
      <c r="G12" s="52">
        <v>987578.78</v>
      </c>
      <c r="H12" s="45">
        <f t="shared" si="0"/>
        <v>-13206141.17</v>
      </c>
      <c r="I12" s="35">
        <v>312867466.23000002</v>
      </c>
      <c r="J12" s="47">
        <f t="shared" si="6"/>
        <v>1.1830061045729465E-2</v>
      </c>
      <c r="K12" s="46">
        <v>324460881.63999999</v>
      </c>
      <c r="L12" s="47">
        <f t="shared" si="7"/>
        <v>1.1694260276175251E-2</v>
      </c>
      <c r="M12" s="47">
        <f t="shared" si="8"/>
        <v>3.7055356217438197E-2</v>
      </c>
      <c r="N12" s="48">
        <f t="shared" si="9"/>
        <v>3.0437529942230483E-3</v>
      </c>
      <c r="O12" s="49">
        <f t="shared" si="10"/>
        <v>-4.0701797712097226E-2</v>
      </c>
      <c r="P12" s="50">
        <f t="shared" si="11"/>
        <v>162.98784533728235</v>
      </c>
      <c r="Q12" s="50">
        <f t="shared" si="12"/>
        <v>-6.6338983104486546</v>
      </c>
      <c r="R12" s="52">
        <v>162.99</v>
      </c>
      <c r="S12" s="52">
        <v>165.56</v>
      </c>
      <c r="T12" s="52">
        <v>2472</v>
      </c>
      <c r="U12" s="52">
        <v>1990706</v>
      </c>
      <c r="V12" s="52">
        <v>1990706</v>
      </c>
    </row>
    <row r="13" spans="1:26" ht="14.25">
      <c r="A13" s="43">
        <v>9</v>
      </c>
      <c r="B13" s="44" t="s">
        <v>32</v>
      </c>
      <c r="C13" s="44" t="s">
        <v>33</v>
      </c>
      <c r="D13" s="52">
        <v>51288085.5</v>
      </c>
      <c r="E13" s="52">
        <v>7202383.4900000002</v>
      </c>
      <c r="F13" s="52">
        <v>3372598.89</v>
      </c>
      <c r="G13" s="52">
        <v>275530.17</v>
      </c>
      <c r="H13" s="45">
        <f t="shared" si="0"/>
        <v>10299452.210000001</v>
      </c>
      <c r="I13" s="35">
        <v>48276401.420000002</v>
      </c>
      <c r="J13" s="47">
        <f t="shared" si="6"/>
        <v>1.8254143927093247E-3</v>
      </c>
      <c r="K13" s="46">
        <v>51135701.990000002</v>
      </c>
      <c r="L13" s="47">
        <f t="shared" si="7"/>
        <v>1.8430394611930042E-3</v>
      </c>
      <c r="M13" s="47">
        <f t="shared" si="8"/>
        <v>5.9227707241978601E-2</v>
      </c>
      <c r="N13" s="48">
        <f t="shared" si="9"/>
        <v>5.3882152640415916E-3</v>
      </c>
      <c r="O13" s="49">
        <f t="shared" si="10"/>
        <v>0.2014141159539404</v>
      </c>
      <c r="P13" s="50">
        <f t="shared" si="11"/>
        <v>185.96313449206758</v>
      </c>
      <c r="Q13" s="50">
        <f t="shared" si="12"/>
        <v>37.455600333743511</v>
      </c>
      <c r="R13" s="52">
        <v>182.4</v>
      </c>
      <c r="S13" s="52">
        <v>187.37</v>
      </c>
      <c r="T13" s="52">
        <v>13</v>
      </c>
      <c r="U13" s="52">
        <v>275353.21000000002</v>
      </c>
      <c r="V13" s="52">
        <v>274977.63</v>
      </c>
      <c r="W13" s="19"/>
      <c r="X13" s="19"/>
      <c r="Y13" s="19"/>
      <c r="Z13" s="19"/>
    </row>
    <row r="14" spans="1:26" ht="14.25">
      <c r="A14" s="43">
        <v>10</v>
      </c>
      <c r="B14" s="53" t="s">
        <v>34</v>
      </c>
      <c r="C14" s="53" t="s">
        <v>35</v>
      </c>
      <c r="D14" s="76">
        <v>492422422.54000002</v>
      </c>
      <c r="E14" s="76">
        <v>11615195.029999999</v>
      </c>
      <c r="F14" s="76">
        <v>34634751.609999999</v>
      </c>
      <c r="G14" s="76">
        <v>948972.25</v>
      </c>
      <c r="H14" s="45">
        <f t="shared" si="0"/>
        <v>45300974.390000001</v>
      </c>
      <c r="I14" s="104">
        <v>450791996.88999999</v>
      </c>
      <c r="J14" s="47">
        <f t="shared" si="6"/>
        <v>1.7045226550384068E-2</v>
      </c>
      <c r="K14" s="55">
        <v>484644931.41000003</v>
      </c>
      <c r="L14" s="47">
        <f t="shared" si="7"/>
        <v>1.7467634128313782E-2</v>
      </c>
      <c r="M14" s="47">
        <f t="shared" si="8"/>
        <v>7.5096573926667701E-2</v>
      </c>
      <c r="N14" s="48">
        <f t="shared" si="9"/>
        <v>1.9580773232046622E-3</v>
      </c>
      <c r="O14" s="49">
        <f t="shared" si="10"/>
        <v>9.347250214338107E-2</v>
      </c>
      <c r="P14" s="50">
        <f t="shared" si="11"/>
        <v>1.6077167151738689</v>
      </c>
      <c r="Q14" s="50">
        <f t="shared" si="12"/>
        <v>0.15027730410503903</v>
      </c>
      <c r="R14" s="76">
        <v>1.58</v>
      </c>
      <c r="S14" s="52">
        <v>1.63</v>
      </c>
      <c r="T14" s="52">
        <v>559</v>
      </c>
      <c r="U14" s="76">
        <v>308821197.38</v>
      </c>
      <c r="V14" s="76">
        <v>301449208.57999998</v>
      </c>
    </row>
    <row r="15" spans="1:26" ht="14.25">
      <c r="A15" s="43">
        <v>11</v>
      </c>
      <c r="B15" s="44" t="s">
        <v>36</v>
      </c>
      <c r="C15" s="53" t="s">
        <v>37</v>
      </c>
      <c r="D15" s="52">
        <v>1610060281.3800001</v>
      </c>
      <c r="E15" s="45">
        <v>25176888.780000001</v>
      </c>
      <c r="F15" s="45"/>
      <c r="G15" s="52">
        <v>12339176.57</v>
      </c>
      <c r="H15" s="45">
        <f t="shared" si="0"/>
        <v>12837712.210000001</v>
      </c>
      <c r="I15" s="35">
        <v>1521894817.75</v>
      </c>
      <c r="J15" s="47">
        <f t="shared" si="6"/>
        <v>5.754548025113726E-2</v>
      </c>
      <c r="K15" s="46">
        <v>1613000798.6199999</v>
      </c>
      <c r="L15" s="47">
        <f t="shared" si="7"/>
        <v>5.8135979503593199E-2</v>
      </c>
      <c r="M15" s="47">
        <f t="shared" si="8"/>
        <v>5.9863520006390981E-2</v>
      </c>
      <c r="N15" s="48">
        <f t="shared" si="9"/>
        <v>7.6498266960293897E-3</v>
      </c>
      <c r="O15" s="49">
        <f t="shared" si="10"/>
        <v>7.9589000953894651E-3</v>
      </c>
      <c r="P15" s="50">
        <f t="shared" si="11"/>
        <v>3.3093605167039684</v>
      </c>
      <c r="Q15" s="50">
        <f t="shared" si="12"/>
        <v>2.6338869732073344E-2</v>
      </c>
      <c r="R15" s="76">
        <v>3.25</v>
      </c>
      <c r="S15" s="52">
        <v>3.31</v>
      </c>
      <c r="T15" s="52">
        <v>3669</v>
      </c>
      <c r="U15" s="52">
        <v>487377188</v>
      </c>
      <c r="V15" s="52">
        <v>487405585</v>
      </c>
    </row>
    <row r="16" spans="1:26" ht="14.25">
      <c r="A16" s="43">
        <v>12</v>
      </c>
      <c r="B16" s="44" t="s">
        <v>38</v>
      </c>
      <c r="C16" s="44" t="s">
        <v>39</v>
      </c>
      <c r="D16" s="76">
        <v>557639161.46000004</v>
      </c>
      <c r="E16" s="76">
        <v>15729469.74</v>
      </c>
      <c r="F16" s="76">
        <v>17522583.84</v>
      </c>
      <c r="G16" s="76">
        <v>941214.14</v>
      </c>
      <c r="H16" s="45">
        <f t="shared" si="0"/>
        <v>32310839.439999998</v>
      </c>
      <c r="I16" s="105">
        <v>557434377.86000001</v>
      </c>
      <c r="J16" s="47">
        <f t="shared" si="6"/>
        <v>2.1077559768468181E-2</v>
      </c>
      <c r="K16" s="58">
        <v>578099434.12</v>
      </c>
      <c r="L16" s="47">
        <f t="shared" si="7"/>
        <v>2.0835933176098078E-2</v>
      </c>
      <c r="M16" s="47">
        <f t="shared" si="8"/>
        <v>3.7071729123226108E-2</v>
      </c>
      <c r="N16" s="48">
        <f t="shared" si="9"/>
        <v>1.6281180787397654E-3</v>
      </c>
      <c r="O16" s="49">
        <f t="shared" si="10"/>
        <v>5.5891491208920674E-2</v>
      </c>
      <c r="P16" s="50">
        <f t="shared" si="11"/>
        <v>19.472139257940285</v>
      </c>
      <c r="Q16" s="50">
        <f t="shared" si="12"/>
        <v>1.0883269001540485</v>
      </c>
      <c r="R16" s="98">
        <v>18.66</v>
      </c>
      <c r="S16" s="98">
        <v>18.82</v>
      </c>
      <c r="T16" s="98">
        <v>327</v>
      </c>
      <c r="U16" s="98">
        <v>30369055.420000002</v>
      </c>
      <c r="V16" s="98">
        <v>29688542.510000002</v>
      </c>
    </row>
    <row r="17" spans="1:26" ht="14.25">
      <c r="A17" s="43">
        <v>13</v>
      </c>
      <c r="B17" s="54" t="s">
        <v>40</v>
      </c>
      <c r="C17" s="54" t="s">
        <v>41</v>
      </c>
      <c r="D17" s="52">
        <v>340649928.11000001</v>
      </c>
      <c r="E17" s="52">
        <v>2350232.41</v>
      </c>
      <c r="F17" s="52">
        <v>118439176.20999999</v>
      </c>
      <c r="G17" s="52">
        <v>519118.32</v>
      </c>
      <c r="H17" s="45">
        <f t="shared" si="0"/>
        <v>120270290.3</v>
      </c>
      <c r="I17" s="35">
        <v>323198630.58999997</v>
      </c>
      <c r="J17" s="47">
        <f t="shared" si="6"/>
        <v>1.2220700272380206E-2</v>
      </c>
      <c r="K17" s="46">
        <v>347464187.04000002</v>
      </c>
      <c r="L17" s="47">
        <f t="shared" si="7"/>
        <v>1.2523348328948341E-2</v>
      </c>
      <c r="M17" s="47">
        <f t="shared" si="8"/>
        <v>7.5079391288580669E-2</v>
      </c>
      <c r="N17" s="48">
        <f t="shared" si="9"/>
        <v>1.4940196410522136E-3</v>
      </c>
      <c r="O17" s="49">
        <f t="shared" si="10"/>
        <v>0.34613722733432239</v>
      </c>
      <c r="P17" s="50">
        <f t="shared" si="11"/>
        <v>2.4985596752219563</v>
      </c>
      <c r="Q17" s="50">
        <f t="shared" si="12"/>
        <v>0.86484451831067299</v>
      </c>
      <c r="R17" s="52">
        <v>2.4700000000000002</v>
      </c>
      <c r="S17" s="52">
        <v>2.5</v>
      </c>
      <c r="T17" s="52">
        <v>22</v>
      </c>
      <c r="U17" s="52">
        <v>139065794.78</v>
      </c>
      <c r="V17" s="52">
        <v>139065794.78</v>
      </c>
    </row>
    <row r="18" spans="1:26" ht="14.25">
      <c r="A18" s="43">
        <v>14</v>
      </c>
      <c r="B18" s="44" t="s">
        <v>42</v>
      </c>
      <c r="C18" s="44" t="s">
        <v>43</v>
      </c>
      <c r="D18" s="52">
        <v>1405430133.0899999</v>
      </c>
      <c r="E18" s="52">
        <v>41664325.530000001</v>
      </c>
      <c r="F18" s="52">
        <v>-175368281.69999999</v>
      </c>
      <c r="G18" s="52">
        <v>2392253.42</v>
      </c>
      <c r="H18" s="45">
        <f t="shared" si="0"/>
        <v>-136096209.58999997</v>
      </c>
      <c r="I18" s="35">
        <v>1314784145.02</v>
      </c>
      <c r="J18" s="47">
        <f t="shared" si="6"/>
        <v>4.971426682667459E-2</v>
      </c>
      <c r="K18" s="46">
        <v>1400019452.04</v>
      </c>
      <c r="L18" s="47">
        <f t="shared" si="7"/>
        <v>5.0459678778872016E-2</v>
      </c>
      <c r="M18" s="47">
        <f t="shared" si="8"/>
        <v>6.4828365433858656E-2</v>
      </c>
      <c r="N18" s="48">
        <f t="shared" si="9"/>
        <v>1.7087287012435388E-3</v>
      </c>
      <c r="O18" s="49">
        <f t="shared" si="10"/>
        <v>-9.7210227609117225E-2</v>
      </c>
      <c r="P18" s="50">
        <f t="shared" si="11"/>
        <v>25.87837282084023</v>
      </c>
      <c r="Q18" s="50">
        <f t="shared" si="12"/>
        <v>-2.5156425120674717</v>
      </c>
      <c r="R18" s="52">
        <v>25.88</v>
      </c>
      <c r="S18" s="52">
        <v>26.08</v>
      </c>
      <c r="T18" s="52">
        <v>8904</v>
      </c>
      <c r="U18" s="52">
        <v>54134881</v>
      </c>
      <c r="V18" s="52">
        <v>54099980</v>
      </c>
    </row>
    <row r="19" spans="1:26" ht="14.25">
      <c r="A19" s="43">
        <v>15</v>
      </c>
      <c r="B19" s="53" t="s">
        <v>44</v>
      </c>
      <c r="C19" s="44" t="s">
        <v>45</v>
      </c>
      <c r="D19" s="76">
        <v>605058375.47000003</v>
      </c>
      <c r="E19" s="76">
        <v>12489632.109999999</v>
      </c>
      <c r="F19" s="76">
        <v>34568459.460000001</v>
      </c>
      <c r="G19" s="76">
        <v>703196.63</v>
      </c>
      <c r="H19" s="45">
        <f t="shared" si="0"/>
        <v>46354894.939999998</v>
      </c>
      <c r="I19" s="104">
        <v>577236608.75999999</v>
      </c>
      <c r="J19" s="47">
        <f t="shared" si="6"/>
        <v>2.1826316432788196E-2</v>
      </c>
      <c r="K19" s="55">
        <v>610051362.63</v>
      </c>
      <c r="L19" s="47">
        <f t="shared" si="7"/>
        <v>2.1987548638748106E-2</v>
      </c>
      <c r="M19" s="47">
        <f t="shared" si="8"/>
        <v>5.6848012360982338E-2</v>
      </c>
      <c r="N19" s="48">
        <f t="shared" si="9"/>
        <v>1.1526843034469104E-3</v>
      </c>
      <c r="O19" s="49">
        <f t="shared" si="10"/>
        <v>7.5985233014083983E-2</v>
      </c>
      <c r="P19" s="50">
        <f t="shared" si="11"/>
        <v>5987.4014346176345</v>
      </c>
      <c r="Q19" s="50">
        <f t="shared" si="12"/>
        <v>454.95409315828169</v>
      </c>
      <c r="R19" s="76">
        <v>5944.99</v>
      </c>
      <c r="S19" s="76">
        <v>6016.47</v>
      </c>
      <c r="T19" s="52">
        <v>21</v>
      </c>
      <c r="U19" s="76">
        <v>103440.35</v>
      </c>
      <c r="V19" s="76">
        <v>101889.17</v>
      </c>
    </row>
    <row r="20" spans="1:26" ht="14.25">
      <c r="A20" s="43">
        <v>16</v>
      </c>
      <c r="B20" s="44" t="s">
        <v>46</v>
      </c>
      <c r="C20" s="44" t="s">
        <v>45</v>
      </c>
      <c r="D20" s="76">
        <v>11335352356.549999</v>
      </c>
      <c r="E20" s="52">
        <v>198252702.81</v>
      </c>
      <c r="F20" s="52">
        <v>825591747.97000003</v>
      </c>
      <c r="G20" s="52">
        <v>33009485.949999999</v>
      </c>
      <c r="H20" s="45">
        <f t="shared" si="0"/>
        <v>990834964.82999992</v>
      </c>
      <c r="I20" s="104">
        <v>10389106053.290001</v>
      </c>
      <c r="J20" s="47">
        <f t="shared" si="6"/>
        <v>0.39283010247740907</v>
      </c>
      <c r="K20" s="55">
        <v>11280080754.559999</v>
      </c>
      <c r="L20" s="47">
        <f t="shared" si="7"/>
        <v>0.40655810220740529</v>
      </c>
      <c r="M20" s="47">
        <f t="shared" si="8"/>
        <v>8.5760478014164324E-2</v>
      </c>
      <c r="N20" s="48">
        <f t="shared" si="9"/>
        <v>2.9263519178846157E-3</v>
      </c>
      <c r="O20" s="49">
        <f t="shared" si="10"/>
        <v>8.7839350301588265E-2</v>
      </c>
      <c r="P20" s="50">
        <f t="shared" si="11"/>
        <v>19220.851807458541</v>
      </c>
      <c r="Q20" s="50">
        <f t="shared" si="12"/>
        <v>1688.3471350102668</v>
      </c>
      <c r="R20" s="76">
        <v>19071.53</v>
      </c>
      <c r="S20" s="76">
        <v>19323.189999999999</v>
      </c>
      <c r="T20" s="76">
        <v>17375</v>
      </c>
      <c r="U20" s="76">
        <v>587812.55000000005</v>
      </c>
      <c r="V20" s="76">
        <v>586866.85</v>
      </c>
    </row>
    <row r="21" spans="1:26" ht="14.25">
      <c r="A21" s="43">
        <v>17</v>
      </c>
      <c r="B21" s="44" t="s">
        <v>48</v>
      </c>
      <c r="C21" s="44" t="s">
        <v>49</v>
      </c>
      <c r="D21" s="76">
        <v>2274190431</v>
      </c>
      <c r="E21" s="76">
        <v>37962016</v>
      </c>
      <c r="F21" s="76">
        <v>43535648</v>
      </c>
      <c r="G21" s="97">
        <v>5090363</v>
      </c>
      <c r="H21" s="45">
        <f t="shared" si="0"/>
        <v>76407301</v>
      </c>
      <c r="I21" s="106">
        <v>3157796209</v>
      </c>
      <c r="J21" s="47">
        <f t="shared" si="6"/>
        <v>0.1194017466008456</v>
      </c>
      <c r="K21" s="61">
        <v>3151290911</v>
      </c>
      <c r="L21" s="47">
        <f t="shared" si="7"/>
        <v>0.11357922697155197</v>
      </c>
      <c r="M21" s="47">
        <f t="shared" si="8"/>
        <v>-2.060075308678667E-3</v>
      </c>
      <c r="N21" s="48">
        <f t="shared" si="9"/>
        <v>1.6153262722370097E-3</v>
      </c>
      <c r="O21" s="49">
        <f t="shared" si="10"/>
        <v>2.4246349562108072E-2</v>
      </c>
      <c r="P21" s="50">
        <f t="shared" si="11"/>
        <v>1.5560513196202059</v>
      </c>
      <c r="Q21" s="50">
        <f t="shared" si="12"/>
        <v>3.7728564232091068E-2</v>
      </c>
      <c r="R21" s="98">
        <v>1.56</v>
      </c>
      <c r="S21" s="98">
        <v>1.57</v>
      </c>
      <c r="T21" s="98">
        <v>2884</v>
      </c>
      <c r="U21" s="100">
        <v>2033646784</v>
      </c>
      <c r="V21" s="100">
        <v>2025184434</v>
      </c>
    </row>
    <row r="22" spans="1:26" ht="14.25">
      <c r="A22" s="127" t="s">
        <v>50</v>
      </c>
      <c r="B22" s="127"/>
      <c r="C22" s="127"/>
      <c r="D22" s="127"/>
      <c r="E22" s="127"/>
      <c r="F22" s="127"/>
      <c r="G22" s="127"/>
      <c r="H22" s="127"/>
      <c r="I22" s="63">
        <f>SUM(I5:I21)</f>
        <v>26446817562.529999</v>
      </c>
      <c r="J22" s="113">
        <f>(I22/$I$186)</f>
        <v>9.8681483933261132E-3</v>
      </c>
      <c r="K22" s="63">
        <f>SUM(K5:K21)</f>
        <v>27745310432.420002</v>
      </c>
      <c r="L22" s="113">
        <f>(K22/$K$186)</f>
        <v>9.5839882438352366E-3</v>
      </c>
      <c r="M22" s="47">
        <f t="shared" si="1"/>
        <v>4.9098265483924056E-2</v>
      </c>
      <c r="N22" s="48"/>
      <c r="O22" s="48"/>
      <c r="P22" s="65"/>
      <c r="Q22" s="65"/>
      <c r="R22" s="66"/>
      <c r="S22" s="66"/>
      <c r="T22" s="67">
        <f>SUM(T5:T21)</f>
        <v>48822</v>
      </c>
      <c r="U22" s="67"/>
      <c r="V22" s="67"/>
    </row>
    <row r="23" spans="1:26" ht="6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25"/>
      <c r="X23" s="25"/>
      <c r="Y23" s="25"/>
      <c r="Z23" s="25"/>
    </row>
    <row r="24" spans="1:26">
      <c r="A24" s="132" t="s">
        <v>51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6" ht="12.95" customHeight="1">
      <c r="A25" s="43">
        <v>18</v>
      </c>
      <c r="B25" s="44" t="s">
        <v>52</v>
      </c>
      <c r="C25" s="44" t="s">
        <v>21</v>
      </c>
      <c r="D25" s="98">
        <v>978845396.25</v>
      </c>
      <c r="E25" s="98">
        <v>14677352.539999999</v>
      </c>
      <c r="F25" s="98"/>
      <c r="G25" s="98">
        <v>1996279.14</v>
      </c>
      <c r="H25" s="45">
        <f t="shared" ref="H25:H56" si="13">(E25+F25)-G25</f>
        <v>12681073.399999999</v>
      </c>
      <c r="I25" s="107">
        <v>926933423.46000004</v>
      </c>
      <c r="J25" s="47">
        <f t="shared" ref="J25:J56" si="14">(I25/$I$57)</f>
        <v>9.8878401756120112E-4</v>
      </c>
      <c r="K25" s="68">
        <v>954254664.66999996</v>
      </c>
      <c r="L25" s="47">
        <f t="shared" ref="L25" si="15">(K25/$K$57)</f>
        <v>9.4516881420529078E-4</v>
      </c>
      <c r="M25" s="47">
        <f t="shared" ref="M25:M57" si="16">((K25-I25)/I25)</f>
        <v>2.9474868980359854E-2</v>
      </c>
      <c r="N25" s="48">
        <f t="shared" ref="N25" si="17">(G25/K25)</f>
        <v>2.0919773451569686E-3</v>
      </c>
      <c r="O25" s="49">
        <f t="shared" ref="O25" si="18">H25/K25</f>
        <v>1.3288982353977135E-2</v>
      </c>
      <c r="P25" s="69">
        <f t="shared" ref="P25" si="19">K25/V25</f>
        <v>101.04454342225739</v>
      </c>
      <c r="Q25" s="69">
        <f t="shared" ref="Q25" si="20">H25/V25</f>
        <v>1.3427791545040548</v>
      </c>
      <c r="R25" s="52">
        <v>100</v>
      </c>
      <c r="S25" s="52">
        <v>100</v>
      </c>
      <c r="T25" s="52">
        <v>801</v>
      </c>
      <c r="U25" s="98">
        <v>9165200</v>
      </c>
      <c r="V25" s="98">
        <v>9443901</v>
      </c>
    </row>
    <row r="26" spans="1:26" ht="15" customHeight="1">
      <c r="A26" s="43">
        <v>19</v>
      </c>
      <c r="B26" s="44" t="s">
        <v>53</v>
      </c>
      <c r="C26" s="44" t="s">
        <v>54</v>
      </c>
      <c r="D26" s="52">
        <v>5333136882.1199999</v>
      </c>
      <c r="E26" s="52">
        <v>82065136.670000002</v>
      </c>
      <c r="F26" s="52"/>
      <c r="G26" s="52">
        <v>8928246.9800000004</v>
      </c>
      <c r="H26" s="45">
        <f t="shared" si="13"/>
        <v>73136889.689999998</v>
      </c>
      <c r="I26" s="30">
        <v>5130783662.0799999</v>
      </c>
      <c r="J26" s="47">
        <f t="shared" si="14"/>
        <v>5.4731405236114672E-3</v>
      </c>
      <c r="K26" s="51">
        <v>5346553766.5500002</v>
      </c>
      <c r="L26" s="47">
        <f t="shared" ref="L26:L56" si="21">(K26/$K$57)</f>
        <v>5.2956470329253861E-3</v>
      </c>
      <c r="M26" s="47">
        <f t="shared" ref="M26:M56" si="22">((K26-I26)/I26)</f>
        <v>4.2054025014675415E-2</v>
      </c>
      <c r="N26" s="48">
        <f t="shared" ref="N26:N56" si="23">(G26/K26)</f>
        <v>1.6699068913995378E-3</v>
      </c>
      <c r="O26" s="49">
        <f t="shared" ref="O26:O56" si="24">H26/K26</f>
        <v>1.367925824436129E-2</v>
      </c>
      <c r="P26" s="69">
        <f t="shared" ref="P26:P56" si="25">K26/V26</f>
        <v>102.61555127276458</v>
      </c>
      <c r="Q26" s="69">
        <f t="shared" ref="Q26:Q56" si="26">H26/V26</f>
        <v>1.4037046257476435</v>
      </c>
      <c r="R26" s="52">
        <v>100</v>
      </c>
      <c r="S26" s="52">
        <v>100</v>
      </c>
      <c r="T26" s="52">
        <v>1442</v>
      </c>
      <c r="U26" s="52">
        <v>50563969.560000002</v>
      </c>
      <c r="V26" s="52">
        <v>52102763.18</v>
      </c>
    </row>
    <row r="27" spans="1:26" ht="14.25">
      <c r="A27" s="43">
        <v>20</v>
      </c>
      <c r="B27" s="44" t="s">
        <v>55</v>
      </c>
      <c r="C27" s="44" t="s">
        <v>23</v>
      </c>
      <c r="D27" s="52">
        <v>427883569.87</v>
      </c>
      <c r="E27" s="52">
        <v>17301597.989999998</v>
      </c>
      <c r="F27" s="52"/>
      <c r="G27" s="52">
        <v>574668.87</v>
      </c>
      <c r="H27" s="45">
        <f t="shared" si="13"/>
        <v>16726929.119999999</v>
      </c>
      <c r="I27" s="30">
        <v>339935351.02999997</v>
      </c>
      <c r="J27" s="47">
        <f t="shared" si="14"/>
        <v>3.626178899104346E-4</v>
      </c>
      <c r="K27" s="51">
        <v>428011957.77999997</v>
      </c>
      <c r="L27" s="47">
        <f t="shared" si="21"/>
        <v>4.2393668019480594E-4</v>
      </c>
      <c r="M27" s="47">
        <f t="shared" si="22"/>
        <v>0.25909810934087601</v>
      </c>
      <c r="N27" s="48">
        <f t="shared" si="23"/>
        <v>1.3426467638443464E-3</v>
      </c>
      <c r="O27" s="49">
        <f t="shared" si="24"/>
        <v>3.9080518233085705E-2</v>
      </c>
      <c r="P27" s="69">
        <f t="shared" si="25"/>
        <v>86.715040039095229</v>
      </c>
      <c r="Q27" s="69">
        <f t="shared" si="26"/>
        <v>3.3888687033306186</v>
      </c>
      <c r="R27" s="52">
        <v>100</v>
      </c>
      <c r="S27" s="52">
        <v>100</v>
      </c>
      <c r="T27" s="52">
        <v>1073</v>
      </c>
      <c r="U27" s="52">
        <v>4078854.64</v>
      </c>
      <c r="V27" s="52">
        <v>4935844.55</v>
      </c>
    </row>
    <row r="28" spans="1:26" ht="14.25">
      <c r="A28" s="43">
        <v>21</v>
      </c>
      <c r="B28" s="44" t="s">
        <v>56</v>
      </c>
      <c r="C28" s="53" t="s">
        <v>57</v>
      </c>
      <c r="D28" s="76">
        <v>29269099515.59</v>
      </c>
      <c r="E28" s="76">
        <v>1213467417.8800001</v>
      </c>
      <c r="F28" s="76"/>
      <c r="G28" s="76">
        <v>148389075.88</v>
      </c>
      <c r="H28" s="45">
        <f t="shared" si="13"/>
        <v>1065078342.0000001</v>
      </c>
      <c r="I28" s="104">
        <v>85629507757</v>
      </c>
      <c r="J28" s="47">
        <f t="shared" si="14"/>
        <v>9.1343225477518039E-2</v>
      </c>
      <c r="K28" s="59">
        <v>87547101552</v>
      </c>
      <c r="L28" s="47">
        <f t="shared" si="21"/>
        <v>8.6713529652621066E-2</v>
      </c>
      <c r="M28" s="47">
        <f t="shared" si="22"/>
        <v>2.2394077056261501E-2</v>
      </c>
      <c r="N28" s="48">
        <f t="shared" si="23"/>
        <v>1.6949627486166625E-3</v>
      </c>
      <c r="O28" s="49">
        <f t="shared" si="24"/>
        <v>1.216577502988354E-2</v>
      </c>
      <c r="P28" s="69">
        <f t="shared" si="25"/>
        <v>1</v>
      </c>
      <c r="Q28" s="69">
        <f t="shared" si="26"/>
        <v>1.216577502988354E-2</v>
      </c>
      <c r="R28" s="52">
        <v>1</v>
      </c>
      <c r="S28" s="52">
        <v>1</v>
      </c>
      <c r="T28" s="52">
        <v>58024</v>
      </c>
      <c r="U28" s="76">
        <v>85629507757</v>
      </c>
      <c r="V28" s="76">
        <v>87547101552</v>
      </c>
    </row>
    <row r="29" spans="1:26" ht="15" customHeight="1">
      <c r="A29" s="43">
        <v>22</v>
      </c>
      <c r="B29" s="44" t="s">
        <v>58</v>
      </c>
      <c r="C29" s="44" t="s">
        <v>27</v>
      </c>
      <c r="D29" s="52">
        <v>17859377880.919998</v>
      </c>
      <c r="E29" s="52">
        <v>861709645.49000001</v>
      </c>
      <c r="F29" s="52"/>
      <c r="G29" s="52">
        <v>83373571.150000006</v>
      </c>
      <c r="H29" s="45">
        <f t="shared" si="13"/>
        <v>778336074.34000003</v>
      </c>
      <c r="I29" s="104">
        <v>49785036216.739998</v>
      </c>
      <c r="J29" s="47">
        <f t="shared" si="14"/>
        <v>5.3106994395636174E-2</v>
      </c>
      <c r="K29" s="55">
        <v>55551194062.889999</v>
      </c>
      <c r="L29" s="47">
        <f t="shared" si="21"/>
        <v>5.502226833574566E-2</v>
      </c>
      <c r="M29" s="47">
        <f t="shared" si="22"/>
        <v>0.11582110377598072</v>
      </c>
      <c r="N29" s="48">
        <f t="shared" si="23"/>
        <v>1.5008421071131622E-3</v>
      </c>
      <c r="O29" s="49">
        <f t="shared" si="24"/>
        <v>1.4011149309569095E-2</v>
      </c>
      <c r="P29" s="69">
        <f t="shared" si="25"/>
        <v>1.0258156208820461</v>
      </c>
      <c r="Q29" s="69">
        <f t="shared" si="26"/>
        <v>1.4372855828266673E-2</v>
      </c>
      <c r="R29" s="52">
        <v>1</v>
      </c>
      <c r="S29" s="52">
        <v>1</v>
      </c>
      <c r="T29" s="52">
        <v>27850</v>
      </c>
      <c r="U29" s="52">
        <v>49153216935.230003</v>
      </c>
      <c r="V29" s="52">
        <v>54153195693.32</v>
      </c>
    </row>
    <row r="30" spans="1:26" ht="14.25">
      <c r="A30" s="43">
        <v>23</v>
      </c>
      <c r="B30" s="53" t="s">
        <v>59</v>
      </c>
      <c r="C30" s="53" t="s">
        <v>43</v>
      </c>
      <c r="D30" s="52">
        <v>9612767008.2600002</v>
      </c>
      <c r="E30" s="52">
        <v>140346041.59999999</v>
      </c>
      <c r="F30" s="52"/>
      <c r="G30" s="52">
        <v>15376451.07</v>
      </c>
      <c r="H30" s="45">
        <f t="shared" si="13"/>
        <v>124969590.53</v>
      </c>
      <c r="I30" s="30">
        <v>8952403605.2299995</v>
      </c>
      <c r="J30" s="47">
        <f t="shared" si="14"/>
        <v>9.5497620212749729E-3</v>
      </c>
      <c r="K30" s="51">
        <v>9354822001.4799995</v>
      </c>
      <c r="L30" s="47">
        <f t="shared" si="21"/>
        <v>9.265750900256919E-3</v>
      </c>
      <c r="M30" s="47">
        <f t="shared" si="22"/>
        <v>4.4950877328062702E-2</v>
      </c>
      <c r="N30" s="48">
        <f t="shared" si="23"/>
        <v>1.6436925328528256E-3</v>
      </c>
      <c r="O30" s="49">
        <f t="shared" si="24"/>
        <v>1.3358842157577015E-2</v>
      </c>
      <c r="P30" s="69">
        <f t="shared" si="25"/>
        <v>100.00000000513103</v>
      </c>
      <c r="Q30" s="69">
        <f t="shared" si="26"/>
        <v>1.3358842158262461</v>
      </c>
      <c r="R30" s="52">
        <v>100</v>
      </c>
      <c r="S30" s="52">
        <v>100</v>
      </c>
      <c r="T30" s="52">
        <v>1986</v>
      </c>
      <c r="U30" s="76">
        <v>89524036.049999997</v>
      </c>
      <c r="V30" s="52">
        <v>93548220.010000005</v>
      </c>
    </row>
    <row r="31" spans="1:26" s="19" customFormat="1" ht="14.25">
      <c r="A31" s="43">
        <v>24</v>
      </c>
      <c r="B31" s="89" t="s">
        <v>247</v>
      </c>
      <c r="C31" s="89" t="s">
        <v>225</v>
      </c>
      <c r="D31" s="52">
        <f>236526916.3+35100294.74</f>
        <v>271627211.04000002</v>
      </c>
      <c r="E31" s="52">
        <v>7405903.6100000003</v>
      </c>
      <c r="F31" s="52"/>
      <c r="G31" s="52">
        <v>244030.89</v>
      </c>
      <c r="H31" s="45">
        <f t="shared" si="13"/>
        <v>7161872.7200000007</v>
      </c>
      <c r="I31" s="26">
        <v>190253932.12</v>
      </c>
      <c r="J31" s="47">
        <f t="shared" si="14"/>
        <v>2.0294882307321136E-4</v>
      </c>
      <c r="K31" s="51">
        <v>229063244.40000001</v>
      </c>
      <c r="L31" s="47">
        <f t="shared" si="21"/>
        <v>2.2688223920019912E-4</v>
      </c>
      <c r="M31" s="47">
        <f t="shared" si="22"/>
        <v>0.20398691289871249</v>
      </c>
      <c r="N31" s="48">
        <f t="shared" si="23"/>
        <v>1.0653428516618007E-3</v>
      </c>
      <c r="O31" s="49">
        <f t="shared" si="24"/>
        <v>3.126591845304362E-2</v>
      </c>
      <c r="P31" s="69">
        <f t="shared" si="25"/>
        <v>1.0031439946530589</v>
      </c>
      <c r="Q31" s="69">
        <f t="shared" si="26"/>
        <v>3.1364218333482963E-2</v>
      </c>
      <c r="R31" s="52">
        <v>1</v>
      </c>
      <c r="S31" s="52">
        <v>1</v>
      </c>
      <c r="T31" s="52">
        <v>74</v>
      </c>
      <c r="U31" s="52">
        <v>228345327.91</v>
      </c>
      <c r="V31" s="52">
        <v>228345327.91</v>
      </c>
    </row>
    <row r="32" spans="1:26" ht="14.25">
      <c r="A32" s="43">
        <v>25</v>
      </c>
      <c r="B32" s="44" t="s">
        <v>60</v>
      </c>
      <c r="C32" s="44" t="s">
        <v>61</v>
      </c>
      <c r="D32" s="76">
        <v>20648387465.880001</v>
      </c>
      <c r="E32" s="52">
        <v>323802867.00999999</v>
      </c>
      <c r="F32" s="52"/>
      <c r="G32" s="52">
        <v>30133632.789999999</v>
      </c>
      <c r="H32" s="45">
        <f t="shared" si="13"/>
        <v>293669234.21999997</v>
      </c>
      <c r="I32" s="30">
        <v>15639656048.34</v>
      </c>
      <c r="J32" s="47">
        <f t="shared" si="14"/>
        <v>1.6683228319709299E-2</v>
      </c>
      <c r="K32" s="51">
        <v>19949781397.43</v>
      </c>
      <c r="L32" s="47">
        <f t="shared" si="21"/>
        <v>1.9759831337669623E-2</v>
      </c>
      <c r="M32" s="47">
        <f t="shared" si="22"/>
        <v>0.27558952292607986</v>
      </c>
      <c r="N32" s="48">
        <f t="shared" si="23"/>
        <v>1.5104743350161179E-3</v>
      </c>
      <c r="O32" s="49">
        <f t="shared" si="24"/>
        <v>1.4720423666287966E-2</v>
      </c>
      <c r="P32" s="69">
        <f t="shared" si="25"/>
        <v>100.00000000215542</v>
      </c>
      <c r="Q32" s="69">
        <f t="shared" si="26"/>
        <v>1.4720423666605251</v>
      </c>
      <c r="R32" s="52">
        <v>100</v>
      </c>
      <c r="S32" s="52">
        <v>100</v>
      </c>
      <c r="T32" s="52">
        <v>2370</v>
      </c>
      <c r="U32" s="52">
        <v>156396560.47999999</v>
      </c>
      <c r="V32" s="52">
        <v>199497813.97</v>
      </c>
    </row>
    <row r="33" spans="1:22" ht="14.25">
      <c r="A33" s="43">
        <v>26</v>
      </c>
      <c r="B33" s="44" t="s">
        <v>62</v>
      </c>
      <c r="C33" s="44" t="s">
        <v>63</v>
      </c>
      <c r="D33" s="52">
        <v>3139402931.1799998</v>
      </c>
      <c r="E33" s="76">
        <v>105340089.78</v>
      </c>
      <c r="F33" s="76"/>
      <c r="G33" s="52">
        <v>7936847.6900000004</v>
      </c>
      <c r="H33" s="45">
        <f t="shared" si="13"/>
        <v>97403242.090000004</v>
      </c>
      <c r="I33" s="104">
        <v>6015466500</v>
      </c>
      <c r="J33" s="47">
        <f t="shared" si="14"/>
        <v>6.4168547414899541E-3</v>
      </c>
      <c r="K33" s="55">
        <v>6879498400</v>
      </c>
      <c r="L33" s="47">
        <f t="shared" si="21"/>
        <v>6.813995871116663E-3</v>
      </c>
      <c r="M33" s="47">
        <f t="shared" si="22"/>
        <v>0.14363506138717588</v>
      </c>
      <c r="N33" s="48">
        <f t="shared" si="23"/>
        <v>1.1536956953140654E-3</v>
      </c>
      <c r="O33" s="49">
        <f t="shared" si="24"/>
        <v>1.415848023018655E-2</v>
      </c>
      <c r="P33" s="69">
        <f t="shared" si="25"/>
        <v>100</v>
      </c>
      <c r="Q33" s="69">
        <f t="shared" si="26"/>
        <v>1.415848023018655</v>
      </c>
      <c r="R33" s="52">
        <v>100</v>
      </c>
      <c r="S33" s="52">
        <v>100</v>
      </c>
      <c r="T33" s="52">
        <v>5987</v>
      </c>
      <c r="U33" s="52">
        <v>60154665</v>
      </c>
      <c r="V33" s="52">
        <v>68794984</v>
      </c>
    </row>
    <row r="34" spans="1:22" ht="14.25">
      <c r="A34" s="43">
        <v>27</v>
      </c>
      <c r="B34" s="44" t="s">
        <v>64</v>
      </c>
      <c r="C34" s="53" t="s">
        <v>65</v>
      </c>
      <c r="D34" s="52">
        <v>39263942.280000001</v>
      </c>
      <c r="E34" s="52">
        <v>275433.01</v>
      </c>
      <c r="F34" s="52"/>
      <c r="G34" s="52">
        <v>41437.480000000003</v>
      </c>
      <c r="H34" s="45">
        <f t="shared" si="13"/>
        <v>233995.53</v>
      </c>
      <c r="I34" s="26">
        <v>39203248.560000002</v>
      </c>
      <c r="J34" s="47">
        <f t="shared" si="14"/>
        <v>4.181912598200742E-5</v>
      </c>
      <c r="K34" s="52">
        <v>39203248.560000002</v>
      </c>
      <c r="L34" s="47">
        <f t="shared" si="21"/>
        <v>3.8829978334205332E-5</v>
      </c>
      <c r="M34" s="47">
        <f t="shared" si="22"/>
        <v>0</v>
      </c>
      <c r="N34" s="48">
        <f t="shared" si="23"/>
        <v>1.056990977076314E-3</v>
      </c>
      <c r="O34" s="49">
        <f t="shared" si="24"/>
        <v>5.9687790832403404E-3</v>
      </c>
      <c r="P34" s="69">
        <f t="shared" si="25"/>
        <v>101.87107246798604</v>
      </c>
      <c r="Q34" s="69">
        <f t="shared" si="26"/>
        <v>0.608045926534176</v>
      </c>
      <c r="R34" s="52">
        <v>10</v>
      </c>
      <c r="S34" s="52">
        <v>10</v>
      </c>
      <c r="T34" s="52">
        <v>86</v>
      </c>
      <c r="U34" s="52">
        <v>384832</v>
      </c>
      <c r="V34" s="52">
        <v>384832</v>
      </c>
    </row>
    <row r="35" spans="1:22" ht="14.25">
      <c r="A35" s="43">
        <v>28</v>
      </c>
      <c r="B35" s="44" t="s">
        <v>66</v>
      </c>
      <c r="C35" s="44" t="s">
        <v>67</v>
      </c>
      <c r="D35" s="76">
        <v>5231710963.2200003</v>
      </c>
      <c r="E35" s="99">
        <v>81236327.859999999</v>
      </c>
      <c r="F35" s="99"/>
      <c r="G35" s="98">
        <v>7289997.1299999999</v>
      </c>
      <c r="H35" s="45">
        <f t="shared" si="13"/>
        <v>73946330.730000004</v>
      </c>
      <c r="I35" s="33">
        <v>5134111115.8500004</v>
      </c>
      <c r="J35" s="47">
        <f t="shared" si="14"/>
        <v>5.4766900051855258E-3</v>
      </c>
      <c r="K35" s="57">
        <v>5333407100.3000002</v>
      </c>
      <c r="L35" s="47">
        <f t="shared" si="21"/>
        <v>5.2826255414825732E-3</v>
      </c>
      <c r="M35" s="47">
        <f t="shared" si="22"/>
        <v>3.881801152194278E-2</v>
      </c>
      <c r="N35" s="48">
        <f t="shared" si="23"/>
        <v>1.3668555564771987E-3</v>
      </c>
      <c r="O35" s="49">
        <f t="shared" si="24"/>
        <v>1.3864745244337447E-2</v>
      </c>
      <c r="P35" s="69">
        <f t="shared" si="25"/>
        <v>1.0225759967756427</v>
      </c>
      <c r="Q35" s="69">
        <f t="shared" si="26"/>
        <v>1.4177755688268717E-2</v>
      </c>
      <c r="R35" s="52">
        <v>1</v>
      </c>
      <c r="S35" s="52">
        <v>1</v>
      </c>
      <c r="T35" s="98">
        <v>2319</v>
      </c>
      <c r="U35" s="76">
        <v>5066582044.3500004</v>
      </c>
      <c r="V35" s="76">
        <v>5215658412.79</v>
      </c>
    </row>
    <row r="36" spans="1:22" ht="14.25">
      <c r="A36" s="43">
        <v>29</v>
      </c>
      <c r="B36" s="44" t="s">
        <v>68</v>
      </c>
      <c r="C36" s="44" t="s">
        <v>69</v>
      </c>
      <c r="D36" s="52">
        <v>6994742134.1899996</v>
      </c>
      <c r="E36" s="52">
        <v>198820597.59999999</v>
      </c>
      <c r="F36" s="52"/>
      <c r="G36" s="52">
        <v>20906024.390000001</v>
      </c>
      <c r="H36" s="45">
        <f t="shared" si="13"/>
        <v>177914573.20999998</v>
      </c>
      <c r="I36" s="108">
        <v>12929949946.33</v>
      </c>
      <c r="J36" s="47">
        <f t="shared" si="14"/>
        <v>1.3792714267519476E-2</v>
      </c>
      <c r="K36" s="55">
        <v>13958141056.120001</v>
      </c>
      <c r="L36" s="47">
        <f t="shared" si="21"/>
        <v>1.3825239864125219E-2</v>
      </c>
      <c r="M36" s="47">
        <f t="shared" si="22"/>
        <v>7.952011524080492E-2</v>
      </c>
      <c r="N36" s="48">
        <f t="shared" si="23"/>
        <v>1.4977656627731006E-3</v>
      </c>
      <c r="O36" s="49">
        <f t="shared" si="24"/>
        <v>1.2746294259004686E-2</v>
      </c>
      <c r="P36" s="69">
        <f t="shared" si="25"/>
        <v>99.999999685631494</v>
      </c>
      <c r="Q36" s="69">
        <f t="shared" si="26"/>
        <v>1.2746294218934353</v>
      </c>
      <c r="R36" s="52">
        <v>100</v>
      </c>
      <c r="S36" s="52">
        <v>100</v>
      </c>
      <c r="T36" s="52">
        <v>5617</v>
      </c>
      <c r="U36" s="52">
        <v>126946102</v>
      </c>
      <c r="V36" s="52">
        <v>139581411</v>
      </c>
    </row>
    <row r="37" spans="1:22" ht="14.25">
      <c r="A37" s="43">
        <v>30</v>
      </c>
      <c r="B37" s="44" t="s">
        <v>70</v>
      </c>
      <c r="C37" s="44" t="s">
        <v>69</v>
      </c>
      <c r="D37" s="52">
        <v>347495296.63</v>
      </c>
      <c r="E37" s="52">
        <v>7697346.7000000002</v>
      </c>
      <c r="F37" s="52"/>
      <c r="G37" s="52">
        <v>764591.78</v>
      </c>
      <c r="H37" s="45">
        <f t="shared" si="13"/>
        <v>6932754.9199999999</v>
      </c>
      <c r="I37" s="30">
        <v>589171563.76999998</v>
      </c>
      <c r="J37" s="47">
        <f t="shared" si="14"/>
        <v>6.2848464745478597E-4</v>
      </c>
      <c r="K37" s="51">
        <v>530662701.99000001</v>
      </c>
      <c r="L37" s="47">
        <f t="shared" si="21"/>
        <v>5.2561004452235534E-4</v>
      </c>
      <c r="M37" s="47">
        <f t="shared" si="22"/>
        <v>-9.930700220087435E-2</v>
      </c>
      <c r="N37" s="48">
        <f t="shared" si="23"/>
        <v>1.4408244203573371E-3</v>
      </c>
      <c r="O37" s="49">
        <f t="shared" si="24"/>
        <v>1.3064334263557575E-2</v>
      </c>
      <c r="P37" s="69">
        <f t="shared" si="25"/>
        <v>999364.78717514127</v>
      </c>
      <c r="Q37" s="69">
        <f t="shared" si="26"/>
        <v>13056.035630885122</v>
      </c>
      <c r="R37" s="52">
        <v>1000000</v>
      </c>
      <c r="S37" s="52">
        <v>1000000</v>
      </c>
      <c r="T37" s="52">
        <v>21</v>
      </c>
      <c r="U37" s="52">
        <v>914</v>
      </c>
      <c r="V37" s="52">
        <v>531</v>
      </c>
    </row>
    <row r="38" spans="1:22" ht="14.25">
      <c r="A38" s="43">
        <v>31</v>
      </c>
      <c r="B38" s="53" t="s">
        <v>71</v>
      </c>
      <c r="C38" s="53" t="s">
        <v>72</v>
      </c>
      <c r="D38" s="76">
        <v>3428222694</v>
      </c>
      <c r="E38" s="76">
        <v>53379369.090000004</v>
      </c>
      <c r="F38" s="76"/>
      <c r="G38" s="96">
        <v>5588240</v>
      </c>
      <c r="H38" s="45">
        <f t="shared" si="13"/>
        <v>47791129.090000004</v>
      </c>
      <c r="I38" s="109">
        <v>3505697158.0300002</v>
      </c>
      <c r="J38" s="47">
        <f t="shared" si="14"/>
        <v>3.7396184370293915E-3</v>
      </c>
      <c r="K38" s="56">
        <v>3310992728</v>
      </c>
      <c r="L38" s="47">
        <f t="shared" si="21"/>
        <v>3.2794674067936837E-3</v>
      </c>
      <c r="M38" s="47">
        <f t="shared" si="22"/>
        <v>-5.5539432316342147E-2</v>
      </c>
      <c r="N38" s="48">
        <f t="shared" si="23"/>
        <v>1.6877838337553727E-3</v>
      </c>
      <c r="O38" s="49">
        <f t="shared" si="24"/>
        <v>1.4434078542621312E-2</v>
      </c>
      <c r="P38" s="69">
        <f t="shared" si="25"/>
        <v>0.99387226215637858</v>
      </c>
      <c r="Q38" s="69">
        <f t="shared" si="26"/>
        <v>1.4345630293297888E-2</v>
      </c>
      <c r="R38" s="52">
        <v>1</v>
      </c>
      <c r="S38" s="52">
        <v>1</v>
      </c>
      <c r="T38" s="98">
        <v>542</v>
      </c>
      <c r="U38" s="76">
        <v>3475643544</v>
      </c>
      <c r="V38" s="76">
        <v>3331406715</v>
      </c>
    </row>
    <row r="39" spans="1:22" ht="12.75" customHeight="1">
      <c r="A39" s="43">
        <v>32</v>
      </c>
      <c r="B39" s="44" t="s">
        <v>73</v>
      </c>
      <c r="C39" s="44" t="s">
        <v>74</v>
      </c>
      <c r="D39" s="99">
        <v>401365872.55000001</v>
      </c>
      <c r="E39" s="76">
        <v>6189714.9000000004</v>
      </c>
      <c r="F39" s="99"/>
      <c r="G39" s="99">
        <v>856431.22</v>
      </c>
      <c r="H39" s="45">
        <f t="shared" si="13"/>
        <v>5333283.6800000006</v>
      </c>
      <c r="I39" s="33">
        <v>345018657.63999999</v>
      </c>
      <c r="J39" s="47">
        <f t="shared" si="14"/>
        <v>3.6804038542642258E-4</v>
      </c>
      <c r="K39" s="57">
        <v>584490735.32000005</v>
      </c>
      <c r="L39" s="47">
        <f t="shared" si="21"/>
        <v>5.7892555904605228E-4</v>
      </c>
      <c r="M39" s="47">
        <f t="shared" si="22"/>
        <v>0.69408442812350879</v>
      </c>
      <c r="N39" s="48">
        <f t="shared" si="23"/>
        <v>1.4652605563219346E-3</v>
      </c>
      <c r="O39" s="49">
        <f t="shared" si="24"/>
        <v>9.1246676084268587E-3</v>
      </c>
      <c r="P39" s="69">
        <f t="shared" si="25"/>
        <v>1.0208933659645252</v>
      </c>
      <c r="Q39" s="69">
        <f t="shared" si="26"/>
        <v>9.3153126280743695E-3</v>
      </c>
      <c r="R39" s="52">
        <v>1</v>
      </c>
      <c r="S39" s="52">
        <v>1</v>
      </c>
      <c r="T39" s="98">
        <v>536</v>
      </c>
      <c r="U39" s="76">
        <v>295735069</v>
      </c>
      <c r="V39" s="76">
        <v>572528684</v>
      </c>
    </row>
    <row r="40" spans="1:22" ht="14.25">
      <c r="A40" s="43">
        <v>33</v>
      </c>
      <c r="B40" s="44" t="s">
        <v>75</v>
      </c>
      <c r="C40" s="44" t="s">
        <v>76</v>
      </c>
      <c r="D40" s="76">
        <v>227263589787.69</v>
      </c>
      <c r="E40" s="76">
        <v>3884168356.5799999</v>
      </c>
      <c r="F40" s="76"/>
      <c r="G40" s="76">
        <v>300816416.16000003</v>
      </c>
      <c r="H40" s="45">
        <f t="shared" si="13"/>
        <v>3583351940.4200001</v>
      </c>
      <c r="I40" s="104">
        <v>209197265019.70001</v>
      </c>
      <c r="J40" s="47">
        <f t="shared" si="14"/>
        <v>0.22315616950878084</v>
      </c>
      <c r="K40" s="55">
        <v>220548939522.42999</v>
      </c>
      <c r="L40" s="47">
        <f t="shared" si="21"/>
        <v>0.21844900251521193</v>
      </c>
      <c r="M40" s="47">
        <f t="shared" si="22"/>
        <v>5.4263015827004234E-2</v>
      </c>
      <c r="N40" s="48">
        <f t="shared" si="23"/>
        <v>1.3639440607213021E-3</v>
      </c>
      <c r="O40" s="49">
        <f t="shared" si="24"/>
        <v>1.624742312603852E-2</v>
      </c>
      <c r="P40" s="69">
        <f t="shared" si="25"/>
        <v>100.05478797091268</v>
      </c>
      <c r="Q40" s="69">
        <f t="shared" si="26"/>
        <v>1.6256324759494876</v>
      </c>
      <c r="R40" s="52">
        <v>100</v>
      </c>
      <c r="S40" s="52">
        <v>100</v>
      </c>
      <c r="T40" s="98">
        <v>26970</v>
      </c>
      <c r="U40" s="76">
        <v>2090963172</v>
      </c>
      <c r="V40" s="76">
        <v>2204281714</v>
      </c>
    </row>
    <row r="41" spans="1:22" ht="13.5" customHeight="1">
      <c r="A41" s="43">
        <v>34</v>
      </c>
      <c r="B41" s="44" t="s">
        <v>77</v>
      </c>
      <c r="C41" s="44" t="s">
        <v>78</v>
      </c>
      <c r="D41" s="52">
        <v>648155293.73000002</v>
      </c>
      <c r="E41" s="52">
        <v>8045963.8799999999</v>
      </c>
      <c r="F41" s="52"/>
      <c r="G41" s="52">
        <v>2350621.11</v>
      </c>
      <c r="H41" s="45">
        <f t="shared" si="13"/>
        <v>5695342.7699999996</v>
      </c>
      <c r="I41" s="30">
        <v>607363646.47000003</v>
      </c>
      <c r="J41" s="47">
        <f t="shared" si="14"/>
        <v>6.4789061574187939E-4</v>
      </c>
      <c r="K41" s="51">
        <v>605210816.88999999</v>
      </c>
      <c r="L41" s="47">
        <f t="shared" si="21"/>
        <v>5.9944835621207539E-4</v>
      </c>
      <c r="M41" s="47">
        <f t="shared" si="22"/>
        <v>-3.5445479697579813E-3</v>
      </c>
      <c r="N41" s="48">
        <f t="shared" si="23"/>
        <v>3.8839707493649057E-3</v>
      </c>
      <c r="O41" s="49">
        <f t="shared" si="24"/>
        <v>9.4105105379092314E-3</v>
      </c>
      <c r="P41" s="69">
        <f t="shared" si="25"/>
        <v>9.5072038228267157</v>
      </c>
      <c r="Q41" s="69">
        <f t="shared" si="26"/>
        <v>8.9467641760761732E-2</v>
      </c>
      <c r="R41" s="52">
        <v>10</v>
      </c>
      <c r="S41" s="52">
        <v>10</v>
      </c>
      <c r="T41" s="52">
        <v>357</v>
      </c>
      <c r="U41" s="52">
        <v>64567508</v>
      </c>
      <c r="V41" s="52">
        <v>63658130</v>
      </c>
    </row>
    <row r="42" spans="1:22" ht="14.25">
      <c r="A42" s="43">
        <v>35</v>
      </c>
      <c r="B42" s="44" t="s">
        <v>79</v>
      </c>
      <c r="C42" s="44" t="s">
        <v>80</v>
      </c>
      <c r="D42" s="52">
        <v>1012519239.01</v>
      </c>
      <c r="E42" s="52">
        <v>38994136.68</v>
      </c>
      <c r="F42" s="52"/>
      <c r="G42" s="52">
        <v>6184652.5499999998</v>
      </c>
      <c r="H42" s="45">
        <f t="shared" si="13"/>
        <v>32809484.129999999</v>
      </c>
      <c r="I42" s="30">
        <v>3112192103.6399999</v>
      </c>
      <c r="J42" s="47">
        <f t="shared" si="14"/>
        <v>3.3198563497394474E-3</v>
      </c>
      <c r="K42" s="51">
        <v>3131796266.1399999</v>
      </c>
      <c r="L42" s="47">
        <f t="shared" si="21"/>
        <v>3.1019771480223818E-3</v>
      </c>
      <c r="M42" s="47">
        <f t="shared" si="22"/>
        <v>6.2991492321669658E-3</v>
      </c>
      <c r="N42" s="48">
        <f t="shared" si="23"/>
        <v>1.9747940237577156E-3</v>
      </c>
      <c r="O42" s="49">
        <f t="shared" si="24"/>
        <v>1.0476251116563955E-2</v>
      </c>
      <c r="P42" s="69">
        <f t="shared" si="25"/>
        <v>99.953504111748899</v>
      </c>
      <c r="Q42" s="69">
        <f t="shared" si="26"/>
        <v>1.0471380090551894</v>
      </c>
      <c r="R42" s="52">
        <v>100</v>
      </c>
      <c r="S42" s="52">
        <v>100</v>
      </c>
      <c r="T42" s="52">
        <v>1531</v>
      </c>
      <c r="U42" s="76">
        <v>31093971</v>
      </c>
      <c r="V42" s="76">
        <v>31332531</v>
      </c>
    </row>
    <row r="43" spans="1:22" ht="14.25">
      <c r="A43" s="43">
        <v>36</v>
      </c>
      <c r="B43" s="53" t="s">
        <v>81</v>
      </c>
      <c r="C43" s="53" t="s">
        <v>35</v>
      </c>
      <c r="D43" s="76">
        <v>24787477064.549999</v>
      </c>
      <c r="E43" s="76">
        <v>380649233.72000003</v>
      </c>
      <c r="F43" s="76"/>
      <c r="G43" s="76">
        <v>27638799.989999998</v>
      </c>
      <c r="H43" s="45">
        <f t="shared" si="13"/>
        <v>353010433.73000002</v>
      </c>
      <c r="I43" s="104">
        <v>21744981633.77</v>
      </c>
      <c r="J43" s="47">
        <f t="shared" si="14"/>
        <v>2.3195938087306946E-2</v>
      </c>
      <c r="K43" s="55">
        <v>24065751668.330002</v>
      </c>
      <c r="L43" s="47">
        <f t="shared" si="21"/>
        <v>2.3836611765665875E-2</v>
      </c>
      <c r="M43" s="47">
        <f t="shared" si="22"/>
        <v>0.10672669554964538</v>
      </c>
      <c r="N43" s="48">
        <f t="shared" si="23"/>
        <v>1.1484702564421476E-3</v>
      </c>
      <c r="O43" s="49">
        <f t="shared" si="24"/>
        <v>1.4668581251694455E-2</v>
      </c>
      <c r="P43" s="69">
        <f t="shared" si="25"/>
        <v>100.00000000137125</v>
      </c>
      <c r="Q43" s="69">
        <f t="shared" si="26"/>
        <v>1.4668581251895598</v>
      </c>
      <c r="R43" s="52">
        <v>100</v>
      </c>
      <c r="S43" s="52">
        <v>100</v>
      </c>
      <c r="T43" s="52">
        <v>12091</v>
      </c>
      <c r="U43" s="76">
        <v>217449816.33000001</v>
      </c>
      <c r="V43" s="76">
        <v>240657516.68000001</v>
      </c>
    </row>
    <row r="44" spans="1:22" ht="14.25">
      <c r="A44" s="43">
        <v>37</v>
      </c>
      <c r="B44" s="44" t="s">
        <v>82</v>
      </c>
      <c r="C44" s="44" t="s">
        <v>37</v>
      </c>
      <c r="D44" s="52">
        <v>3527692835.6300001</v>
      </c>
      <c r="E44" s="52">
        <v>56761106.159999996</v>
      </c>
      <c r="F44" s="52"/>
      <c r="G44" s="52">
        <v>4096140.27</v>
      </c>
      <c r="H44" s="45">
        <f t="shared" si="13"/>
        <v>52664965.889999993</v>
      </c>
      <c r="I44" s="30">
        <v>3261381810.5900002</v>
      </c>
      <c r="J44" s="47">
        <f t="shared" si="14"/>
        <v>3.4790008946261335E-3</v>
      </c>
      <c r="K44" s="51">
        <v>3513513281.3299999</v>
      </c>
      <c r="L44" s="47">
        <f t="shared" si="21"/>
        <v>3.4800596787835834E-3</v>
      </c>
      <c r="M44" s="47">
        <f t="shared" si="22"/>
        <v>7.7308173462336177E-2</v>
      </c>
      <c r="N44" s="48">
        <f t="shared" si="23"/>
        <v>1.1658246154258034E-3</v>
      </c>
      <c r="O44" s="49">
        <f t="shared" si="24"/>
        <v>1.4989260513073763E-2</v>
      </c>
      <c r="P44" s="69">
        <f t="shared" si="25"/>
        <v>0.98411428484700236</v>
      </c>
      <c r="Q44" s="69">
        <f t="shared" si="26"/>
        <v>1.4751145390208997E-2</v>
      </c>
      <c r="R44" s="52">
        <v>1</v>
      </c>
      <c r="S44" s="52">
        <v>1</v>
      </c>
      <c r="T44" s="52">
        <v>918</v>
      </c>
      <c r="U44" s="52">
        <v>3321239896</v>
      </c>
      <c r="V44" s="52">
        <v>3570228921</v>
      </c>
    </row>
    <row r="45" spans="1:22" ht="14.25">
      <c r="A45" s="43">
        <v>38</v>
      </c>
      <c r="B45" s="44" t="s">
        <v>83</v>
      </c>
      <c r="C45" s="44" t="s">
        <v>39</v>
      </c>
      <c r="D45" s="52">
        <v>4564189236.4099998</v>
      </c>
      <c r="E45" s="52">
        <v>72868797.120000005</v>
      </c>
      <c r="F45" s="52"/>
      <c r="G45" s="52">
        <v>6882243.0199999996</v>
      </c>
      <c r="H45" s="45">
        <f t="shared" si="13"/>
        <v>65986554.100000009</v>
      </c>
      <c r="I45" s="108">
        <v>4524618592.3299999</v>
      </c>
      <c r="J45" s="47">
        <f t="shared" si="14"/>
        <v>4.8265284608644005E-3</v>
      </c>
      <c r="K45" s="55">
        <v>4559230310.54</v>
      </c>
      <c r="L45" s="47">
        <f t="shared" si="21"/>
        <v>4.5158200068030393E-3</v>
      </c>
      <c r="M45" s="47">
        <f t="shared" si="22"/>
        <v>7.6496432801369824E-3</v>
      </c>
      <c r="N45" s="48">
        <f t="shared" si="23"/>
        <v>1.509518614159428E-3</v>
      </c>
      <c r="O45" s="49">
        <f t="shared" si="24"/>
        <v>1.4473178498452406E-2</v>
      </c>
      <c r="P45" s="69">
        <f t="shared" si="25"/>
        <v>10.267751018235579</v>
      </c>
      <c r="Q45" s="69">
        <f t="shared" si="26"/>
        <v>0.14860699326458995</v>
      </c>
      <c r="R45" s="52">
        <v>10</v>
      </c>
      <c r="S45" s="52">
        <v>10</v>
      </c>
      <c r="T45" s="52">
        <v>2072</v>
      </c>
      <c r="U45" s="52">
        <v>446901637.18000001</v>
      </c>
      <c r="V45" s="52">
        <v>444033976.13</v>
      </c>
    </row>
    <row r="46" spans="1:22" ht="14.1" customHeight="1">
      <c r="A46" s="43">
        <v>39</v>
      </c>
      <c r="B46" s="44" t="s">
        <v>84</v>
      </c>
      <c r="C46" s="44" t="s">
        <v>85</v>
      </c>
      <c r="D46" s="52">
        <v>2936167499</v>
      </c>
      <c r="E46" s="52">
        <v>76692585</v>
      </c>
      <c r="F46" s="52"/>
      <c r="G46" s="52">
        <v>1243841</v>
      </c>
      <c r="H46" s="45">
        <f t="shared" si="13"/>
        <v>75448744</v>
      </c>
      <c r="I46" s="110">
        <v>4259722498</v>
      </c>
      <c r="J46" s="47">
        <f t="shared" si="14"/>
        <v>4.5439568998884346E-3</v>
      </c>
      <c r="K46" s="70">
        <v>4930200617</v>
      </c>
      <c r="L46" s="47">
        <f t="shared" si="21"/>
        <v>4.8832581526604933E-3</v>
      </c>
      <c r="M46" s="47">
        <f t="shared" si="22"/>
        <v>0.15739948302144072</v>
      </c>
      <c r="N46" s="48">
        <f t="shared" si="23"/>
        <v>2.5229013921077931E-4</v>
      </c>
      <c r="O46" s="49">
        <f t="shared" si="24"/>
        <v>1.5303382126042195E-2</v>
      </c>
      <c r="P46" s="69">
        <f t="shared" si="25"/>
        <v>100.00000034481356</v>
      </c>
      <c r="Q46" s="69">
        <f t="shared" si="26"/>
        <v>1.530338217881033</v>
      </c>
      <c r="R46" s="52">
        <v>100</v>
      </c>
      <c r="S46" s="52">
        <v>100</v>
      </c>
      <c r="T46" s="52">
        <v>2279</v>
      </c>
      <c r="U46" s="76">
        <v>42597225</v>
      </c>
      <c r="V46" s="76">
        <v>49302006</v>
      </c>
    </row>
    <row r="47" spans="1:22" ht="14.25">
      <c r="A47" s="43">
        <v>40</v>
      </c>
      <c r="B47" s="44" t="s">
        <v>86</v>
      </c>
      <c r="C47" s="53" t="s">
        <v>87</v>
      </c>
      <c r="D47" s="52">
        <v>167025901.58000001</v>
      </c>
      <c r="E47" s="52">
        <v>2213168.67</v>
      </c>
      <c r="F47" s="52"/>
      <c r="G47" s="52">
        <v>1988278.57</v>
      </c>
      <c r="H47" s="45">
        <f t="shared" si="13"/>
        <v>224890.09999999986</v>
      </c>
      <c r="I47" s="104">
        <v>155751683.41999999</v>
      </c>
      <c r="J47" s="47">
        <f t="shared" si="14"/>
        <v>1.6614437604276731E-4</v>
      </c>
      <c r="K47" s="55">
        <v>156435683.66</v>
      </c>
      <c r="L47" s="47">
        <f t="shared" si="21"/>
        <v>1.5494619528577146E-4</v>
      </c>
      <c r="M47" s="47">
        <f t="shared" si="22"/>
        <v>4.3916073648817937E-3</v>
      </c>
      <c r="N47" s="48">
        <f t="shared" si="23"/>
        <v>1.2709878740462815E-2</v>
      </c>
      <c r="O47" s="49">
        <f t="shared" si="24"/>
        <v>1.4375882454592641E-3</v>
      </c>
      <c r="P47" s="69">
        <f t="shared" si="25"/>
        <v>1.0003639346905728</v>
      </c>
      <c r="Q47" s="69">
        <f t="shared" si="26"/>
        <v>1.4381114336925467E-3</v>
      </c>
      <c r="R47" s="52">
        <v>1</v>
      </c>
      <c r="S47" s="52">
        <v>1</v>
      </c>
      <c r="T47" s="52">
        <v>72</v>
      </c>
      <c r="U47" s="52">
        <v>155694772</v>
      </c>
      <c r="V47" s="76">
        <v>156378772</v>
      </c>
    </row>
    <row r="48" spans="1:22" ht="15" customHeight="1">
      <c r="A48" s="43">
        <v>41</v>
      </c>
      <c r="B48" s="53" t="s">
        <v>88</v>
      </c>
      <c r="C48" s="53" t="s">
        <v>41</v>
      </c>
      <c r="D48" s="52">
        <v>858192899.71000004</v>
      </c>
      <c r="E48" s="52">
        <v>24213269.550000001</v>
      </c>
      <c r="F48" s="52"/>
      <c r="G48" s="52">
        <v>1021445.66</v>
      </c>
      <c r="H48" s="45">
        <f t="shared" si="13"/>
        <v>23191823.890000001</v>
      </c>
      <c r="I48" s="30">
        <v>721503676.52999997</v>
      </c>
      <c r="J48" s="47">
        <f t="shared" si="14"/>
        <v>7.696467576943475E-4</v>
      </c>
      <c r="K48" s="51">
        <v>893982137.99000001</v>
      </c>
      <c r="L48" s="47">
        <f t="shared" si="21"/>
        <v>8.8547016699878965E-4</v>
      </c>
      <c r="M48" s="47">
        <f t="shared" si="22"/>
        <v>0.23905416849643513</v>
      </c>
      <c r="N48" s="48">
        <f t="shared" si="23"/>
        <v>1.1425794952643962E-3</v>
      </c>
      <c r="O48" s="49">
        <f t="shared" si="24"/>
        <v>2.5942155781930647E-2</v>
      </c>
      <c r="P48" s="69">
        <f t="shared" si="25"/>
        <v>11.749549469243847</v>
      </c>
      <c r="Q48" s="69">
        <f t="shared" si="26"/>
        <v>0.30480864269862445</v>
      </c>
      <c r="R48" s="52">
        <v>10</v>
      </c>
      <c r="S48" s="52">
        <v>10</v>
      </c>
      <c r="T48" s="52">
        <v>674</v>
      </c>
      <c r="U48" s="52">
        <v>68247336.599999994</v>
      </c>
      <c r="V48" s="52">
        <v>76086503.599999994</v>
      </c>
    </row>
    <row r="49" spans="1:26" ht="15" customHeight="1">
      <c r="A49" s="43">
        <v>42</v>
      </c>
      <c r="B49" s="52" t="s">
        <v>217</v>
      </c>
      <c r="C49" s="52" t="s">
        <v>218</v>
      </c>
      <c r="D49" s="52">
        <v>297141956.32999998</v>
      </c>
      <c r="E49" s="52">
        <v>9402393.0099999998</v>
      </c>
      <c r="F49" s="52"/>
      <c r="G49" s="52">
        <v>9402393.0099999998</v>
      </c>
      <c r="H49" s="45">
        <f t="shared" si="13"/>
        <v>0</v>
      </c>
      <c r="I49" s="30">
        <v>591213185.99000001</v>
      </c>
      <c r="J49" s="47">
        <f t="shared" si="14"/>
        <v>6.3066249903499815E-4</v>
      </c>
      <c r="K49" s="51">
        <v>595784952.99000001</v>
      </c>
      <c r="L49" s="47">
        <f t="shared" si="21"/>
        <v>5.9011223983238296E-4</v>
      </c>
      <c r="M49" s="47">
        <f t="shared" si="22"/>
        <v>7.7328569597859553E-3</v>
      </c>
      <c r="N49" s="48">
        <f t="shared" si="23"/>
        <v>1.5781521441273819E-2</v>
      </c>
      <c r="O49" s="49">
        <f t="shared" si="24"/>
        <v>0</v>
      </c>
      <c r="P49" s="69">
        <f t="shared" si="25"/>
        <v>1.0000000402662081</v>
      </c>
      <c r="Q49" s="69">
        <f t="shared" si="26"/>
        <v>0</v>
      </c>
      <c r="R49" s="52">
        <v>1</v>
      </c>
      <c r="S49" s="52">
        <v>1</v>
      </c>
      <c r="T49" s="52">
        <v>45</v>
      </c>
      <c r="U49" s="52">
        <v>591208162</v>
      </c>
      <c r="V49" s="52">
        <v>595784929</v>
      </c>
    </row>
    <row r="50" spans="1:26" ht="15" customHeight="1">
      <c r="A50" s="43">
        <v>43</v>
      </c>
      <c r="B50" s="77" t="s">
        <v>219</v>
      </c>
      <c r="C50" s="78" t="s">
        <v>113</v>
      </c>
      <c r="D50" s="52">
        <v>50000000</v>
      </c>
      <c r="E50" s="52">
        <v>519172.18</v>
      </c>
      <c r="F50" s="52"/>
      <c r="G50" s="52">
        <v>479490.42</v>
      </c>
      <c r="H50" s="45">
        <f t="shared" si="13"/>
        <v>39681.760000000009</v>
      </c>
      <c r="I50" s="52">
        <v>0</v>
      </c>
      <c r="J50" s="47">
        <f t="shared" si="14"/>
        <v>0</v>
      </c>
      <c r="K50" s="51">
        <v>50623710.979999997</v>
      </c>
      <c r="L50" s="47">
        <f t="shared" si="21"/>
        <v>5.014170184243712E-5</v>
      </c>
      <c r="M50" s="47" t="e">
        <f t="shared" si="22"/>
        <v>#DIV/0!</v>
      </c>
      <c r="N50" s="48">
        <f t="shared" si="23"/>
        <v>9.4716568722003243E-3</v>
      </c>
      <c r="O50" s="49">
        <f t="shared" si="24"/>
        <v>7.8385719323652812E-4</v>
      </c>
      <c r="P50" s="69">
        <f t="shared" si="25"/>
        <v>1012.4742196</v>
      </c>
      <c r="Q50" s="69">
        <f t="shared" si="26"/>
        <v>0.79363520000000021</v>
      </c>
      <c r="R50" s="52">
        <v>1000</v>
      </c>
      <c r="S50" s="52">
        <v>1000</v>
      </c>
      <c r="T50" s="52">
        <v>1</v>
      </c>
      <c r="U50" s="52">
        <v>50000</v>
      </c>
      <c r="V50" s="52">
        <v>50000</v>
      </c>
    </row>
    <row r="51" spans="1:26" ht="14.25">
      <c r="A51" s="43">
        <v>44</v>
      </c>
      <c r="B51" s="44" t="s">
        <v>89</v>
      </c>
      <c r="C51" s="44" t="s">
        <v>45</v>
      </c>
      <c r="D51" s="76">
        <v>459298565509.35999</v>
      </c>
      <c r="E51" s="76">
        <v>7421028194.9899998</v>
      </c>
      <c r="F51" s="76"/>
      <c r="G51" s="76">
        <v>736623970</v>
      </c>
      <c r="H51" s="45">
        <f t="shared" si="13"/>
        <v>6684404224.9899998</v>
      </c>
      <c r="I51" s="104">
        <v>426480768632.83002</v>
      </c>
      <c r="J51" s="47">
        <f t="shared" si="14"/>
        <v>0.45493814026823282</v>
      </c>
      <c r="K51" s="55">
        <v>461335416566</v>
      </c>
      <c r="L51" s="47">
        <f t="shared" si="21"/>
        <v>0.45694285264760137</v>
      </c>
      <c r="M51" s="47">
        <f t="shared" si="22"/>
        <v>8.1726189072730229E-2</v>
      </c>
      <c r="N51" s="48">
        <f t="shared" si="23"/>
        <v>1.596721048392816E-3</v>
      </c>
      <c r="O51" s="49">
        <f t="shared" si="24"/>
        <v>1.4489250087812648E-2</v>
      </c>
      <c r="P51" s="69">
        <f t="shared" si="25"/>
        <v>1</v>
      </c>
      <c r="Q51" s="69">
        <f t="shared" si="26"/>
        <v>1.4489250087812648E-2</v>
      </c>
      <c r="R51" s="52">
        <v>100</v>
      </c>
      <c r="S51" s="52">
        <v>100</v>
      </c>
      <c r="T51" s="76">
        <v>122319</v>
      </c>
      <c r="U51" s="76">
        <v>426480768632.83002</v>
      </c>
      <c r="V51" s="76">
        <v>461335416566</v>
      </c>
    </row>
    <row r="52" spans="1:26" ht="14.25">
      <c r="A52" s="43">
        <v>45</v>
      </c>
      <c r="B52" s="44" t="s">
        <v>90</v>
      </c>
      <c r="C52" s="44" t="s">
        <v>91</v>
      </c>
      <c r="D52" s="98">
        <v>3264965471.98</v>
      </c>
      <c r="E52" s="98">
        <v>51427775.119999997</v>
      </c>
      <c r="F52" s="98"/>
      <c r="G52" s="98">
        <v>4577679.3499999996</v>
      </c>
      <c r="H52" s="45">
        <f t="shared" si="13"/>
        <v>46850095.769999996</v>
      </c>
      <c r="I52" s="30">
        <v>2980741094.6700001</v>
      </c>
      <c r="J52" s="47">
        <f t="shared" si="14"/>
        <v>3.1796341358541597E-3</v>
      </c>
      <c r="K52" s="51">
        <v>3280995937.3000002</v>
      </c>
      <c r="L52" s="47">
        <f t="shared" si="21"/>
        <v>3.2497562278541625E-3</v>
      </c>
      <c r="M52" s="47">
        <f t="shared" si="22"/>
        <v>0.10073160770886797</v>
      </c>
      <c r="N52" s="48">
        <f t="shared" si="23"/>
        <v>1.3952103073212175E-3</v>
      </c>
      <c r="O52" s="49">
        <f t="shared" si="24"/>
        <v>1.42792300463968E-2</v>
      </c>
      <c r="P52" s="69">
        <f t="shared" si="25"/>
        <v>1.0256923304334915</v>
      </c>
      <c r="Q52" s="69">
        <f t="shared" si="26"/>
        <v>1.4646096743084668E-2</v>
      </c>
      <c r="R52" s="52">
        <v>1</v>
      </c>
      <c r="S52" s="52">
        <v>1</v>
      </c>
      <c r="T52" s="98">
        <v>345</v>
      </c>
      <c r="U52" s="76">
        <v>2942490918.4699998</v>
      </c>
      <c r="V52" s="76">
        <v>3198811027.3899999</v>
      </c>
    </row>
    <row r="53" spans="1:26" ht="14.25">
      <c r="A53" s="43">
        <v>46</v>
      </c>
      <c r="B53" s="44" t="s">
        <v>92</v>
      </c>
      <c r="C53" s="44" t="s">
        <v>49</v>
      </c>
      <c r="D53" s="97">
        <v>14514153030</v>
      </c>
      <c r="E53" s="97">
        <v>539505183</v>
      </c>
      <c r="F53" s="97"/>
      <c r="G53" s="97">
        <v>39578143</v>
      </c>
      <c r="H53" s="45">
        <f t="shared" si="13"/>
        <v>499927040</v>
      </c>
      <c r="I53" s="111">
        <v>34436488308</v>
      </c>
      <c r="J53" s="47">
        <f t="shared" si="14"/>
        <v>3.6734298708080773E-2</v>
      </c>
      <c r="K53" s="62">
        <v>39816583984</v>
      </c>
      <c r="L53" s="47">
        <f t="shared" si="21"/>
        <v>3.9437473939807274E-2</v>
      </c>
      <c r="M53" s="47">
        <f t="shared" si="22"/>
        <v>0.15623241335993429</v>
      </c>
      <c r="N53" s="48">
        <f t="shared" si="23"/>
        <v>9.9401151580216394E-4</v>
      </c>
      <c r="O53" s="49">
        <f t="shared" si="24"/>
        <v>1.2555749137115629E-2</v>
      </c>
      <c r="P53" s="69">
        <f t="shared" si="25"/>
        <v>0.9838908474625937</v>
      </c>
      <c r="Q53" s="69">
        <f t="shared" si="26"/>
        <v>1.2353486659044425E-2</v>
      </c>
      <c r="R53" s="52">
        <v>1</v>
      </c>
      <c r="S53" s="52">
        <v>1</v>
      </c>
      <c r="T53" s="98">
        <v>6589</v>
      </c>
      <c r="U53" s="100">
        <v>35565148197.459999</v>
      </c>
      <c r="V53" s="100">
        <v>40468497178</v>
      </c>
    </row>
    <row r="54" spans="1:26" ht="14.25">
      <c r="A54" s="43">
        <v>47</v>
      </c>
      <c r="B54" s="85" t="s">
        <v>93</v>
      </c>
      <c r="C54" s="44" t="s">
        <v>94</v>
      </c>
      <c r="D54" s="82">
        <v>818609105.84000003</v>
      </c>
      <c r="E54" s="82">
        <v>17376583.739999998</v>
      </c>
      <c r="F54" s="82"/>
      <c r="G54" s="82">
        <v>1862229.74</v>
      </c>
      <c r="H54" s="45">
        <f t="shared" si="13"/>
        <v>15514353.999999998</v>
      </c>
      <c r="I54" s="104">
        <v>1304359118.05</v>
      </c>
      <c r="J54" s="47">
        <f t="shared" si="14"/>
        <v>1.3913938330908828E-3</v>
      </c>
      <c r="K54" s="55">
        <v>1326203876.77</v>
      </c>
      <c r="L54" s="47">
        <f t="shared" si="21"/>
        <v>1.3135765451402228E-3</v>
      </c>
      <c r="M54" s="47">
        <f t="shared" si="22"/>
        <v>1.6747503365988396E-2</v>
      </c>
      <c r="N54" s="48">
        <f t="shared" si="23"/>
        <v>1.4041805883839695E-3</v>
      </c>
      <c r="O54" s="49">
        <f t="shared" si="24"/>
        <v>1.1698317484778859E-2</v>
      </c>
      <c r="P54" s="69">
        <f t="shared" si="25"/>
        <v>1.0214174870940547</v>
      </c>
      <c r="Q54" s="69">
        <f t="shared" si="26"/>
        <v>1.1948866048531265E-2</v>
      </c>
      <c r="R54" s="52">
        <v>1</v>
      </c>
      <c r="S54" s="52">
        <v>1</v>
      </c>
      <c r="T54" s="98">
        <v>88</v>
      </c>
      <c r="U54" s="76">
        <v>1292032447.6300001</v>
      </c>
      <c r="V54" s="76">
        <v>1298395507.74</v>
      </c>
    </row>
    <row r="55" spans="1:26" ht="14.25">
      <c r="A55" s="43">
        <v>48</v>
      </c>
      <c r="B55" s="44" t="s">
        <v>95</v>
      </c>
      <c r="C55" s="44" t="s">
        <v>96</v>
      </c>
      <c r="D55" s="76">
        <v>1650543944.54</v>
      </c>
      <c r="E55" s="76">
        <v>21679593.280000001</v>
      </c>
      <c r="F55" s="76"/>
      <c r="G55" s="76">
        <v>2895282.91</v>
      </c>
      <c r="H55" s="45">
        <f t="shared" si="13"/>
        <v>18784310.370000001</v>
      </c>
      <c r="I55" s="104">
        <v>904595640.12</v>
      </c>
      <c r="J55" s="47">
        <f t="shared" si="14"/>
        <v>9.6495572245895852E-4</v>
      </c>
      <c r="K55" s="55">
        <v>1615188024.96</v>
      </c>
      <c r="L55" s="47">
        <f t="shared" si="21"/>
        <v>1.5998091566028299E-3</v>
      </c>
      <c r="M55" s="47">
        <f t="shared" si="22"/>
        <v>0.78553593818530421</v>
      </c>
      <c r="N55" s="48">
        <f t="shared" si="23"/>
        <v>1.7925361414635932E-3</v>
      </c>
      <c r="O55" s="49">
        <f t="shared" si="24"/>
        <v>1.1629797942852623E-2</v>
      </c>
      <c r="P55" s="69">
        <f t="shared" si="25"/>
        <v>1.0185611410780002</v>
      </c>
      <c r="Q55" s="69">
        <f t="shared" si="26"/>
        <v>1.1845660263178549E-2</v>
      </c>
      <c r="R55" s="52">
        <v>1</v>
      </c>
      <c r="S55" s="52">
        <v>1</v>
      </c>
      <c r="T55" s="52">
        <v>252</v>
      </c>
      <c r="U55" s="76">
        <v>894547009.92999995</v>
      </c>
      <c r="V55" s="76">
        <v>1585754609.9300001</v>
      </c>
    </row>
    <row r="56" spans="1:26" ht="14.25">
      <c r="A56" s="43">
        <v>49</v>
      </c>
      <c r="B56" s="44" t="s">
        <v>97</v>
      </c>
      <c r="C56" s="44" t="s">
        <v>98</v>
      </c>
      <c r="D56" s="52">
        <v>28968751964.509998</v>
      </c>
      <c r="E56" s="82">
        <v>434710652.47000003</v>
      </c>
      <c r="F56" s="82"/>
      <c r="G56" s="82">
        <v>33691773.520000003</v>
      </c>
      <c r="H56" s="45">
        <f t="shared" si="13"/>
        <v>401018878.95000005</v>
      </c>
      <c r="I56" s="33">
        <v>28011746935.93</v>
      </c>
      <c r="J56" s="47">
        <f t="shared" si="14"/>
        <v>2.9880859804179632E-2</v>
      </c>
      <c r="K56" s="57">
        <v>29189903352.18</v>
      </c>
      <c r="L56" s="47">
        <f t="shared" si="21"/>
        <v>2.8911974297435545E-2</v>
      </c>
      <c r="M56" s="47">
        <f t="shared" si="22"/>
        <v>4.2059369554663759E-2</v>
      </c>
      <c r="N56" s="48">
        <f t="shared" si="23"/>
        <v>1.1542269638067776E-3</v>
      </c>
      <c r="O56" s="49">
        <f t="shared" si="24"/>
        <v>1.3738273611654511E-2</v>
      </c>
      <c r="P56" s="69">
        <f t="shared" si="25"/>
        <v>1.0244041872766223</v>
      </c>
      <c r="Q56" s="69">
        <f t="shared" si="26"/>
        <v>1.4073545013730806E-2</v>
      </c>
      <c r="R56" s="52">
        <v>1</v>
      </c>
      <c r="S56" s="52">
        <v>1</v>
      </c>
      <c r="T56" s="52">
        <v>3483</v>
      </c>
      <c r="U56" s="82">
        <v>27676314992.139999</v>
      </c>
      <c r="V56" s="76">
        <v>28494517803.349998</v>
      </c>
    </row>
    <row r="57" spans="1:26" ht="15" customHeight="1">
      <c r="A57" s="127" t="s">
        <v>50</v>
      </c>
      <c r="B57" s="127"/>
      <c r="C57" s="127"/>
      <c r="D57" s="127"/>
      <c r="E57" s="127"/>
      <c r="F57" s="127"/>
      <c r="G57" s="127"/>
      <c r="H57" s="127"/>
      <c r="I57" s="66">
        <f>SUM(I25:I56)</f>
        <v>937447821766.22021</v>
      </c>
      <c r="J57" s="113">
        <f>(I57/$I$186)</f>
        <v>0.34979158434911589</v>
      </c>
      <c r="K57" s="66">
        <f>SUM(K25:K56)</f>
        <v>1009612939326.9801</v>
      </c>
      <c r="L57" s="113">
        <f>(K57/$K$186)</f>
        <v>0.34874789254573657</v>
      </c>
      <c r="M57" s="64">
        <f t="shared" si="16"/>
        <v>7.6980409880088613E-2</v>
      </c>
      <c r="N57" s="48"/>
      <c r="O57" s="48"/>
      <c r="P57" s="71"/>
      <c r="Q57" s="71"/>
      <c r="R57" s="67"/>
      <c r="S57" s="67"/>
      <c r="T57" s="67">
        <f>SUM(T25:T56)</f>
        <v>288814</v>
      </c>
      <c r="U57" s="67"/>
      <c r="V57" s="67"/>
    </row>
    <row r="58" spans="1:26" ht="6.95" customHeight="1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25"/>
      <c r="X58" s="25"/>
      <c r="Y58" s="25"/>
      <c r="Z58" s="25"/>
    </row>
    <row r="59" spans="1:26">
      <c r="A59" s="132" t="s">
        <v>99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</row>
    <row r="60" spans="1:26" ht="14.25">
      <c r="A60" s="43">
        <v>50</v>
      </c>
      <c r="B60" s="44" t="s">
        <v>100</v>
      </c>
      <c r="C60" s="44" t="s">
        <v>23</v>
      </c>
      <c r="D60" s="52">
        <v>462292392.77999997</v>
      </c>
      <c r="E60" s="52">
        <v>6567094.7999999998</v>
      </c>
      <c r="F60" s="52"/>
      <c r="G60" s="52">
        <v>667676.43999999994</v>
      </c>
      <c r="H60" s="45">
        <f t="shared" ref="H60:H74" si="27">(E60+F60)-G60</f>
        <v>5899418.3599999994</v>
      </c>
      <c r="I60" s="30">
        <v>447057420.60000002</v>
      </c>
      <c r="J60" s="47">
        <f t="shared" ref="J60:J86" si="28">(I60/$I$92)</f>
        <v>1.6795443826291313E-3</v>
      </c>
      <c r="K60" s="51">
        <v>462220211.18000001</v>
      </c>
      <c r="L60" s="47">
        <f t="shared" ref="L60:L91" si="29">(K60/$K$92)</f>
        <v>1.8747410964093636E-3</v>
      </c>
      <c r="M60" s="47">
        <f t="shared" ref="M60:M92" si="30">((K60-I60)/I60)</f>
        <v>3.3916874838247527E-2</v>
      </c>
      <c r="N60" s="48">
        <f t="shared" ref="N60" si="31">(G60/K60)</f>
        <v>1.4444985828194134E-3</v>
      </c>
      <c r="O60" s="49">
        <f t="shared" ref="O60" si="32">H60/K60</f>
        <v>1.2763220251532056E-2</v>
      </c>
      <c r="P60" s="69">
        <f t="shared" ref="P60" si="33">K60/V60</f>
        <v>1.2520223801651884</v>
      </c>
      <c r="Q60" s="69">
        <f t="shared" ref="Q60" si="34">H60/V60</f>
        <v>1.5979837397895696E-2</v>
      </c>
      <c r="R60" s="52">
        <v>1.21</v>
      </c>
      <c r="S60" s="52">
        <v>1.21</v>
      </c>
      <c r="T60" s="76">
        <v>316</v>
      </c>
      <c r="U60" s="52">
        <v>366890887.37</v>
      </c>
      <c r="V60" s="52">
        <v>369178872.92000002</v>
      </c>
    </row>
    <row r="61" spans="1:26" ht="12.95" customHeight="1">
      <c r="A61" s="43">
        <v>51</v>
      </c>
      <c r="B61" s="44" t="s">
        <v>215</v>
      </c>
      <c r="C61" s="53" t="s">
        <v>25</v>
      </c>
      <c r="D61" s="52">
        <v>1312120851.6400001</v>
      </c>
      <c r="E61" s="52">
        <v>17474399.129999999</v>
      </c>
      <c r="F61" s="52">
        <v>1600392.81</v>
      </c>
      <c r="G61" s="52">
        <v>2517663.23</v>
      </c>
      <c r="H61" s="45">
        <f t="shared" si="27"/>
        <v>16557128.709999997</v>
      </c>
      <c r="I61" s="30">
        <v>1357816676</v>
      </c>
      <c r="J61" s="47">
        <f t="shared" si="28"/>
        <v>5.1011643375816476E-3</v>
      </c>
      <c r="K61" s="51">
        <v>1417322051</v>
      </c>
      <c r="L61" s="47">
        <f t="shared" si="29"/>
        <v>5.7485844010879113E-3</v>
      </c>
      <c r="M61" s="47">
        <f t="shared" ref="M61:M91" si="35">((K61-I61)/I61)</f>
        <v>4.3824307104032061E-2</v>
      </c>
      <c r="N61" s="48">
        <f t="shared" ref="N61:N91" si="36">(G61/K61)</f>
        <v>1.7763522610994781E-3</v>
      </c>
      <c r="O61" s="49">
        <f t="shared" ref="O61:O91" si="37">H61/K61</f>
        <v>1.1681980604420862E-2</v>
      </c>
      <c r="P61" s="69">
        <f t="shared" ref="P61:P91" si="38">K61/V61</f>
        <v>1.1418239234297394</v>
      </c>
      <c r="Q61" s="69">
        <f t="shared" ref="Q61:Q91" si="39">H61/V61</f>
        <v>1.3338764927169948E-2</v>
      </c>
      <c r="R61" s="52">
        <v>1.1417999999999999</v>
      </c>
      <c r="S61" s="52">
        <v>1.1417999999999999</v>
      </c>
      <c r="T61" s="52">
        <v>660</v>
      </c>
      <c r="U61" s="76">
        <v>1207447140</v>
      </c>
      <c r="V61" s="76">
        <v>1241278994</v>
      </c>
    </row>
    <row r="62" spans="1:26" ht="15" customHeight="1">
      <c r="A62" s="43">
        <v>52</v>
      </c>
      <c r="B62" s="44" t="s">
        <v>101</v>
      </c>
      <c r="C62" s="44" t="s">
        <v>102</v>
      </c>
      <c r="D62" s="52">
        <v>797560751.13999999</v>
      </c>
      <c r="E62" s="52">
        <v>10384270.25</v>
      </c>
      <c r="F62" s="52"/>
      <c r="G62" s="52">
        <v>1766246.69</v>
      </c>
      <c r="H62" s="45">
        <f t="shared" si="27"/>
        <v>8618023.5600000005</v>
      </c>
      <c r="I62" s="30">
        <v>852418887</v>
      </c>
      <c r="J62" s="47">
        <f t="shared" si="28"/>
        <v>3.202441761030073E-3</v>
      </c>
      <c r="K62" s="51">
        <v>862179327</v>
      </c>
      <c r="L62" s="47">
        <f t="shared" si="29"/>
        <v>3.4969544336346976E-3</v>
      </c>
      <c r="M62" s="47">
        <f t="shared" si="35"/>
        <v>1.1450285943746341E-2</v>
      </c>
      <c r="N62" s="48">
        <f t="shared" si="36"/>
        <v>2.0485839020818923E-3</v>
      </c>
      <c r="O62" s="49">
        <f t="shared" si="37"/>
        <v>9.9956276961393684E-3</v>
      </c>
      <c r="P62" s="69">
        <f t="shared" si="38"/>
        <v>1.0458526985037353</v>
      </c>
      <c r="Q62" s="69">
        <f t="shared" si="39"/>
        <v>1.0453954199246033E-2</v>
      </c>
      <c r="R62" s="52">
        <v>1.0459000000000001</v>
      </c>
      <c r="S62" s="52">
        <v>1.0459000000000001</v>
      </c>
      <c r="T62" s="52">
        <v>167</v>
      </c>
      <c r="U62" s="52">
        <v>823262679</v>
      </c>
      <c r="V62" s="52">
        <v>824379311</v>
      </c>
    </row>
    <row r="63" spans="1:26" ht="14.25">
      <c r="A63" s="43">
        <v>53</v>
      </c>
      <c r="B63" s="44" t="s">
        <v>103</v>
      </c>
      <c r="C63" s="53" t="s">
        <v>104</v>
      </c>
      <c r="D63" s="82">
        <v>245141409.59999999</v>
      </c>
      <c r="E63" s="82">
        <v>3518289.41</v>
      </c>
      <c r="F63" s="82"/>
      <c r="G63" s="82">
        <v>415382.11</v>
      </c>
      <c r="H63" s="45">
        <f t="shared" si="27"/>
        <v>3102907.3000000003</v>
      </c>
      <c r="I63" s="33">
        <v>260354612.34</v>
      </c>
      <c r="J63" s="47">
        <f t="shared" si="28"/>
        <v>9.7812295803156174E-4</v>
      </c>
      <c r="K63" s="57">
        <v>258722255.19999999</v>
      </c>
      <c r="L63" s="47">
        <f t="shared" si="29"/>
        <v>1.049363988521622E-3</v>
      </c>
      <c r="M63" s="47">
        <f t="shared" si="35"/>
        <v>-6.2697454265503933E-3</v>
      </c>
      <c r="N63" s="48">
        <f t="shared" si="36"/>
        <v>1.6055136411782483E-3</v>
      </c>
      <c r="O63" s="49">
        <f t="shared" si="37"/>
        <v>1.1993198256568074E-2</v>
      </c>
      <c r="P63" s="69">
        <f t="shared" si="38"/>
        <v>1040.0894681407035</v>
      </c>
      <c r="Q63" s="69">
        <f t="shared" si="39"/>
        <v>12.4739991959799</v>
      </c>
      <c r="R63" s="52">
        <v>1040.0899999999999</v>
      </c>
      <c r="S63" s="52">
        <v>1040.0899999999999</v>
      </c>
      <c r="T63" s="52">
        <v>110</v>
      </c>
      <c r="U63" s="52">
        <v>249080</v>
      </c>
      <c r="V63" s="52">
        <v>248750</v>
      </c>
    </row>
    <row r="64" spans="1:26" ht="14.25">
      <c r="A64" s="43">
        <v>54</v>
      </c>
      <c r="B64" s="44" t="s">
        <v>105</v>
      </c>
      <c r="C64" s="53" t="s">
        <v>106</v>
      </c>
      <c r="D64" s="52">
        <v>1440532791.6500001</v>
      </c>
      <c r="E64" s="52">
        <v>13059624.77</v>
      </c>
      <c r="F64" s="52"/>
      <c r="G64" s="52">
        <v>2069403.69</v>
      </c>
      <c r="H64" s="45">
        <f t="shared" si="27"/>
        <v>10990221.08</v>
      </c>
      <c r="I64" s="30">
        <v>1753863941.3699999</v>
      </c>
      <c r="J64" s="47">
        <f t="shared" si="28"/>
        <v>6.589069311656497E-3</v>
      </c>
      <c r="K64" s="51">
        <v>1455273416.4400001</v>
      </c>
      <c r="L64" s="47">
        <f t="shared" si="29"/>
        <v>5.9025131621725513E-3</v>
      </c>
      <c r="M64" s="47">
        <f t="shared" si="35"/>
        <v>-0.17024725686347203</v>
      </c>
      <c r="N64" s="48">
        <f t="shared" si="36"/>
        <v>1.4220033614455296E-3</v>
      </c>
      <c r="O64" s="49">
        <f t="shared" si="37"/>
        <v>7.5519974156369254E-3</v>
      </c>
      <c r="P64" s="69">
        <f t="shared" si="38"/>
        <v>1.0367218173690966</v>
      </c>
      <c r="Q64" s="69">
        <f t="shared" si="39"/>
        <v>7.8293204855058359E-3</v>
      </c>
      <c r="R64" s="45">
        <v>1.0367</v>
      </c>
      <c r="S64" s="76">
        <v>1.0367</v>
      </c>
      <c r="T64" s="52">
        <v>777</v>
      </c>
      <c r="U64" s="52">
        <v>1413617114.8399999</v>
      </c>
      <c r="V64" s="52">
        <v>1403726044.98</v>
      </c>
    </row>
    <row r="65" spans="1:22" ht="14.25">
      <c r="A65" s="43">
        <v>55</v>
      </c>
      <c r="B65" s="44" t="s">
        <v>107</v>
      </c>
      <c r="C65" s="44" t="s">
        <v>108</v>
      </c>
      <c r="D65" s="52">
        <v>427799626.88999999</v>
      </c>
      <c r="E65" s="52">
        <v>5201916.8600000003</v>
      </c>
      <c r="F65" s="52"/>
      <c r="G65" s="52">
        <v>999940.3</v>
      </c>
      <c r="H65" s="45">
        <f t="shared" si="27"/>
        <v>4201976.5600000005</v>
      </c>
      <c r="I65" s="30">
        <v>408600082.38</v>
      </c>
      <c r="J65" s="47">
        <f t="shared" si="28"/>
        <v>1.5350644939124162E-3</v>
      </c>
      <c r="K65" s="51">
        <v>412777578.62</v>
      </c>
      <c r="L65" s="47">
        <f t="shared" si="29"/>
        <v>1.6742043545428271E-3</v>
      </c>
      <c r="M65" s="47">
        <f t="shared" si="35"/>
        <v>1.0223924125680715E-2</v>
      </c>
      <c r="N65" s="48">
        <f t="shared" si="36"/>
        <v>2.4224675752568862E-3</v>
      </c>
      <c r="O65" s="49">
        <f t="shared" si="37"/>
        <v>1.0179759700243577E-2</v>
      </c>
      <c r="P65" s="69">
        <f t="shared" si="38"/>
        <v>2.3483804740454035</v>
      </c>
      <c r="Q65" s="69">
        <f t="shared" si="39"/>
        <v>2.3905948910526303E-2</v>
      </c>
      <c r="R65" s="52">
        <v>2.3391000000000002</v>
      </c>
      <c r="S65" s="52">
        <v>2.3391000000000002</v>
      </c>
      <c r="T65" s="52">
        <v>1393</v>
      </c>
      <c r="U65" s="52">
        <v>175781645.16</v>
      </c>
      <c r="V65" s="52">
        <v>175771167.91</v>
      </c>
    </row>
    <row r="66" spans="1:22" ht="14.25">
      <c r="A66" s="43">
        <v>56</v>
      </c>
      <c r="B66" s="77" t="s">
        <v>248</v>
      </c>
      <c r="C66" s="78" t="s">
        <v>225</v>
      </c>
      <c r="D66" s="52">
        <f>97799853.28+37858009.48</f>
        <v>135657862.75999999</v>
      </c>
      <c r="E66" s="52">
        <v>4381942.24</v>
      </c>
      <c r="F66" s="52"/>
      <c r="G66" s="52">
        <v>340789.55</v>
      </c>
      <c r="H66" s="45">
        <f t="shared" si="27"/>
        <v>4041152.6900000004</v>
      </c>
      <c r="I66" s="26">
        <v>131537984.91</v>
      </c>
      <c r="J66" s="47">
        <f t="shared" si="28"/>
        <v>4.9417339580549156E-4</v>
      </c>
      <c r="K66" s="51">
        <v>132448917.44</v>
      </c>
      <c r="L66" s="47">
        <f t="shared" si="29"/>
        <v>5.3720590898826326E-4</v>
      </c>
      <c r="M66" s="47">
        <f t="shared" si="35"/>
        <v>6.9252431578853291E-3</v>
      </c>
      <c r="N66" s="48">
        <f t="shared" si="36"/>
        <v>2.5729885648508931E-3</v>
      </c>
      <c r="O66" s="49">
        <f t="shared" si="37"/>
        <v>3.0511028463714413E-2</v>
      </c>
      <c r="P66" s="69">
        <f t="shared" si="38"/>
        <v>10.69544911211171</v>
      </c>
      <c r="Q66" s="69">
        <f t="shared" si="39"/>
        <v>0.32632915229184944</v>
      </c>
      <c r="R66" s="52">
        <v>10.69</v>
      </c>
      <c r="S66" s="52">
        <v>10.71</v>
      </c>
      <c r="T66" s="52">
        <v>29</v>
      </c>
      <c r="U66" s="52">
        <v>12383670.48</v>
      </c>
      <c r="V66" s="52">
        <v>12383670.48</v>
      </c>
    </row>
    <row r="67" spans="1:22" ht="14.25">
      <c r="A67" s="43">
        <v>57</v>
      </c>
      <c r="B67" s="53" t="s">
        <v>109</v>
      </c>
      <c r="C67" s="44" t="s">
        <v>61</v>
      </c>
      <c r="D67" s="52">
        <v>2704397673.98</v>
      </c>
      <c r="E67" s="52">
        <v>27553060.460000001</v>
      </c>
      <c r="F67" s="52"/>
      <c r="G67" s="52">
        <v>4787472.3</v>
      </c>
      <c r="H67" s="45">
        <f t="shared" si="27"/>
        <v>22765588.16</v>
      </c>
      <c r="I67" s="30">
        <v>2645332634.9099998</v>
      </c>
      <c r="J67" s="47">
        <f t="shared" si="28"/>
        <v>9.9382167981591236E-3</v>
      </c>
      <c r="K67" s="51">
        <v>2667377587.2199998</v>
      </c>
      <c r="L67" s="47">
        <f t="shared" si="29"/>
        <v>1.0818744532257616E-2</v>
      </c>
      <c r="M67" s="47">
        <f t="shared" si="35"/>
        <v>8.3335275190259631E-3</v>
      </c>
      <c r="N67" s="48">
        <f t="shared" si="36"/>
        <v>1.7948236211243005E-3</v>
      </c>
      <c r="O67" s="49">
        <f t="shared" si="37"/>
        <v>8.5348202178330522E-3</v>
      </c>
      <c r="P67" s="69">
        <f t="shared" si="38"/>
        <v>4149.7816278006021</v>
      </c>
      <c r="Q67" s="69">
        <f t="shared" si="39"/>
        <v>35.417640136544733</v>
      </c>
      <c r="R67" s="52">
        <v>4149.78</v>
      </c>
      <c r="S67" s="52">
        <v>4149.78</v>
      </c>
      <c r="T67" s="52">
        <v>1038</v>
      </c>
      <c r="U67" s="52">
        <v>642941.85</v>
      </c>
      <c r="V67" s="52">
        <v>642775.41</v>
      </c>
    </row>
    <row r="68" spans="1:22" ht="14.25">
      <c r="A68" s="43">
        <v>58</v>
      </c>
      <c r="B68" s="44" t="s">
        <v>110</v>
      </c>
      <c r="C68" s="44" t="s">
        <v>63</v>
      </c>
      <c r="D68" s="52">
        <v>326212788.81999999</v>
      </c>
      <c r="E68" s="52">
        <v>3612323.98</v>
      </c>
      <c r="F68" s="52"/>
      <c r="G68" s="52">
        <v>692462.98</v>
      </c>
      <c r="H68" s="45">
        <f t="shared" si="27"/>
        <v>2919861</v>
      </c>
      <c r="I68" s="32">
        <v>59227588.950000003</v>
      </c>
      <c r="J68" s="47">
        <f t="shared" si="28"/>
        <v>2.2251138161208213E-4</v>
      </c>
      <c r="K68" s="55">
        <v>336234528.82999998</v>
      </c>
      <c r="L68" s="47">
        <f t="shared" si="29"/>
        <v>1.3637497322330741E-3</v>
      </c>
      <c r="M68" s="47">
        <f t="shared" si="35"/>
        <v>4.676991665385021</v>
      </c>
      <c r="N68" s="48">
        <f t="shared" si="36"/>
        <v>2.0594642150809825E-3</v>
      </c>
      <c r="O68" s="49">
        <f t="shared" si="37"/>
        <v>8.684001045818469E-3</v>
      </c>
      <c r="P68" s="69">
        <f t="shared" si="38"/>
        <v>108.10718322253645</v>
      </c>
      <c r="Q68" s="69">
        <f t="shared" si="39"/>
        <v>0.93880289216499535</v>
      </c>
      <c r="R68" s="52">
        <v>107.51</v>
      </c>
      <c r="S68" s="52">
        <v>107.51</v>
      </c>
      <c r="T68" s="52">
        <v>128</v>
      </c>
      <c r="U68" s="52">
        <v>3009009</v>
      </c>
      <c r="V68" s="52">
        <v>3110196</v>
      </c>
    </row>
    <row r="69" spans="1:22" ht="14.25">
      <c r="A69" s="43">
        <v>59</v>
      </c>
      <c r="B69" s="53" t="s">
        <v>111</v>
      </c>
      <c r="C69" s="53" t="s">
        <v>67</v>
      </c>
      <c r="D69" s="82">
        <v>301897208.79000002</v>
      </c>
      <c r="E69" s="76">
        <v>4664126.43</v>
      </c>
      <c r="F69" s="76">
        <v>1303353.42</v>
      </c>
      <c r="G69" s="76">
        <v>722659.62</v>
      </c>
      <c r="H69" s="45">
        <f t="shared" si="27"/>
        <v>5244820.2299999995</v>
      </c>
      <c r="I69" s="33">
        <v>316463754.51999998</v>
      </c>
      <c r="J69" s="47">
        <f t="shared" si="28"/>
        <v>1.1889186863209631E-3</v>
      </c>
      <c r="K69" s="57">
        <v>322078829.79000002</v>
      </c>
      <c r="L69" s="47">
        <f t="shared" si="29"/>
        <v>1.3063349543917047E-3</v>
      </c>
      <c r="M69" s="47">
        <f t="shared" si="35"/>
        <v>1.7743186035686045E-2</v>
      </c>
      <c r="N69" s="48">
        <f t="shared" si="36"/>
        <v>2.2437352385786557E-3</v>
      </c>
      <c r="O69" s="49">
        <f t="shared" si="37"/>
        <v>1.628427498143761E-2</v>
      </c>
      <c r="P69" s="69">
        <f t="shared" si="38"/>
        <v>1.3542120978391277</v>
      </c>
      <c r="Q69" s="69">
        <f t="shared" si="39"/>
        <v>2.2052362184401843E-2</v>
      </c>
      <c r="R69" s="76">
        <v>1.3542000000000001</v>
      </c>
      <c r="S69" s="98">
        <v>1.3542000000000001</v>
      </c>
      <c r="T69" s="98">
        <v>330</v>
      </c>
      <c r="U69" s="99">
        <v>237545030.58000001</v>
      </c>
      <c r="V69" s="99">
        <v>237834848.99000001</v>
      </c>
    </row>
    <row r="70" spans="1:22" ht="14.25">
      <c r="A70" s="43">
        <v>60</v>
      </c>
      <c r="B70" s="44" t="s">
        <v>234</v>
      </c>
      <c r="C70" s="44" t="s">
        <v>47</v>
      </c>
      <c r="D70" s="52">
        <f>91228415.77+9177389.86</f>
        <v>100405805.63</v>
      </c>
      <c r="E70" s="52">
        <v>2144474.77</v>
      </c>
      <c r="F70" s="52"/>
      <c r="G70" s="52">
        <v>1836615.45</v>
      </c>
      <c r="H70" s="45">
        <f>(E70+F70)-G70</f>
        <v>307859.32000000007</v>
      </c>
      <c r="I70" s="30">
        <v>98498534.269999996</v>
      </c>
      <c r="J70" s="47">
        <f t="shared" si="28"/>
        <v>3.7004790057696107E-4</v>
      </c>
      <c r="K70" s="51">
        <v>100162247.39</v>
      </c>
      <c r="L70" s="47">
        <f t="shared" si="29"/>
        <v>4.0625285729366131E-4</v>
      </c>
      <c r="M70" s="47">
        <f t="shared" si="35"/>
        <v>1.6890739870702085E-2</v>
      </c>
      <c r="N70" s="48">
        <f t="shared" si="36"/>
        <v>1.8336404162825962E-2</v>
      </c>
      <c r="O70" s="49">
        <f t="shared" si="37"/>
        <v>3.0736063539119046E-3</v>
      </c>
      <c r="P70" s="69">
        <f t="shared" si="38"/>
        <v>118.33977532606066</v>
      </c>
      <c r="Q70" s="69">
        <f t="shared" si="39"/>
        <v>0.36372988536268724</v>
      </c>
      <c r="R70" s="52">
        <v>118.2371</v>
      </c>
      <c r="S70" s="52">
        <v>118.2371</v>
      </c>
      <c r="T70" s="52">
        <v>117</v>
      </c>
      <c r="U70" s="52">
        <v>843711.68</v>
      </c>
      <c r="V70" s="52">
        <v>846395.45</v>
      </c>
    </row>
    <row r="71" spans="1:22" ht="14.25">
      <c r="A71" s="43">
        <v>61</v>
      </c>
      <c r="B71" s="44" t="s">
        <v>112</v>
      </c>
      <c r="C71" s="44" t="s">
        <v>113</v>
      </c>
      <c r="D71" s="52">
        <v>1218048840.1700001</v>
      </c>
      <c r="E71" s="52">
        <v>18673836.510000002</v>
      </c>
      <c r="F71" s="52"/>
      <c r="G71" s="52">
        <v>18412514.800000001</v>
      </c>
      <c r="H71" s="45">
        <f t="shared" si="27"/>
        <v>261321.71000000089</v>
      </c>
      <c r="I71" s="29">
        <v>1317261272.77</v>
      </c>
      <c r="J71" s="47">
        <f t="shared" si="28"/>
        <v>4.948802254901556E-3</v>
      </c>
      <c r="K71" s="45">
        <v>1618270754.3900001</v>
      </c>
      <c r="L71" s="47">
        <f t="shared" si="29"/>
        <v>6.5636218732782001E-3</v>
      </c>
      <c r="M71" s="47">
        <f t="shared" si="35"/>
        <v>0.22851160042610452</v>
      </c>
      <c r="N71" s="48">
        <f t="shared" si="36"/>
        <v>1.137789504633328E-2</v>
      </c>
      <c r="O71" s="49">
        <f t="shared" si="37"/>
        <v>1.6148206923414675E-4</v>
      </c>
      <c r="P71" s="69">
        <f t="shared" si="38"/>
        <v>1045.5426221928228</v>
      </c>
      <c r="Q71" s="69">
        <f t="shared" si="39"/>
        <v>0.16883638610419274</v>
      </c>
      <c r="R71" s="52">
        <v>1000</v>
      </c>
      <c r="S71" s="52">
        <v>1000</v>
      </c>
      <c r="T71" s="52">
        <v>319</v>
      </c>
      <c r="U71" s="52">
        <v>1241820.76</v>
      </c>
      <c r="V71" s="52">
        <v>1547780.76</v>
      </c>
    </row>
    <row r="72" spans="1:22" ht="14.25">
      <c r="A72" s="43">
        <v>62</v>
      </c>
      <c r="B72" s="44" t="s">
        <v>114</v>
      </c>
      <c r="C72" s="44" t="s">
        <v>69</v>
      </c>
      <c r="D72" s="52">
        <v>196230980.84</v>
      </c>
      <c r="E72" s="76">
        <v>2692836.8</v>
      </c>
      <c r="F72" s="76"/>
      <c r="G72" s="52">
        <v>655292.77</v>
      </c>
      <c r="H72" s="45">
        <f t="shared" si="27"/>
        <v>2037544.0299999998</v>
      </c>
      <c r="I72" s="30">
        <v>215738062.00999999</v>
      </c>
      <c r="J72" s="47">
        <f t="shared" si="28"/>
        <v>8.1050360305369386E-4</v>
      </c>
      <c r="K72" s="51">
        <v>218282541.19999999</v>
      </c>
      <c r="L72" s="47">
        <f t="shared" si="29"/>
        <v>8.8534261531231142E-4</v>
      </c>
      <c r="M72" s="47">
        <f t="shared" si="35"/>
        <v>1.179429891180748E-2</v>
      </c>
      <c r="N72" s="48">
        <f t="shared" si="36"/>
        <v>3.0020393128903158E-3</v>
      </c>
      <c r="O72" s="49">
        <f t="shared" si="37"/>
        <v>9.33443425570675E-3</v>
      </c>
      <c r="P72" s="69">
        <f t="shared" si="38"/>
        <v>1080.0986724065415</v>
      </c>
      <c r="Q72" s="69">
        <f t="shared" si="39"/>
        <v>10.082110047255004</v>
      </c>
      <c r="R72" s="52">
        <v>1070.57</v>
      </c>
      <c r="S72" s="76">
        <v>1080.0999999999999</v>
      </c>
      <c r="T72" s="52">
        <v>281</v>
      </c>
      <c r="U72" s="52">
        <v>202754</v>
      </c>
      <c r="V72" s="52">
        <v>202095</v>
      </c>
    </row>
    <row r="73" spans="1:22" ht="14.25">
      <c r="A73" s="43">
        <v>63</v>
      </c>
      <c r="B73" s="44" t="s">
        <v>115</v>
      </c>
      <c r="C73" s="53" t="s">
        <v>72</v>
      </c>
      <c r="D73" s="82">
        <v>908035684</v>
      </c>
      <c r="E73" s="82">
        <v>11563968.300000001</v>
      </c>
      <c r="F73" s="82"/>
      <c r="G73" s="76">
        <v>1545007</v>
      </c>
      <c r="H73" s="45">
        <f t="shared" si="27"/>
        <v>10018961.300000001</v>
      </c>
      <c r="I73" s="33">
        <v>882377778.21000004</v>
      </c>
      <c r="J73" s="47">
        <f t="shared" si="28"/>
        <v>3.3149939414055191E-3</v>
      </c>
      <c r="K73" s="57">
        <v>893629304</v>
      </c>
      <c r="L73" s="47">
        <f t="shared" si="29"/>
        <v>3.6245139019074266E-3</v>
      </c>
      <c r="M73" s="47">
        <f t="shared" si="35"/>
        <v>1.2751370294960186E-2</v>
      </c>
      <c r="N73" s="48">
        <f t="shared" si="36"/>
        <v>1.7289126409399842E-3</v>
      </c>
      <c r="O73" s="49">
        <f t="shared" si="37"/>
        <v>1.1211540686002393E-2</v>
      </c>
      <c r="P73" s="69">
        <f t="shared" si="38"/>
        <v>1.159093381440115</v>
      </c>
      <c r="Q73" s="69">
        <f t="shared" si="39"/>
        <v>1.2995222604891941E-2</v>
      </c>
      <c r="R73" s="52">
        <v>1.1592</v>
      </c>
      <c r="S73" s="52">
        <v>1.1592</v>
      </c>
      <c r="T73" s="52">
        <v>40</v>
      </c>
      <c r="U73" s="82">
        <v>770097005</v>
      </c>
      <c r="V73" s="82">
        <v>770972657</v>
      </c>
    </row>
    <row r="74" spans="1:22" ht="14.25">
      <c r="A74" s="43">
        <v>64</v>
      </c>
      <c r="B74" s="44" t="s">
        <v>116</v>
      </c>
      <c r="C74" s="44" t="s">
        <v>29</v>
      </c>
      <c r="D74" s="76">
        <v>46779991994.980003</v>
      </c>
      <c r="E74" s="76">
        <v>516764708.87</v>
      </c>
      <c r="F74" s="76"/>
      <c r="G74" s="82">
        <v>56981496.740000002</v>
      </c>
      <c r="H74" s="45">
        <f t="shared" si="27"/>
        <v>459783212.13</v>
      </c>
      <c r="I74" s="112">
        <v>51698429160.290001</v>
      </c>
      <c r="J74" s="47">
        <f t="shared" si="28"/>
        <v>0.1942251761985743</v>
      </c>
      <c r="K74" s="72">
        <v>45587337856.790001</v>
      </c>
      <c r="L74" s="47">
        <f t="shared" si="29"/>
        <v>0.18489986739835701</v>
      </c>
      <c r="M74" s="47">
        <f t="shared" si="35"/>
        <v>-0.11820651812364892</v>
      </c>
      <c r="N74" s="48">
        <f t="shared" si="36"/>
        <v>1.2499413086810222E-3</v>
      </c>
      <c r="O74" s="49">
        <f t="shared" si="37"/>
        <v>1.0085765779400905E-2</v>
      </c>
      <c r="P74" s="69">
        <f t="shared" si="38"/>
        <v>1624.8900674612771</v>
      </c>
      <c r="Q74" s="69">
        <f t="shared" si="39"/>
        <v>16.388260637689378</v>
      </c>
      <c r="R74" s="73">
        <v>1624.89</v>
      </c>
      <c r="S74" s="73">
        <v>1624.89</v>
      </c>
      <c r="T74" s="98">
        <v>2382</v>
      </c>
      <c r="U74" s="99">
        <v>32143360.300000001</v>
      </c>
      <c r="V74" s="99">
        <v>28055644.359999999</v>
      </c>
    </row>
    <row r="75" spans="1:22" ht="15" customHeight="1">
      <c r="A75" s="43">
        <v>65</v>
      </c>
      <c r="B75" s="44" t="s">
        <v>117</v>
      </c>
      <c r="C75" s="44" t="s">
        <v>78</v>
      </c>
      <c r="D75" s="52">
        <v>22926158.75</v>
      </c>
      <c r="E75" s="52">
        <v>280557.88</v>
      </c>
      <c r="F75" s="52"/>
      <c r="G75" s="52">
        <v>247648.82</v>
      </c>
      <c r="H75" s="45">
        <f t="shared" ref="H75:H91" si="40">(E75+F75)-G75</f>
        <v>32909.06</v>
      </c>
      <c r="I75" s="30">
        <v>23907390.309999999</v>
      </c>
      <c r="J75" s="47">
        <f t="shared" si="28"/>
        <v>8.9817373000077247E-5</v>
      </c>
      <c r="K75" s="51">
        <v>23955901.109999999</v>
      </c>
      <c r="L75" s="47">
        <f t="shared" si="29"/>
        <v>9.7163886879334638E-5</v>
      </c>
      <c r="M75" s="47">
        <f t="shared" si="35"/>
        <v>2.0291131474818318E-3</v>
      </c>
      <c r="N75" s="48">
        <f t="shared" si="36"/>
        <v>1.0337695871378559E-2</v>
      </c>
      <c r="O75" s="49">
        <f t="shared" si="37"/>
        <v>1.3737350078750596E-3</v>
      </c>
      <c r="P75" s="69">
        <f t="shared" si="38"/>
        <v>0.73067411814599992</v>
      </c>
      <c r="Q75" s="69">
        <f t="shared" si="39"/>
        <v>1.0037526154453975E-3</v>
      </c>
      <c r="R75" s="45">
        <v>0.73070000000000002</v>
      </c>
      <c r="S75" s="45">
        <v>0.73070000000000002</v>
      </c>
      <c r="T75" s="52">
        <v>746</v>
      </c>
      <c r="U75" s="52">
        <v>32786026.649999999</v>
      </c>
      <c r="V75" s="52">
        <v>32786026.649999999</v>
      </c>
    </row>
    <row r="76" spans="1:22" ht="15" customHeight="1">
      <c r="A76" s="43">
        <v>66</v>
      </c>
      <c r="B76" s="44" t="s">
        <v>250</v>
      </c>
      <c r="C76" s="53" t="s">
        <v>35</v>
      </c>
      <c r="D76" s="52">
        <v>11315570263.389999</v>
      </c>
      <c r="E76" s="52">
        <v>66216784.689999998</v>
      </c>
      <c r="F76" s="52"/>
      <c r="G76" s="52">
        <v>1852440.09</v>
      </c>
      <c r="H76" s="45">
        <f>(E76+F76)-G76</f>
        <v>64364344.599999994</v>
      </c>
      <c r="I76" s="30">
        <v>9438027085.8999996</v>
      </c>
      <c r="J76" s="47">
        <f t="shared" si="28"/>
        <v>3.5457604873106389E-2</v>
      </c>
      <c r="K76" s="51">
        <v>9421589128.7099991</v>
      </c>
      <c r="L76" s="47">
        <f t="shared" si="29"/>
        <v>3.8213474672568783E-2</v>
      </c>
      <c r="M76" s="47">
        <f t="shared" si="35"/>
        <v>-1.741673025558289E-3</v>
      </c>
      <c r="N76" s="48">
        <f t="shared" si="36"/>
        <v>1.9661652240333214E-4</v>
      </c>
      <c r="O76" s="49">
        <f t="shared" si="37"/>
        <v>6.831580503109112E-3</v>
      </c>
      <c r="P76" s="69">
        <f t="shared" si="38"/>
        <v>1</v>
      </c>
      <c r="Q76" s="69">
        <f t="shared" si="39"/>
        <v>6.831580503109112E-3</v>
      </c>
      <c r="R76" s="52">
        <v>1</v>
      </c>
      <c r="S76" s="52">
        <v>1</v>
      </c>
      <c r="T76" s="52">
        <v>5544</v>
      </c>
      <c r="U76" s="76">
        <v>9438027085.8999996</v>
      </c>
      <c r="V76" s="52">
        <v>9421589128.7099991</v>
      </c>
    </row>
    <row r="77" spans="1:22" ht="14.25">
      <c r="A77" s="43">
        <v>67</v>
      </c>
      <c r="B77" s="53" t="s">
        <v>118</v>
      </c>
      <c r="C77" s="53" t="s">
        <v>119</v>
      </c>
      <c r="D77" s="76">
        <v>1205051845.05</v>
      </c>
      <c r="E77" s="76">
        <v>57449286.310000002</v>
      </c>
      <c r="F77" s="76"/>
      <c r="G77" s="76">
        <v>6782966.8200000003</v>
      </c>
      <c r="H77" s="45">
        <f t="shared" si="40"/>
        <v>50666319.490000002</v>
      </c>
      <c r="I77" s="32">
        <v>1225719839.49</v>
      </c>
      <c r="J77" s="47">
        <f t="shared" si="28"/>
        <v>4.6048913992515214E-3</v>
      </c>
      <c r="K77" s="55">
        <v>1198031750.72</v>
      </c>
      <c r="L77" s="47">
        <f t="shared" si="29"/>
        <v>4.8591543674480183E-3</v>
      </c>
      <c r="M77" s="47">
        <f t="shared" si="35"/>
        <v>-2.2589247459289308E-2</v>
      </c>
      <c r="N77" s="48">
        <f t="shared" si="36"/>
        <v>5.6617588105853907E-3</v>
      </c>
      <c r="O77" s="49">
        <f t="shared" si="37"/>
        <v>4.2291299424702444E-2</v>
      </c>
      <c r="P77" s="69">
        <f t="shared" si="38"/>
        <v>223.1421232131141</v>
      </c>
      <c r="Q77" s="69">
        <f t="shared" si="39"/>
        <v>9.4369703470696553</v>
      </c>
      <c r="R77" s="76">
        <v>223.1421</v>
      </c>
      <c r="S77" s="96">
        <v>224.44970000000001</v>
      </c>
      <c r="T77" s="52">
        <v>490</v>
      </c>
      <c r="U77" s="100">
        <v>5507732.0800000001</v>
      </c>
      <c r="V77" s="100">
        <v>5368917.9500000002</v>
      </c>
    </row>
    <row r="78" spans="1:22" ht="14.25">
      <c r="A78" s="43">
        <v>68</v>
      </c>
      <c r="B78" s="44" t="s">
        <v>120</v>
      </c>
      <c r="C78" s="53" t="s">
        <v>37</v>
      </c>
      <c r="D78" s="52">
        <v>1119102590.0899999</v>
      </c>
      <c r="E78" s="52">
        <v>12388470.810000001</v>
      </c>
      <c r="F78" s="52"/>
      <c r="G78" s="52">
        <v>1408711.12</v>
      </c>
      <c r="H78" s="45">
        <f t="shared" si="40"/>
        <v>10979759.690000001</v>
      </c>
      <c r="I78" s="30">
        <v>1107185700.29</v>
      </c>
      <c r="J78" s="47">
        <f t="shared" si="28"/>
        <v>4.1595719873156944E-3</v>
      </c>
      <c r="K78" s="51">
        <v>1109556401.8299999</v>
      </c>
      <c r="L78" s="47">
        <f t="shared" si="29"/>
        <v>4.5003029616217886E-3</v>
      </c>
      <c r="M78" s="47">
        <f t="shared" si="35"/>
        <v>2.1411959523854173E-3</v>
      </c>
      <c r="N78" s="48">
        <f t="shared" si="36"/>
        <v>1.2696165041061473E-3</v>
      </c>
      <c r="O78" s="49">
        <f t="shared" si="37"/>
        <v>9.8956300661156103E-3</v>
      </c>
      <c r="P78" s="69">
        <f t="shared" si="38"/>
        <v>3.4401396408973803</v>
      </c>
      <c r="Q78" s="69">
        <f t="shared" si="39"/>
        <v>3.4042349262100279E-2</v>
      </c>
      <c r="R78" s="45">
        <v>3.44</v>
      </c>
      <c r="S78" s="52">
        <v>3.44</v>
      </c>
      <c r="T78" s="52">
        <v>772</v>
      </c>
      <c r="U78" s="76">
        <v>324206105</v>
      </c>
      <c r="V78" s="76">
        <v>322532373</v>
      </c>
    </row>
    <row r="79" spans="1:22" ht="14.25">
      <c r="A79" s="43">
        <v>69</v>
      </c>
      <c r="B79" s="44" t="s">
        <v>249</v>
      </c>
      <c r="C79" s="44" t="s">
        <v>43</v>
      </c>
      <c r="D79" s="52">
        <v>2616438108.9099998</v>
      </c>
      <c r="E79" s="52">
        <v>34656914.829999998</v>
      </c>
      <c r="F79" s="52"/>
      <c r="G79" s="52">
        <v>4796834.57</v>
      </c>
      <c r="H79" s="45">
        <f>(E79+F79)-G79</f>
        <v>29860080.259999998</v>
      </c>
      <c r="I79" s="30">
        <v>2586859360.0500002</v>
      </c>
      <c r="J79" s="47">
        <f t="shared" si="28"/>
        <v>9.7185392896340771E-3</v>
      </c>
      <c r="K79" s="51">
        <v>2612375904.6199999</v>
      </c>
      <c r="L79" s="47">
        <f t="shared" si="29"/>
        <v>1.0595660573036869E-2</v>
      </c>
      <c r="M79" s="47">
        <f t="shared" si="35"/>
        <v>9.8639087087851948E-3</v>
      </c>
      <c r="N79" s="48">
        <f t="shared" si="36"/>
        <v>1.8361961467784074E-3</v>
      </c>
      <c r="O79" s="49">
        <f t="shared" si="37"/>
        <v>1.1430238736773025E-2</v>
      </c>
      <c r="P79" s="69">
        <f t="shared" si="38"/>
        <v>103.40108169279311</v>
      </c>
      <c r="Q79" s="69">
        <f t="shared" si="39"/>
        <v>1.1818990493891961</v>
      </c>
      <c r="R79" s="52">
        <v>103.4</v>
      </c>
      <c r="S79" s="52">
        <v>103.4</v>
      </c>
      <c r="T79" s="52">
        <v>136</v>
      </c>
      <c r="U79" s="52">
        <v>25290657</v>
      </c>
      <c r="V79" s="52">
        <v>25264493</v>
      </c>
    </row>
    <row r="80" spans="1:22" ht="14.25">
      <c r="A80" s="43">
        <v>70</v>
      </c>
      <c r="B80" s="44" t="s">
        <v>123</v>
      </c>
      <c r="C80" s="44" t="s">
        <v>21</v>
      </c>
      <c r="D80" s="52">
        <v>1274427682.24</v>
      </c>
      <c r="E80" s="52">
        <v>14921099.380000001</v>
      </c>
      <c r="F80" s="52">
        <v>72413000</v>
      </c>
      <c r="G80" s="52">
        <v>2096084.65</v>
      </c>
      <c r="H80" s="45">
        <f t="shared" si="40"/>
        <v>85238014.729999989</v>
      </c>
      <c r="I80" s="30">
        <v>1237209889.4000001</v>
      </c>
      <c r="J80" s="47">
        <f t="shared" si="28"/>
        <v>4.6480582227807427E-3</v>
      </c>
      <c r="K80" s="51">
        <v>1251612838.1800001</v>
      </c>
      <c r="L80" s="47">
        <f t="shared" si="29"/>
        <v>5.0764764667892096E-3</v>
      </c>
      <c r="M80" s="47">
        <f t="shared" si="35"/>
        <v>1.1641475632711645E-2</v>
      </c>
      <c r="N80" s="48">
        <f t="shared" si="36"/>
        <v>1.6747068950235173E-3</v>
      </c>
      <c r="O80" s="49">
        <f t="shared" si="37"/>
        <v>6.810254108127127E-2</v>
      </c>
      <c r="P80" s="69">
        <f t="shared" si="38"/>
        <v>340.64427711002264</v>
      </c>
      <c r="Q80" s="69">
        <f t="shared" si="39"/>
        <v>23.198740875985273</v>
      </c>
      <c r="R80" s="98">
        <v>340.64429999999999</v>
      </c>
      <c r="S80" s="98">
        <v>340.64429999999999</v>
      </c>
      <c r="T80" s="98">
        <v>105</v>
      </c>
      <c r="U80" s="98">
        <v>3669836.4078000002</v>
      </c>
      <c r="V80" s="98">
        <v>3674251.7702000001</v>
      </c>
    </row>
    <row r="81" spans="1:26" ht="14.25">
      <c r="A81" s="43">
        <v>71</v>
      </c>
      <c r="B81" s="77" t="s">
        <v>251</v>
      </c>
      <c r="C81" s="78" t="s">
        <v>252</v>
      </c>
      <c r="D81" s="52">
        <v>1679730765.2</v>
      </c>
      <c r="E81" s="52">
        <v>23021564.050000001</v>
      </c>
      <c r="F81" s="52"/>
      <c r="G81" s="52">
        <v>3419172.72</v>
      </c>
      <c r="H81" s="45">
        <f t="shared" si="40"/>
        <v>19602391.330000002</v>
      </c>
      <c r="I81" s="30">
        <v>1583762939</v>
      </c>
      <c r="J81" s="47">
        <f t="shared" si="28"/>
        <v>5.9500190021309612E-3</v>
      </c>
      <c r="K81" s="51">
        <v>1673242702.5699999</v>
      </c>
      <c r="L81" s="47">
        <f t="shared" si="29"/>
        <v>6.7865852312404898E-3</v>
      </c>
      <c r="M81" s="47">
        <f t="shared" si="35"/>
        <v>5.6498205234236723E-2</v>
      </c>
      <c r="N81" s="48">
        <f t="shared" si="36"/>
        <v>2.0434409872210151E-3</v>
      </c>
      <c r="O81" s="49">
        <f t="shared" si="37"/>
        <v>1.1715211009073526E-2</v>
      </c>
      <c r="P81" s="69">
        <f t="shared" si="38"/>
        <v>103.37915559265599</v>
      </c>
      <c r="Q81" s="69">
        <f t="shared" si="39"/>
        <v>1.2111086217078084</v>
      </c>
      <c r="R81" s="98">
        <v>103.38</v>
      </c>
      <c r="S81" s="98">
        <v>103.38</v>
      </c>
      <c r="T81" s="98">
        <v>361</v>
      </c>
      <c r="U81" s="98">
        <v>15498554</v>
      </c>
      <c r="V81" s="98">
        <v>16185494</v>
      </c>
    </row>
    <row r="82" spans="1:26" ht="14.25">
      <c r="A82" s="43">
        <v>72</v>
      </c>
      <c r="B82" s="53" t="s">
        <v>124</v>
      </c>
      <c r="C82" s="53" t="s">
        <v>41</v>
      </c>
      <c r="D82" s="52">
        <v>57081780.609999999</v>
      </c>
      <c r="E82" s="52">
        <v>1524759.34</v>
      </c>
      <c r="F82" s="52"/>
      <c r="G82" s="52">
        <v>147495.34</v>
      </c>
      <c r="H82" s="45">
        <f t="shared" si="40"/>
        <v>1377264</v>
      </c>
      <c r="I82" s="30">
        <v>58040095.18</v>
      </c>
      <c r="J82" s="47">
        <f t="shared" si="28"/>
        <v>2.1805010125097366E-4</v>
      </c>
      <c r="K82" s="51">
        <v>57434146.210000001</v>
      </c>
      <c r="L82" s="47">
        <f t="shared" si="29"/>
        <v>2.3294990489963692E-4</v>
      </c>
      <c r="M82" s="47">
        <f t="shared" si="35"/>
        <v>-1.0440178778493844E-2</v>
      </c>
      <c r="N82" s="48">
        <f t="shared" si="36"/>
        <v>2.5680775241387539E-3</v>
      </c>
      <c r="O82" s="49">
        <f t="shared" si="37"/>
        <v>2.397988114882434E-2</v>
      </c>
      <c r="P82" s="69">
        <f t="shared" si="38"/>
        <v>12.541408846190812</v>
      </c>
      <c r="Q82" s="69">
        <f t="shared" si="39"/>
        <v>0.30074149357046986</v>
      </c>
      <c r="R82" s="52">
        <v>12.44</v>
      </c>
      <c r="S82" s="52">
        <v>12.57</v>
      </c>
      <c r="T82" s="52">
        <v>56</v>
      </c>
      <c r="U82" s="52">
        <v>4588656.95</v>
      </c>
      <c r="V82" s="52">
        <v>4579560.95</v>
      </c>
    </row>
    <row r="83" spans="1:26" ht="14.25">
      <c r="A83" s="43">
        <v>73</v>
      </c>
      <c r="B83" s="44" t="s">
        <v>125</v>
      </c>
      <c r="C83" s="44" t="s">
        <v>126</v>
      </c>
      <c r="D83" s="52">
        <v>7656635787.3299999</v>
      </c>
      <c r="E83" s="52">
        <v>103571355.15000001</v>
      </c>
      <c r="F83" s="52"/>
      <c r="G83" s="52">
        <v>10103564.289999999</v>
      </c>
      <c r="H83" s="45">
        <f t="shared" si="40"/>
        <v>93467790.860000014</v>
      </c>
      <c r="I83" s="30">
        <v>7312572658</v>
      </c>
      <c r="J83" s="47">
        <f t="shared" si="28"/>
        <v>2.7472511951211476E-2</v>
      </c>
      <c r="K83" s="51">
        <v>7663543238</v>
      </c>
      <c r="L83" s="47">
        <f t="shared" si="29"/>
        <v>3.10829321281967E-2</v>
      </c>
      <c r="M83" s="47">
        <f t="shared" si="35"/>
        <v>4.7995499862286635E-2</v>
      </c>
      <c r="N83" s="48">
        <f t="shared" si="36"/>
        <v>1.3183933301114624E-3</v>
      </c>
      <c r="O83" s="49">
        <f t="shared" si="37"/>
        <v>1.2196419848789533E-2</v>
      </c>
      <c r="P83" s="69">
        <f t="shared" si="38"/>
        <v>1.049999999945195</v>
      </c>
      <c r="Q83" s="69">
        <f t="shared" si="39"/>
        <v>1.2806240840560586E-2</v>
      </c>
      <c r="R83" s="52">
        <v>1.05</v>
      </c>
      <c r="S83" s="52">
        <v>1.05</v>
      </c>
      <c r="T83" s="45">
        <v>4357</v>
      </c>
      <c r="U83" s="52">
        <v>7031319864</v>
      </c>
      <c r="V83" s="52">
        <v>7298612608</v>
      </c>
    </row>
    <row r="84" spans="1:26" ht="14.25">
      <c r="A84" s="43">
        <v>74</v>
      </c>
      <c r="B84" s="53" t="s">
        <v>127</v>
      </c>
      <c r="C84" s="44" t="s">
        <v>45</v>
      </c>
      <c r="D84" s="76">
        <v>14415857477.6</v>
      </c>
      <c r="E84" s="76">
        <v>184957967.15000001</v>
      </c>
      <c r="F84" s="76"/>
      <c r="G84" s="76">
        <v>19671155.260000002</v>
      </c>
      <c r="H84" s="45">
        <f t="shared" si="40"/>
        <v>165286811.89000002</v>
      </c>
      <c r="I84" s="112">
        <v>16796973538.299999</v>
      </c>
      <c r="J84" s="47">
        <f t="shared" si="28"/>
        <v>6.3104337947369984E-2</v>
      </c>
      <c r="K84" s="55">
        <v>14833268417.68</v>
      </c>
      <c r="L84" s="47">
        <f t="shared" si="29"/>
        <v>6.0162963938127006E-2</v>
      </c>
      <c r="M84" s="47">
        <f t="shared" si="35"/>
        <v>-0.1169082701798876</v>
      </c>
      <c r="N84" s="48">
        <f t="shared" si="36"/>
        <v>1.3261511021100145E-3</v>
      </c>
      <c r="O84" s="49">
        <f t="shared" si="37"/>
        <v>1.1142979904077791E-2</v>
      </c>
      <c r="P84" s="69">
        <f t="shared" si="38"/>
        <v>5158.0714850982613</v>
      </c>
      <c r="Q84" s="69">
        <f t="shared" si="39"/>
        <v>57.476286902246613</v>
      </c>
      <c r="R84" s="76">
        <v>5158.07</v>
      </c>
      <c r="S84" s="76">
        <v>5158.07</v>
      </c>
      <c r="T84" s="76">
        <v>373</v>
      </c>
      <c r="U84" s="76">
        <v>3267341.34</v>
      </c>
      <c r="V84" s="76">
        <v>2875739.21</v>
      </c>
    </row>
    <row r="85" spans="1:26" ht="14.25">
      <c r="A85" s="43">
        <v>75</v>
      </c>
      <c r="B85" s="44" t="s">
        <v>128</v>
      </c>
      <c r="C85" s="44" t="s">
        <v>45</v>
      </c>
      <c r="D85" s="76">
        <v>28496882304.43</v>
      </c>
      <c r="E85" s="76">
        <v>273502293.67000002</v>
      </c>
      <c r="F85" s="76"/>
      <c r="G85" s="76">
        <v>53152414.590000004</v>
      </c>
      <c r="H85" s="45">
        <f t="shared" si="40"/>
        <v>220349879.08000001</v>
      </c>
      <c r="I85" s="112">
        <v>38277595009</v>
      </c>
      <c r="J85" s="47">
        <f t="shared" si="28"/>
        <v>0.1438046137152495</v>
      </c>
      <c r="K85" s="55">
        <v>28437015493.130001</v>
      </c>
      <c r="L85" s="47">
        <f t="shared" si="29"/>
        <v>0.1153390533661445</v>
      </c>
      <c r="M85" s="47">
        <f t="shared" si="35"/>
        <v>-0.25708458207879148</v>
      </c>
      <c r="N85" s="48">
        <f t="shared" si="36"/>
        <v>1.8691277431290535E-3</v>
      </c>
      <c r="O85" s="49">
        <f t="shared" si="37"/>
        <v>7.7486991957096754E-3</v>
      </c>
      <c r="P85" s="69">
        <f t="shared" si="38"/>
        <v>258.28138375272863</v>
      </c>
      <c r="Q85" s="69">
        <f t="shared" si="39"/>
        <v>2.0013447505515503</v>
      </c>
      <c r="R85" s="76">
        <v>258.27999999999997</v>
      </c>
      <c r="S85" s="76">
        <v>258.27999999999997</v>
      </c>
      <c r="T85" s="76">
        <v>6588</v>
      </c>
      <c r="U85" s="76">
        <v>148301562.33000001</v>
      </c>
      <c r="V85" s="76">
        <v>110100910.41</v>
      </c>
    </row>
    <row r="86" spans="1:26" ht="14.25">
      <c r="A86" s="43">
        <v>76</v>
      </c>
      <c r="B86" s="53" t="s">
        <v>129</v>
      </c>
      <c r="C86" s="44" t="s">
        <v>45</v>
      </c>
      <c r="D86" s="76">
        <v>328997893.57999998</v>
      </c>
      <c r="E86" s="76">
        <v>4392317.82</v>
      </c>
      <c r="F86" s="76">
        <v>9064568.6199999992</v>
      </c>
      <c r="G86" s="76">
        <v>402526.48</v>
      </c>
      <c r="H86" s="45">
        <f t="shared" si="40"/>
        <v>13054359.959999999</v>
      </c>
      <c r="I86" s="112">
        <v>341647557.33999997</v>
      </c>
      <c r="J86" s="47">
        <f t="shared" si="28"/>
        <v>1.2835313973745075E-3</v>
      </c>
      <c r="K86" s="55">
        <v>331327337.93000001</v>
      </c>
      <c r="L86" s="47">
        <f t="shared" si="29"/>
        <v>1.34384642159101E-3</v>
      </c>
      <c r="M86" s="47">
        <f t="shared" si="35"/>
        <v>-3.0207209705671964E-2</v>
      </c>
      <c r="N86" s="48">
        <f t="shared" si="36"/>
        <v>1.2148906350886214E-3</v>
      </c>
      <c r="O86" s="49">
        <f t="shared" si="37"/>
        <v>3.9400189678154514E-2</v>
      </c>
      <c r="P86" s="69">
        <f t="shared" si="38"/>
        <v>5761.252693985005</v>
      </c>
      <c r="Q86" s="69">
        <f t="shared" si="39"/>
        <v>226.99444892678787</v>
      </c>
      <c r="R86" s="76">
        <v>5746.12</v>
      </c>
      <c r="S86" s="76">
        <v>5771.63</v>
      </c>
      <c r="T86" s="52">
        <v>15</v>
      </c>
      <c r="U86" s="76">
        <v>61758.27</v>
      </c>
      <c r="V86" s="76">
        <v>57509.599999999999</v>
      </c>
    </row>
    <row r="87" spans="1:26" ht="14.25">
      <c r="A87" s="43">
        <v>77</v>
      </c>
      <c r="B87" s="44" t="s">
        <v>130</v>
      </c>
      <c r="C87" s="44" t="s">
        <v>45</v>
      </c>
      <c r="D87" s="76">
        <v>13192872490.879999</v>
      </c>
      <c r="E87" s="76">
        <v>167636660.53</v>
      </c>
      <c r="F87" s="76"/>
      <c r="G87" s="76">
        <v>21009511.050000001</v>
      </c>
      <c r="H87" s="45">
        <f t="shared" si="40"/>
        <v>146627149.47999999</v>
      </c>
      <c r="I87" s="112">
        <v>15698353714.790001</v>
      </c>
      <c r="J87" s="47">
        <f t="shared" ref="J87:J91" si="41">(I87/$I$92)</f>
        <v>5.8976946994447672E-2</v>
      </c>
      <c r="K87" s="55">
        <v>13223478063.75</v>
      </c>
      <c r="L87" s="47">
        <f t="shared" si="29"/>
        <v>5.3633738127313889E-2</v>
      </c>
      <c r="M87" s="47">
        <f t="shared" si="35"/>
        <v>-0.15765192299803571</v>
      </c>
      <c r="N87" s="48">
        <f t="shared" si="36"/>
        <v>1.5888037132677018E-3</v>
      </c>
      <c r="O87" s="49">
        <f t="shared" si="37"/>
        <v>1.1088395108542155E-2</v>
      </c>
      <c r="P87" s="69">
        <f t="shared" si="38"/>
        <v>130.5667081872285</v>
      </c>
      <c r="Q87" s="69">
        <f t="shared" si="39"/>
        <v>1.4477752484017157</v>
      </c>
      <c r="R87" s="76">
        <v>130.57</v>
      </c>
      <c r="S87" s="76">
        <v>130.57</v>
      </c>
      <c r="T87" s="52">
        <v>4405</v>
      </c>
      <c r="U87" s="76">
        <v>120752765.37</v>
      </c>
      <c r="V87" s="76">
        <v>101277563.38</v>
      </c>
    </row>
    <row r="88" spans="1:26" ht="14.25">
      <c r="A88" s="43">
        <v>78</v>
      </c>
      <c r="B88" s="44" t="s">
        <v>131</v>
      </c>
      <c r="C88" s="44" t="s">
        <v>45</v>
      </c>
      <c r="D88" s="76">
        <v>10486538177.16</v>
      </c>
      <c r="E88" s="76">
        <v>84390641.849999994</v>
      </c>
      <c r="F88" s="76">
        <v>53174616.700000003</v>
      </c>
      <c r="G88" s="76">
        <v>19115758.32</v>
      </c>
      <c r="H88" s="45">
        <f t="shared" si="40"/>
        <v>118449500.23000002</v>
      </c>
      <c r="I88" s="112">
        <v>11447312047.82</v>
      </c>
      <c r="J88" s="47">
        <f t="shared" si="41"/>
        <v>4.300626219404903E-2</v>
      </c>
      <c r="K88" s="55">
        <v>10540834340.719999</v>
      </c>
      <c r="L88" s="47">
        <f t="shared" si="29"/>
        <v>4.275307494352585E-2</v>
      </c>
      <c r="M88" s="47">
        <f t="shared" si="35"/>
        <v>-7.918694828211903E-2</v>
      </c>
      <c r="N88" s="48">
        <f t="shared" si="36"/>
        <v>1.813495753951322E-3</v>
      </c>
      <c r="O88" s="49">
        <f t="shared" si="37"/>
        <v>1.1237203469977808E-2</v>
      </c>
      <c r="P88" s="69">
        <f t="shared" si="38"/>
        <v>357.28556944562928</v>
      </c>
      <c r="Q88" s="69">
        <f t="shared" si="39"/>
        <v>4.0148906407474225</v>
      </c>
      <c r="R88" s="97">
        <v>357.04</v>
      </c>
      <c r="S88" s="52">
        <v>357.45</v>
      </c>
      <c r="T88" s="52">
        <v>10215</v>
      </c>
      <c r="U88" s="52">
        <v>32227266.940000001</v>
      </c>
      <c r="V88" s="52">
        <v>29502547.100000001</v>
      </c>
    </row>
    <row r="89" spans="1:26" ht="14.25">
      <c r="A89" s="43">
        <v>79</v>
      </c>
      <c r="B89" s="44" t="s">
        <v>132</v>
      </c>
      <c r="C89" s="44" t="s">
        <v>49</v>
      </c>
      <c r="D89" s="76">
        <v>90699184143</v>
      </c>
      <c r="E89" s="82">
        <v>616937434</v>
      </c>
      <c r="F89" s="82"/>
      <c r="G89" s="82">
        <v>133051429</v>
      </c>
      <c r="H89" s="45">
        <f t="shared" ref="H89" si="42">(E89+F89)-G89</f>
        <v>483886005</v>
      </c>
      <c r="I89" s="33">
        <v>93957484955</v>
      </c>
      <c r="J89" s="47">
        <f t="shared" si="41"/>
        <v>0.35298768970289934</v>
      </c>
      <c r="K89" s="57">
        <v>94785015673</v>
      </c>
      <c r="L89" s="47">
        <f t="shared" si="29"/>
        <v>0.38444308558540941</v>
      </c>
      <c r="M89" s="47">
        <f t="shared" ref="M89" si="43">((K89-I89)/I89)</f>
        <v>8.8075018014407008E-3</v>
      </c>
      <c r="N89" s="48">
        <f t="shared" ref="N89" si="44">(G89/K89)</f>
        <v>1.4037179616978254E-3</v>
      </c>
      <c r="O89" s="49">
        <f t="shared" ref="O89" si="45">H89/K89</f>
        <v>5.1050896765092524E-3</v>
      </c>
      <c r="P89" s="69">
        <f t="shared" ref="P89" si="46">K89/V89</f>
        <v>2.1656137647650597</v>
      </c>
      <c r="Q89" s="69">
        <f t="shared" ref="Q89" si="47">H89/V89</f>
        <v>1.1055652473808443E-2</v>
      </c>
      <c r="R89" s="98">
        <v>2.17</v>
      </c>
      <c r="S89" s="98">
        <v>2.17</v>
      </c>
      <c r="T89" s="98">
        <v>1518</v>
      </c>
      <c r="U89" s="99">
        <v>43645654276</v>
      </c>
      <c r="V89" s="99">
        <v>43768199674</v>
      </c>
    </row>
    <row r="90" spans="1:26" ht="14.25">
      <c r="A90" s="43">
        <v>80</v>
      </c>
      <c r="B90" s="77" t="s">
        <v>241</v>
      </c>
      <c r="C90" s="77" t="s">
        <v>242</v>
      </c>
      <c r="D90" s="76">
        <v>84723480.25</v>
      </c>
      <c r="E90" s="76">
        <v>1006781.6</v>
      </c>
      <c r="F90" s="76"/>
      <c r="G90" s="76">
        <v>350746.75</v>
      </c>
      <c r="H90" s="45">
        <f t="shared" si="40"/>
        <v>656034.85</v>
      </c>
      <c r="I90" s="36">
        <v>84800824.900000006</v>
      </c>
      <c r="J90" s="47">
        <f t="shared" si="41"/>
        <v>3.1858714907798482E-4</v>
      </c>
      <c r="K90" s="55">
        <v>86088619.129999995</v>
      </c>
      <c r="L90" s="47">
        <f t="shared" si="29"/>
        <v>3.4917095426035692E-4</v>
      </c>
      <c r="M90" s="47">
        <f t="shared" si="35"/>
        <v>1.5186104987995101E-2</v>
      </c>
      <c r="N90" s="48">
        <f t="shared" si="36"/>
        <v>4.0742522477953472E-3</v>
      </c>
      <c r="O90" s="49">
        <f t="shared" si="37"/>
        <v>7.6204596685345858E-3</v>
      </c>
      <c r="P90" s="69">
        <f t="shared" si="38"/>
        <v>105.73863957719391</v>
      </c>
      <c r="Q90" s="69">
        <f t="shared" si="39"/>
        <v>0.80577703830372116</v>
      </c>
      <c r="R90" s="76">
        <v>105.73860000000001</v>
      </c>
      <c r="S90" s="76">
        <v>105.73860000000001</v>
      </c>
      <c r="T90" s="76">
        <v>58</v>
      </c>
      <c r="U90" s="76">
        <v>813216.29</v>
      </c>
      <c r="V90" s="76">
        <v>814164.24</v>
      </c>
    </row>
    <row r="91" spans="1:26" ht="14.25">
      <c r="A91" s="43">
        <v>81</v>
      </c>
      <c r="B91" s="53" t="s">
        <v>133</v>
      </c>
      <c r="C91" s="53" t="s">
        <v>98</v>
      </c>
      <c r="D91" s="82">
        <v>2539918267.0900002</v>
      </c>
      <c r="E91" s="82">
        <v>24176010.609999999</v>
      </c>
      <c r="F91" s="82"/>
      <c r="G91" s="76">
        <v>4419215.9800000004</v>
      </c>
      <c r="H91" s="45">
        <f t="shared" si="40"/>
        <v>19756794.629999999</v>
      </c>
      <c r="I91" s="33">
        <v>2555364139.9400001</v>
      </c>
      <c r="J91" s="47">
        <f t="shared" si="41"/>
        <v>9.6002152945991112E-3</v>
      </c>
      <c r="K91" s="57">
        <v>2558802900.8099999</v>
      </c>
      <c r="L91" s="47">
        <f t="shared" si="29"/>
        <v>1.0378371260558947E-2</v>
      </c>
      <c r="M91" s="47">
        <f t="shared" si="35"/>
        <v>1.3457028750824638E-3</v>
      </c>
      <c r="N91" s="48">
        <f t="shared" si="36"/>
        <v>1.7270638463795234E-3</v>
      </c>
      <c r="O91" s="49">
        <f t="shared" si="37"/>
        <v>7.7211084229058449E-3</v>
      </c>
      <c r="P91" s="69">
        <f t="shared" si="38"/>
        <v>26.345573759050019</v>
      </c>
      <c r="Q91" s="69">
        <f t="shared" si="39"/>
        <v>0.20341703145728829</v>
      </c>
      <c r="R91" s="52">
        <v>226.34559999999999</v>
      </c>
      <c r="S91" s="52">
        <v>26.345600000000001</v>
      </c>
      <c r="T91" s="82">
        <v>1316</v>
      </c>
      <c r="U91" s="76">
        <v>97744911.5</v>
      </c>
      <c r="V91" s="76">
        <v>97124584.349999994</v>
      </c>
    </row>
    <row r="92" spans="1:26" ht="14.25">
      <c r="A92" s="127" t="s">
        <v>50</v>
      </c>
      <c r="B92" s="127"/>
      <c r="C92" s="127"/>
      <c r="D92" s="127"/>
      <c r="E92" s="127"/>
      <c r="F92" s="127"/>
      <c r="G92" s="127"/>
      <c r="H92" s="127"/>
      <c r="I92" s="66">
        <f>SUM(I60:I91)</f>
        <v>266177795135.23999</v>
      </c>
      <c r="J92" s="113">
        <f>(I92/$I$186)</f>
        <v>9.9319397322285161E-2</v>
      </c>
      <c r="K92" s="66">
        <f>SUM(K60:K91)</f>
        <v>246551490264.59</v>
      </c>
      <c r="L92" s="113">
        <f>(K92/$K$186)</f>
        <v>8.5165620689355084E-2</v>
      </c>
      <c r="M92" s="64">
        <f t="shared" si="30"/>
        <v>-7.3733817130306578E-2</v>
      </c>
      <c r="N92" s="48"/>
      <c r="O92" s="48"/>
      <c r="P92" s="71"/>
      <c r="Q92" s="71"/>
      <c r="R92" s="67"/>
      <c r="S92" s="67"/>
      <c r="T92" s="67">
        <f>SUM(T60:T91)</f>
        <v>45142</v>
      </c>
      <c r="U92" s="67"/>
      <c r="V92" s="52"/>
    </row>
    <row r="93" spans="1:26" ht="6.95" customHeight="1">
      <c r="A93" s="136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25"/>
      <c r="X93" s="25"/>
      <c r="Y93" s="25"/>
      <c r="Z93" s="25"/>
    </row>
    <row r="94" spans="1:26">
      <c r="A94" s="132" t="s">
        <v>134</v>
      </c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</row>
    <row r="95" spans="1:26" ht="13.5">
      <c r="A95" s="153" t="s">
        <v>135</v>
      </c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</row>
    <row r="96" spans="1:26" ht="14.25">
      <c r="A96" s="75">
        <v>82</v>
      </c>
      <c r="B96" s="44" t="s">
        <v>136</v>
      </c>
      <c r="C96" s="44" t="s">
        <v>21</v>
      </c>
      <c r="D96" s="76">
        <v>2557776615.3600001</v>
      </c>
      <c r="E96" s="76">
        <v>17063317.09</v>
      </c>
      <c r="F96" s="76">
        <v>150560933.94</v>
      </c>
      <c r="G96" s="76">
        <v>5273039.0999999996</v>
      </c>
      <c r="H96" s="45">
        <f t="shared" ref="H96:H110" si="48">(E96+F96)-G96</f>
        <v>162351211.93000001</v>
      </c>
      <c r="I96" s="35">
        <v>2398477267.4000001</v>
      </c>
      <c r="J96" s="47">
        <f t="shared" ref="J96:J110" si="49">(I96/$I$123)</f>
        <v>1.9200847215541318E-3</v>
      </c>
      <c r="K96" s="46">
        <v>2586778493.52</v>
      </c>
      <c r="L96" s="47">
        <f>(K96/$K$123)</f>
        <v>1.8354036659164652E-3</v>
      </c>
      <c r="M96" s="47">
        <f t="shared" ref="M96" si="50">((K96-I96)/I96)</f>
        <v>7.8508655753957754E-2</v>
      </c>
      <c r="N96" s="48">
        <f t="shared" ref="N96" si="51">(G96/K96)</f>
        <v>2.038457917138714E-3</v>
      </c>
      <c r="O96" s="49">
        <f t="shared" ref="O96" si="52">H96/K96</f>
        <v>6.2761930461652335E-2</v>
      </c>
      <c r="P96" s="69">
        <f t="shared" ref="P96" si="53">K96/V96</f>
        <v>163900.96755598107</v>
      </c>
      <c r="Q96" s="69">
        <f t="shared" ref="Q96" si="54">H96/V96</f>
        <v>10286.741128346017</v>
      </c>
      <c r="R96" s="52">
        <f>110.35*1483.482</f>
        <v>163702.23869999999</v>
      </c>
      <c r="S96" s="52">
        <f>110.35*1483.482</f>
        <v>163702.23869999999</v>
      </c>
      <c r="T96" s="52">
        <v>241</v>
      </c>
      <c r="U96" s="52">
        <v>16419.53</v>
      </c>
      <c r="V96" s="52">
        <v>15782.57</v>
      </c>
    </row>
    <row r="97" spans="1:27" ht="14.25">
      <c r="A97" s="75">
        <v>83</v>
      </c>
      <c r="B97" s="77" t="s">
        <v>222</v>
      </c>
      <c r="C97" s="78" t="s">
        <v>54</v>
      </c>
      <c r="D97" s="76">
        <f>1355250.76*1483.482</f>
        <v>2010490107.9463201</v>
      </c>
      <c r="E97" s="76">
        <f>9045.49*1483.482</f>
        <v>13418821.596179999</v>
      </c>
      <c r="F97" s="76"/>
      <c r="G97" s="76">
        <f>1944.34*1483.482</f>
        <v>2884393.39188</v>
      </c>
      <c r="H97" s="45">
        <f t="shared" si="48"/>
        <v>10534428.204299999</v>
      </c>
      <c r="I97" s="28">
        <f>1343557.93*1330.205</f>
        <v>1787207476.2756498</v>
      </c>
      <c r="J97" s="47">
        <f t="shared" si="49"/>
        <v>1.4307368329423899E-3</v>
      </c>
      <c r="K97" s="46">
        <f>1361659.08*1483.482</f>
        <v>2019996735.31656</v>
      </c>
      <c r="L97" s="47">
        <f t="shared" ref="L97:L110" si="55">(K97/$K$123)</f>
        <v>1.433253532309314E-3</v>
      </c>
      <c r="M97" s="47">
        <f t="shared" ref="M97:M110" si="56">((K97-I97)/I97)</f>
        <v>0.13025306917695884</v>
      </c>
      <c r="N97" s="48">
        <f t="shared" ref="N97:N110" si="57">(G97/K97)</f>
        <v>1.4279198285080286E-3</v>
      </c>
      <c r="O97" s="49">
        <f t="shared" ref="O97:O110" si="58">H97/K97</f>
        <v>5.2150718959697306E-3</v>
      </c>
      <c r="P97" s="69">
        <f t="shared" ref="P97:P110" si="59">K97/V97</f>
        <v>150187.86415534507</v>
      </c>
      <c r="Q97" s="69">
        <f t="shared" ref="Q97:Q110" si="60">H97/V97</f>
        <v>783.24050947225976</v>
      </c>
      <c r="R97" s="52">
        <f>100*1483.482</f>
        <v>148348.20000000001</v>
      </c>
      <c r="S97" s="52">
        <f>100*1483.482</f>
        <v>148348.20000000001</v>
      </c>
      <c r="T97" s="52">
        <v>13</v>
      </c>
      <c r="U97" s="52">
        <v>13339.8</v>
      </c>
      <c r="V97" s="52">
        <v>13449.8</v>
      </c>
    </row>
    <row r="98" spans="1:27" ht="12.95" customHeight="1">
      <c r="A98" s="75">
        <v>84</v>
      </c>
      <c r="B98" s="44" t="s">
        <v>137</v>
      </c>
      <c r="C98" s="53" t="s">
        <v>25</v>
      </c>
      <c r="D98" s="52">
        <f>8391246.72*1483.482</f>
        <v>12448263466.679041</v>
      </c>
      <c r="E98" s="84">
        <f>81846.74*1483.482</f>
        <v>121418165.54868001</v>
      </c>
      <c r="F98" s="84"/>
      <c r="G98" s="84">
        <f>17940.27*1483.482</f>
        <v>26614067.620140001</v>
      </c>
      <c r="H98" s="45">
        <f t="shared" si="48"/>
        <v>94804097.928540006</v>
      </c>
      <c r="I98" s="35">
        <f>10965558*1330.205</f>
        <v>14586440079.389999</v>
      </c>
      <c r="J98" s="47">
        <f t="shared" si="49"/>
        <v>1.1677075750925074E-2</v>
      </c>
      <c r="K98" s="46">
        <f>10975542*1483.482</f>
        <v>16282018997.243999</v>
      </c>
      <c r="L98" s="47">
        <f t="shared" si="55"/>
        <v>1.1552623245834216E-2</v>
      </c>
      <c r="M98" s="47">
        <f t="shared" si="56"/>
        <v>0.11624350483225711</v>
      </c>
      <c r="N98" s="48">
        <f t="shared" si="57"/>
        <v>1.6345680240666021E-3</v>
      </c>
      <c r="O98" s="49">
        <f t="shared" si="58"/>
        <v>5.8226254338965677E-3</v>
      </c>
      <c r="P98" s="69">
        <f t="shared" si="59"/>
        <v>1669.6509854378958</v>
      </c>
      <c r="Q98" s="69">
        <f t="shared" si="60"/>
        <v>9.7217522935411598</v>
      </c>
      <c r="R98" s="52">
        <f>1.1255*1483.482</f>
        <v>1669.6589909999998</v>
      </c>
      <c r="S98" s="52">
        <f>1.1255*1483.482</f>
        <v>1669.6589909999998</v>
      </c>
      <c r="T98" s="52">
        <v>301</v>
      </c>
      <c r="U98" s="52">
        <v>9789580</v>
      </c>
      <c r="V98" s="52">
        <v>9751750</v>
      </c>
    </row>
    <row r="99" spans="1:27" ht="15" customHeight="1">
      <c r="A99" s="75">
        <v>85</v>
      </c>
      <c r="B99" s="77" t="s">
        <v>223</v>
      </c>
      <c r="C99" s="78" t="s">
        <v>106</v>
      </c>
      <c r="D99" s="76">
        <f>1514115.66*1483.482</f>
        <v>2246163327.52812</v>
      </c>
      <c r="E99" s="76">
        <f>12767.95*1483.482</f>
        <v>18941024.001900002</v>
      </c>
      <c r="F99" s="76"/>
      <c r="G99" s="76">
        <f>2236.01*1483.482</f>
        <v>3317080.5868200003</v>
      </c>
      <c r="H99" s="45">
        <f>(E99+F99)-G99</f>
        <v>15623943.415080002</v>
      </c>
      <c r="I99" s="28">
        <f>1499367.92*1330.205</f>
        <v>1994466704.0235999</v>
      </c>
      <c r="J99" s="47">
        <f t="shared" si="49"/>
        <v>1.5966568030871722E-3</v>
      </c>
      <c r="K99" s="76">
        <f>1524537.39*1483.482</f>
        <v>2261623776.3919797</v>
      </c>
      <c r="L99" s="47">
        <f t="shared" si="55"/>
        <v>1.6046957946001593E-3</v>
      </c>
      <c r="M99" s="47">
        <f t="shared" si="56"/>
        <v>0.13394912626489183</v>
      </c>
      <c r="N99" s="48">
        <f t="shared" si="57"/>
        <v>1.4666809844526021E-3</v>
      </c>
      <c r="O99" s="49">
        <f t="shared" si="58"/>
        <v>6.908285798093809E-3</v>
      </c>
      <c r="P99" s="69">
        <f t="shared" si="59"/>
        <v>1513.9184220166164</v>
      </c>
      <c r="Q99" s="69">
        <f t="shared" si="60"/>
        <v>10.458581134289981</v>
      </c>
      <c r="R99" s="76">
        <f>1.0205*1483.482</f>
        <v>1513.8933809999999</v>
      </c>
      <c r="S99" s="76">
        <f>1.0205*1483.482</f>
        <v>1513.8933809999999</v>
      </c>
      <c r="T99" s="76">
        <v>210</v>
      </c>
      <c r="U99" s="76">
        <v>1481724.12</v>
      </c>
      <c r="V99" s="76">
        <v>1493887.48</v>
      </c>
    </row>
    <row r="100" spans="1:27" ht="15" customHeight="1">
      <c r="A100" s="75">
        <v>86</v>
      </c>
      <c r="B100" s="77" t="s">
        <v>224</v>
      </c>
      <c r="C100" s="78" t="s">
        <v>225</v>
      </c>
      <c r="D100" s="76">
        <f>(335921.65+60045.9)*1483.482</f>
        <v>587410733.00910008</v>
      </c>
      <c r="E100" s="76">
        <f>3879.99*1483.482</f>
        <v>5755895.3251799997</v>
      </c>
      <c r="F100" s="76"/>
      <c r="G100" s="76">
        <f>796.22*1483.482</f>
        <v>1181178.03804</v>
      </c>
      <c r="H100" s="45">
        <f>(E100+F100)-G100</f>
        <v>4574717.2871399997</v>
      </c>
      <c r="I100" s="28">
        <f>332428.75*1330.205</f>
        <v>442198385.39374995</v>
      </c>
      <c r="J100" s="47">
        <f t="shared" si="49"/>
        <v>3.5399892057798917E-4</v>
      </c>
      <c r="K100" s="76">
        <f>363759.93*1483.482</f>
        <v>539631308.47625995</v>
      </c>
      <c r="L100" s="47">
        <f t="shared" si="55"/>
        <v>3.8288600446529443E-4</v>
      </c>
      <c r="M100" s="47">
        <f t="shared" si="56"/>
        <v>0.2203375821821513</v>
      </c>
      <c r="N100" s="48">
        <f t="shared" si="57"/>
        <v>2.1888612085448778E-3</v>
      </c>
      <c r="O100" s="49">
        <f t="shared" si="58"/>
        <v>8.477486786408828E-3</v>
      </c>
      <c r="P100" s="69">
        <f t="shared" si="59"/>
        <v>1578.4796685018205</v>
      </c>
      <c r="Q100" s="69">
        <f t="shared" si="60"/>
        <v>13.381540532339169</v>
      </c>
      <c r="R100" s="76">
        <v>1483.482</v>
      </c>
      <c r="S100" s="76">
        <v>1483.482</v>
      </c>
      <c r="T100" s="76">
        <v>12</v>
      </c>
      <c r="U100" s="76">
        <f>V100-27196.23</f>
        <v>314671.53000000003</v>
      </c>
      <c r="V100" s="76">
        <v>341867.76</v>
      </c>
    </row>
    <row r="101" spans="1:27" ht="15" customHeight="1">
      <c r="A101" s="75">
        <v>87</v>
      </c>
      <c r="B101" s="77" t="s">
        <v>226</v>
      </c>
      <c r="C101" s="78" t="s">
        <v>47</v>
      </c>
      <c r="D101" s="76">
        <f>(384998.48+10070.49)*1483.482</f>
        <v>586077705.75353992</v>
      </c>
      <c r="E101" s="84">
        <f>3152.31*1483.482</f>
        <v>4676395.1434199996</v>
      </c>
      <c r="F101" s="84"/>
      <c r="G101" s="84">
        <f>4786.78*1483.482</f>
        <v>7101101.9679599991</v>
      </c>
      <c r="H101" s="45">
        <f>(E101+F101)-G101</f>
        <v>-2424706.8245399995</v>
      </c>
      <c r="I101" s="28">
        <f>376519.08*1330.205</f>
        <v>500847562.8114</v>
      </c>
      <c r="J101" s="47">
        <f t="shared" si="49"/>
        <v>4.0095012208486047E-4</v>
      </c>
      <c r="K101" s="46">
        <f>471923.34*1483.482</f>
        <v>700089780.26988006</v>
      </c>
      <c r="L101" s="47">
        <f t="shared" si="55"/>
        <v>4.9673652088759945E-4</v>
      </c>
      <c r="M101" s="47">
        <f t="shared" si="56"/>
        <v>0.39781009682881707</v>
      </c>
      <c r="N101" s="48">
        <f t="shared" si="57"/>
        <v>1.0143130449958248E-2</v>
      </c>
      <c r="O101" s="49">
        <f t="shared" si="58"/>
        <v>-3.4634226821669799E-3</v>
      </c>
      <c r="P101" s="69">
        <f t="shared" si="59"/>
        <v>1613.2633528062586</v>
      </c>
      <c r="Q101" s="69">
        <f t="shared" si="60"/>
        <v>-5.5874128884179468</v>
      </c>
      <c r="R101" s="84">
        <f>1.1426*1483.482</f>
        <v>1695.0265332000001</v>
      </c>
      <c r="S101" s="84">
        <f>1.1426*1483.482</f>
        <v>1695.0265332000001</v>
      </c>
      <c r="T101" s="52">
        <v>33</v>
      </c>
      <c r="U101" s="52">
        <v>352881.54</v>
      </c>
      <c r="V101" s="52">
        <v>433958.77</v>
      </c>
    </row>
    <row r="102" spans="1:27" ht="15" customHeight="1">
      <c r="A102" s="75">
        <v>88</v>
      </c>
      <c r="B102" s="77" t="s">
        <v>227</v>
      </c>
      <c r="C102" s="78" t="s">
        <v>175</v>
      </c>
      <c r="D102" s="76">
        <f>334675.1*1483.482</f>
        <v>496484486.69819993</v>
      </c>
      <c r="E102" s="84">
        <f>2504*1483.482</f>
        <v>3714638.9279999998</v>
      </c>
      <c r="F102" s="84"/>
      <c r="G102" s="84">
        <f>924.63*1483.482</f>
        <v>1371671.96166</v>
      </c>
      <c r="H102" s="45">
        <f>(E102+F102)-G102</f>
        <v>2342966.9663399998</v>
      </c>
      <c r="I102" s="28">
        <f>419368.43*1330.205</f>
        <v>557845982.42814994</v>
      </c>
      <c r="J102" s="47">
        <f t="shared" si="49"/>
        <v>4.4657982062167007E-4</v>
      </c>
      <c r="K102" s="55">
        <f>417042.83*1483.482</f>
        <v>618675531.53406</v>
      </c>
      <c r="L102" s="47">
        <f t="shared" si="55"/>
        <v>4.3897045743768165E-4</v>
      </c>
      <c r="M102" s="47">
        <f t="shared" si="56"/>
        <v>0.10904362677514641</v>
      </c>
      <c r="N102" s="48">
        <f t="shared" si="57"/>
        <v>2.2171104104583214E-3</v>
      </c>
      <c r="O102" s="49">
        <f t="shared" si="58"/>
        <v>3.7870690643452614E-3</v>
      </c>
      <c r="P102" s="69">
        <f t="shared" si="59"/>
        <v>159042.55309358868</v>
      </c>
      <c r="Q102" s="69">
        <f t="shared" si="60"/>
        <v>602.30513273521842</v>
      </c>
      <c r="R102" s="84">
        <f>105.43*1483.482</f>
        <v>156403.50726000001</v>
      </c>
      <c r="S102" s="84">
        <f>107.21*1483.482</f>
        <v>159044.10522</v>
      </c>
      <c r="T102" s="52">
        <v>41</v>
      </c>
      <c r="U102" s="52">
        <v>3958.06</v>
      </c>
      <c r="V102" s="52">
        <v>3890</v>
      </c>
    </row>
    <row r="103" spans="1:27" ht="15" customHeight="1">
      <c r="A103" s="75">
        <v>89</v>
      </c>
      <c r="B103" s="44" t="s">
        <v>138</v>
      </c>
      <c r="C103" s="53" t="s">
        <v>72</v>
      </c>
      <c r="D103" s="76">
        <f>349765.84*1483.482</f>
        <v>518871327.85488003</v>
      </c>
      <c r="E103" s="84">
        <f>19864.64*1483.482</f>
        <v>29468835.876479998</v>
      </c>
      <c r="F103" s="84"/>
      <c r="G103" s="84">
        <f>4796.34*1483.482</f>
        <v>7115284.0558799999</v>
      </c>
      <c r="H103" s="45">
        <f>(E103+F103)-G103</f>
        <v>22353551.820599999</v>
      </c>
      <c r="I103" s="112">
        <f>2775648.47*1330.205</f>
        <v>3692181473.0363503</v>
      </c>
      <c r="J103" s="47">
        <f t="shared" si="49"/>
        <v>2.9557508557365971E-3</v>
      </c>
      <c r="K103" s="55">
        <f>2913021.56*1483.482</f>
        <v>4321415049.8719196</v>
      </c>
      <c r="L103" s="47">
        <f t="shared" si="55"/>
        <v>3.0661848489734948E-3</v>
      </c>
      <c r="M103" s="47">
        <f t="shared" si="56"/>
        <v>0.17042325287389104</v>
      </c>
      <c r="N103" s="48">
        <f t="shared" si="57"/>
        <v>1.6465171648094496E-3</v>
      </c>
      <c r="O103" s="49">
        <f t="shared" si="58"/>
        <v>5.1727389206140994E-3</v>
      </c>
      <c r="P103" s="69">
        <f t="shared" si="59"/>
        <v>163180.76584777952</v>
      </c>
      <c r="Q103" s="69">
        <f t="shared" si="60"/>
        <v>844.09149859642514</v>
      </c>
      <c r="R103" s="84">
        <f>106.85*1483.482</f>
        <v>158510.05169999998</v>
      </c>
      <c r="S103" s="84">
        <f>106.85*1483.482</f>
        <v>158510.05169999998</v>
      </c>
      <c r="T103" s="52">
        <v>51</v>
      </c>
      <c r="U103" s="52">
        <v>25333.07</v>
      </c>
      <c r="V103" s="52">
        <v>26482.38</v>
      </c>
    </row>
    <row r="104" spans="1:27" ht="15" customHeight="1">
      <c r="A104" s="75">
        <v>90</v>
      </c>
      <c r="B104" s="44" t="s">
        <v>139</v>
      </c>
      <c r="C104" s="44" t="s">
        <v>140</v>
      </c>
      <c r="D104" s="76">
        <v>46486946522.110001</v>
      </c>
      <c r="E104" s="76">
        <v>339600516.37</v>
      </c>
      <c r="F104" s="76"/>
      <c r="G104" s="76">
        <v>75044948.590000004</v>
      </c>
      <c r="H104" s="45">
        <f t="shared" si="48"/>
        <v>264555567.78</v>
      </c>
      <c r="I104" s="33">
        <v>48005256939.32</v>
      </c>
      <c r="J104" s="47">
        <f t="shared" si="49"/>
        <v>3.8430283103490712E-2</v>
      </c>
      <c r="K104" s="57">
        <v>46209236106.370003</v>
      </c>
      <c r="L104" s="47">
        <f t="shared" si="55"/>
        <v>3.2786959363273853E-2</v>
      </c>
      <c r="M104" s="47">
        <f t="shared" si="56"/>
        <v>-3.7413003230463239E-2</v>
      </c>
      <c r="N104" s="48">
        <f t="shared" si="57"/>
        <v>1.6240248684754812E-3</v>
      </c>
      <c r="O104" s="49">
        <f t="shared" si="58"/>
        <v>5.7251664401249576E-3</v>
      </c>
      <c r="P104" s="69">
        <f t="shared" si="59"/>
        <v>171256.31837809691</v>
      </c>
      <c r="Q104" s="69">
        <f t="shared" si="60"/>
        <v>980.47092663763556</v>
      </c>
      <c r="R104" s="82">
        <f>127.87*1483.482</f>
        <v>189692.84333999999</v>
      </c>
      <c r="S104" s="82">
        <f>127.87*1483.482</f>
        <v>189692.84333999999</v>
      </c>
      <c r="T104" s="52">
        <v>2108</v>
      </c>
      <c r="U104" s="52">
        <v>271668</v>
      </c>
      <c r="V104" s="52">
        <v>269825</v>
      </c>
    </row>
    <row r="105" spans="1:27" ht="14.25">
      <c r="A105" s="75">
        <v>91</v>
      </c>
      <c r="B105" s="44" t="s">
        <v>141</v>
      </c>
      <c r="C105" s="44" t="s">
        <v>140</v>
      </c>
      <c r="D105" s="76">
        <v>68839003478.940002</v>
      </c>
      <c r="E105" s="52">
        <v>518152933.92000002</v>
      </c>
      <c r="F105" s="52"/>
      <c r="G105" s="52">
        <v>106189885.23999999</v>
      </c>
      <c r="H105" s="45">
        <f t="shared" si="48"/>
        <v>411963048.68000001</v>
      </c>
      <c r="I105" s="33">
        <v>65460138293.629997</v>
      </c>
      <c r="J105" s="47">
        <f t="shared" si="49"/>
        <v>5.2403670077169028E-2</v>
      </c>
      <c r="K105" s="57">
        <v>68293358797.93</v>
      </c>
      <c r="L105" s="47">
        <f t="shared" si="55"/>
        <v>4.8456364319351825E-2</v>
      </c>
      <c r="M105" s="47">
        <f t="shared" si="56"/>
        <v>4.3281615012654304E-2</v>
      </c>
      <c r="N105" s="48">
        <f t="shared" si="57"/>
        <v>1.5549079311533093E-3</v>
      </c>
      <c r="O105" s="49">
        <f t="shared" si="58"/>
        <v>6.0322563706221863E-3</v>
      </c>
      <c r="P105" s="69">
        <f t="shared" si="59"/>
        <v>155734.59787361696</v>
      </c>
      <c r="Q105" s="69">
        <f t="shared" si="60"/>
        <v>939.4310201494103</v>
      </c>
      <c r="R105" s="82">
        <f>116.28*1483.482</f>
        <v>172499.28696</v>
      </c>
      <c r="S105" s="82">
        <f>1483.482*116.28</f>
        <v>172499.28696</v>
      </c>
      <c r="T105" s="52">
        <v>400</v>
      </c>
      <c r="U105" s="82">
        <v>407910</v>
      </c>
      <c r="V105" s="82">
        <v>438524</v>
      </c>
    </row>
    <row r="106" spans="1:27" s="16" customFormat="1" ht="14.25">
      <c r="A106" s="75">
        <v>92</v>
      </c>
      <c r="B106" s="77" t="s">
        <v>142</v>
      </c>
      <c r="C106" s="78" t="s">
        <v>143</v>
      </c>
      <c r="D106" s="52">
        <f>104287.62*1483.482</f>
        <v>154708807.09283999</v>
      </c>
      <c r="E106" s="52">
        <f>6931.56*1483.482</f>
        <v>10282844.49192</v>
      </c>
      <c r="F106" s="52"/>
      <c r="G106" s="52">
        <f>1833.78*1483.482</f>
        <v>2720379.6219600001</v>
      </c>
      <c r="H106" s="45">
        <f t="shared" si="48"/>
        <v>7562464.8699599998</v>
      </c>
      <c r="I106" s="35">
        <f>96973.11*1330.205</f>
        <v>128994115.78754999</v>
      </c>
      <c r="J106" s="47">
        <f t="shared" si="49"/>
        <v>1.0326536518002913E-4</v>
      </c>
      <c r="K106" s="46">
        <f>96119.39*1483.482</f>
        <v>142591384.91598001</v>
      </c>
      <c r="L106" s="47">
        <f t="shared" si="55"/>
        <v>1.0117323584469951E-4</v>
      </c>
      <c r="M106" s="47">
        <f t="shared" si="56"/>
        <v>0.10540999521888564</v>
      </c>
      <c r="N106" s="48">
        <f t="shared" si="57"/>
        <v>1.907814854006044E-2</v>
      </c>
      <c r="O106" s="49">
        <f t="shared" si="58"/>
        <v>5.3035917102678236E-2</v>
      </c>
      <c r="P106" s="69">
        <f t="shared" si="59"/>
        <v>164967.58863896987</v>
      </c>
      <c r="Q106" s="69">
        <f t="shared" si="60"/>
        <v>8749.2073556851301</v>
      </c>
      <c r="R106" s="82">
        <f>111.2023*1483.482</f>
        <v>164966.61040859998</v>
      </c>
      <c r="S106" s="82">
        <f>111.2023*1483.482</f>
        <v>164966.61040859998</v>
      </c>
      <c r="T106" s="52">
        <v>5</v>
      </c>
      <c r="U106" s="52">
        <v>864.36</v>
      </c>
      <c r="V106" s="52">
        <v>864.36</v>
      </c>
      <c r="W106" s="19"/>
      <c r="X106" s="19"/>
      <c r="Y106" s="19"/>
      <c r="Z106" s="19"/>
      <c r="AA106" s="19"/>
    </row>
    <row r="107" spans="1:27" ht="14.25">
      <c r="A107" s="75">
        <v>93</v>
      </c>
      <c r="B107" s="44" t="s">
        <v>144</v>
      </c>
      <c r="C107" s="44" t="s">
        <v>145</v>
      </c>
      <c r="D107" s="45">
        <f>10947715.99*1483.482</f>
        <v>16240739612.27718</v>
      </c>
      <c r="E107" s="45">
        <f>60816.98*1483.482</f>
        <v>90220895.12436001</v>
      </c>
      <c r="F107" s="45"/>
      <c r="G107" s="45">
        <f>17855.16*1483.482</f>
        <v>26487808.467119999</v>
      </c>
      <c r="H107" s="45">
        <f t="shared" si="48"/>
        <v>63733086.657240011</v>
      </c>
      <c r="I107" s="112">
        <f>10667376.56*1330.205</f>
        <v>14189797636.994801</v>
      </c>
      <c r="J107" s="47">
        <f t="shared" si="49"/>
        <v>1.1359546331774684E-2</v>
      </c>
      <c r="K107" s="55">
        <f>10891628.55*1483.482</f>
        <v>16157534904.611101</v>
      </c>
      <c r="L107" s="47">
        <f t="shared" si="55"/>
        <v>1.1464297724132587E-2</v>
      </c>
      <c r="M107" s="47">
        <f t="shared" si="56"/>
        <v>0.13867268004486072</v>
      </c>
      <c r="N107" s="48">
        <f t="shared" si="57"/>
        <v>1.639347129589725E-3</v>
      </c>
      <c r="O107" s="49">
        <f t="shared" si="58"/>
        <v>3.9444808278923547E-3</v>
      </c>
      <c r="P107" s="69">
        <f t="shared" si="59"/>
        <v>2000.9878790009116</v>
      </c>
      <c r="Q107" s="69">
        <f t="shared" si="60"/>
        <v>7.8928583255640818</v>
      </c>
      <c r="R107" s="82">
        <f>1.35*1483.482</f>
        <v>2002.7007000000001</v>
      </c>
      <c r="S107" s="82">
        <f>1.35*1483.482</f>
        <v>2002.7007000000001</v>
      </c>
      <c r="T107" s="52">
        <v>112</v>
      </c>
      <c r="U107" s="52">
        <v>7943461</v>
      </c>
      <c r="V107" s="52">
        <v>8074779</v>
      </c>
    </row>
    <row r="108" spans="1:27" ht="14.25">
      <c r="A108" s="75">
        <v>94</v>
      </c>
      <c r="B108" s="44" t="s">
        <v>146</v>
      </c>
      <c r="C108" s="44" t="s">
        <v>49</v>
      </c>
      <c r="D108" s="52">
        <f>136386998*1483.482</f>
        <v>202327656567.03601</v>
      </c>
      <c r="E108" s="84">
        <f>1010231*1483.482</f>
        <v>1498659504.342</v>
      </c>
      <c r="F108" s="84"/>
      <c r="G108" s="52">
        <f>249710*1483.482</f>
        <v>370440290.21999997</v>
      </c>
      <c r="H108" s="45">
        <f t="shared" si="48"/>
        <v>1128219214.122</v>
      </c>
      <c r="I108" s="35">
        <f>149095015*1330.205</f>
        <v>198326934428.07498</v>
      </c>
      <c r="J108" s="47">
        <f t="shared" si="49"/>
        <v>0.15876928326313264</v>
      </c>
      <c r="K108" s="46">
        <f>149318646*1483.482</f>
        <v>221511523605.37201</v>
      </c>
      <c r="L108" s="47">
        <f t="shared" si="55"/>
        <v>0.15716964691275295</v>
      </c>
      <c r="M108" s="47">
        <f t="shared" si="56"/>
        <v>0.11690085990667659</v>
      </c>
      <c r="N108" s="48">
        <f t="shared" si="57"/>
        <v>1.6723296566726166E-3</v>
      </c>
      <c r="O108" s="49">
        <f t="shared" si="58"/>
        <v>5.0932754908586562E-3</v>
      </c>
      <c r="P108" s="69">
        <f t="shared" si="59"/>
        <v>188805.17990141048</v>
      </c>
      <c r="Q108" s="69">
        <f t="shared" si="60"/>
        <v>961.63679533901336</v>
      </c>
      <c r="R108" s="84">
        <f>127*1483.482</f>
        <v>188402.21400000001</v>
      </c>
      <c r="S108" s="84">
        <f>127*1483.482</f>
        <v>188402.21400000001</v>
      </c>
      <c r="T108" s="52">
        <v>1068</v>
      </c>
      <c r="U108" s="52">
        <v>1185194</v>
      </c>
      <c r="V108" s="52">
        <v>1173228</v>
      </c>
    </row>
    <row r="109" spans="1:27" ht="13.5" customHeight="1">
      <c r="A109" s="75">
        <v>95</v>
      </c>
      <c r="B109" s="44" t="s">
        <v>147</v>
      </c>
      <c r="C109" s="44" t="s">
        <v>148</v>
      </c>
      <c r="D109" s="96">
        <v>14997330314.9</v>
      </c>
      <c r="E109" s="84">
        <v>149201232.21000001</v>
      </c>
      <c r="F109" s="84">
        <v>0</v>
      </c>
      <c r="G109" s="76">
        <v>17020320.059999999</v>
      </c>
      <c r="H109" s="45">
        <f t="shared" si="48"/>
        <v>132180912.15000001</v>
      </c>
      <c r="I109" s="35">
        <v>12409820692.6</v>
      </c>
      <c r="J109" s="47">
        <f t="shared" si="49"/>
        <v>9.9345978521270407E-3</v>
      </c>
      <c r="K109" s="46">
        <v>15314683675.17</v>
      </c>
      <c r="L109" s="47">
        <f t="shared" si="55"/>
        <v>1.0866267301267376E-2</v>
      </c>
      <c r="M109" s="47">
        <f t="shared" si="56"/>
        <v>0.23407775620015001</v>
      </c>
      <c r="N109" s="48">
        <f t="shared" si="57"/>
        <v>1.1113726160466102E-3</v>
      </c>
      <c r="O109" s="49">
        <f t="shared" si="58"/>
        <v>8.6309919913205614E-3</v>
      </c>
      <c r="P109" s="69">
        <f t="shared" si="59"/>
        <v>144166.69341865217</v>
      </c>
      <c r="Q109" s="69">
        <f t="shared" si="60"/>
        <v>1244.3015763115534</v>
      </c>
      <c r="R109" s="84">
        <v>144166.69</v>
      </c>
      <c r="S109" s="84">
        <v>144166.69</v>
      </c>
      <c r="T109" s="52">
        <v>336</v>
      </c>
      <c r="U109" s="52">
        <v>102924</v>
      </c>
      <c r="V109" s="52">
        <v>106229</v>
      </c>
    </row>
    <row r="110" spans="1:27" ht="14.25">
      <c r="A110" s="75">
        <v>96</v>
      </c>
      <c r="B110" s="44" t="s">
        <v>149</v>
      </c>
      <c r="C110" s="44" t="s">
        <v>41</v>
      </c>
      <c r="D110" s="52">
        <f>1913110.93*1483.482</f>
        <v>2838065628.6582599</v>
      </c>
      <c r="E110" s="52">
        <f>39052.48*1483.482</f>
        <v>57933651.135360003</v>
      </c>
      <c r="F110" s="52"/>
      <c r="G110" s="52">
        <f>2085.45*1483.482</f>
        <v>3093727.5368999997</v>
      </c>
      <c r="H110" s="45">
        <f t="shared" si="48"/>
        <v>54839923.598460004</v>
      </c>
      <c r="I110" s="35">
        <f>1990961.9*1330.205</f>
        <v>2648387474.1894999</v>
      </c>
      <c r="J110" s="47">
        <f t="shared" si="49"/>
        <v>2.1201486439181402E-3</v>
      </c>
      <c r="K110" s="46">
        <f>2045504.06*1483.482</f>
        <v>3034468453.9369202</v>
      </c>
      <c r="L110" s="47">
        <f t="shared" si="55"/>
        <v>2.1530542867955194E-3</v>
      </c>
      <c r="M110" s="47">
        <f t="shared" si="56"/>
        <v>0.14577964271091967</v>
      </c>
      <c r="N110" s="48">
        <f t="shared" si="57"/>
        <v>1.0195286534899371E-3</v>
      </c>
      <c r="O110" s="49">
        <f t="shared" si="58"/>
        <v>1.8072332743255471E-2</v>
      </c>
      <c r="P110" s="69">
        <f t="shared" si="59"/>
        <v>215203.81306802624</v>
      </c>
      <c r="Q110" s="69">
        <f t="shared" si="60"/>
        <v>3889.2349173827201</v>
      </c>
      <c r="R110" s="76">
        <f>167.21*1483.482</f>
        <v>248053.02522000001</v>
      </c>
      <c r="S110" s="84">
        <f>170.54*1483.482</f>
        <v>252993.02028</v>
      </c>
      <c r="T110" s="52">
        <v>48</v>
      </c>
      <c r="U110" s="52">
        <v>14175.44</v>
      </c>
      <c r="V110" s="76">
        <v>14100.44</v>
      </c>
    </row>
    <row r="111" spans="1:27" ht="8.1" customHeight="1">
      <c r="A111" s="131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7" ht="13.5">
      <c r="A112" s="153" t="s">
        <v>150</v>
      </c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</row>
    <row r="113" spans="1:22" ht="14.25">
      <c r="A113" s="43">
        <v>97</v>
      </c>
      <c r="B113" s="44" t="s">
        <v>151</v>
      </c>
      <c r="C113" s="53" t="s">
        <v>104</v>
      </c>
      <c r="D113" s="97">
        <f>893758.4*1483.482</f>
        <v>1325874498.7488</v>
      </c>
      <c r="E113" s="52">
        <f>7300.98*1483.482</f>
        <v>10830872.412359999</v>
      </c>
      <c r="F113" s="52"/>
      <c r="G113" s="52">
        <f>1758.3*1483.482</f>
        <v>2608406.4005999998</v>
      </c>
      <c r="H113" s="45">
        <f t="shared" ref="H113:H122" si="61">(E113+F113)-G113</f>
        <v>8222466.0117600001</v>
      </c>
      <c r="I113" s="30">
        <f>1046592.68*1330.205</f>
        <v>1392182815.8994</v>
      </c>
      <c r="J113" s="47">
        <f t="shared" ref="J113:J122" si="62">(I113/$I$123)</f>
        <v>1.1145025182233031E-3</v>
      </c>
      <c r="K113" s="51">
        <f>1049306.05*1483.482</f>
        <v>1556626637.6661</v>
      </c>
      <c r="L113" s="47">
        <f>(K113/$K$123)</f>
        <v>1.1044773429161384E-3</v>
      </c>
      <c r="M113" s="47">
        <f t="shared" ref="M113:M123" si="63">((K113-I113)/I113)</f>
        <v>0.11811941642194702</v>
      </c>
      <c r="N113" s="48">
        <f t="shared" ref="N113" si="64">(G113/K113)</f>
        <v>1.6756788927310576E-3</v>
      </c>
      <c r="O113" s="49">
        <f t="shared" ref="O113" si="65">H113/K113</f>
        <v>5.282233910687926E-3</v>
      </c>
      <c r="P113" s="50">
        <f t="shared" ref="P113" si="66">K113/V113</f>
        <v>149862.96694580727</v>
      </c>
      <c r="Q113" s="50">
        <f t="shared" ref="Q113" si="67">H113/V113</f>
        <v>791.61124595744684</v>
      </c>
      <c r="R113" s="52">
        <f>104.95*1483.482</f>
        <v>155691.43590000001</v>
      </c>
      <c r="S113" s="52">
        <f>104.95*1483.482</f>
        <v>155691.43590000001</v>
      </c>
      <c r="T113" s="52">
        <v>22</v>
      </c>
      <c r="U113" s="52">
        <v>10474</v>
      </c>
      <c r="V113" s="52">
        <v>10387</v>
      </c>
    </row>
    <row r="114" spans="1:22" ht="14.25">
      <c r="A114" s="43">
        <v>98</v>
      </c>
      <c r="B114" s="44" t="s">
        <v>152</v>
      </c>
      <c r="C114" s="53" t="s">
        <v>27</v>
      </c>
      <c r="D114" s="52">
        <f>5196630.77*1483.482</f>
        <v>7709108207.9411392</v>
      </c>
      <c r="E114" s="52">
        <f>52145.95*1483.482</f>
        <v>77357578.197899997</v>
      </c>
      <c r="F114" s="52"/>
      <c r="G114" s="52">
        <f>10196.97*1483.482</f>
        <v>15127021.449539999</v>
      </c>
      <c r="H114" s="45">
        <f t="shared" si="61"/>
        <v>62230556.748360001</v>
      </c>
      <c r="I114" s="30">
        <f>8457882.32*1330.205</f>
        <v>11250717351.475599</v>
      </c>
      <c r="J114" s="47">
        <f t="shared" si="62"/>
        <v>9.0066855278180934E-3</v>
      </c>
      <c r="K114" s="51">
        <f>8240111.85*1483.482</f>
        <v>12224057607.461699</v>
      </c>
      <c r="L114" s="47">
        <f t="shared" ref="L114:L122" si="68">(K114/$K$123)</f>
        <v>8.6733673568543564E-3</v>
      </c>
      <c r="M114" s="47">
        <f t="shared" ref="M114:M122" si="69">((K114-I114)/I114)</f>
        <v>8.6513617361335615E-2</v>
      </c>
      <c r="N114" s="48">
        <f t="shared" ref="N114:N122" si="70">(G114/K114)</f>
        <v>1.2374795616396882E-3</v>
      </c>
      <c r="O114" s="49">
        <f t="shared" ref="O114:O122" si="71">H114/K114</f>
        <v>5.0908265280403941E-3</v>
      </c>
      <c r="P114" s="50">
        <f t="shared" ref="P114:P122" si="72">K114/V114</f>
        <v>191347.98742690761</v>
      </c>
      <c r="Q114" s="50">
        <f t="shared" ref="Q114:Q122" si="73">H114/V114</f>
        <v>974.11941048004098</v>
      </c>
      <c r="R114" s="52">
        <f>128.9857*1483.482</f>
        <v>191347.96420740001</v>
      </c>
      <c r="S114" s="52">
        <f>128.9857*1483.482</f>
        <v>191347.96420740001</v>
      </c>
      <c r="T114" s="52">
        <v>431</v>
      </c>
      <c r="U114" s="52">
        <v>63087.93</v>
      </c>
      <c r="V114" s="52">
        <v>63883.91</v>
      </c>
    </row>
    <row r="115" spans="1:22" ht="14.1" customHeight="1">
      <c r="A115" s="43">
        <v>99</v>
      </c>
      <c r="B115" s="44" t="s">
        <v>153</v>
      </c>
      <c r="C115" s="44" t="s">
        <v>63</v>
      </c>
      <c r="D115" s="52">
        <f>9732135.12*1483.482</f>
        <v>14437447272.087839</v>
      </c>
      <c r="E115" s="52">
        <f>77705.02*1483.482</f>
        <v>115273998.47964001</v>
      </c>
      <c r="F115" s="52"/>
      <c r="G115" s="52">
        <f>18882.54*1483.482</f>
        <v>28011908.20428</v>
      </c>
      <c r="H115" s="45">
        <f t="shared" si="61"/>
        <v>87262090.275360003</v>
      </c>
      <c r="I115" s="30">
        <f>10858628.3*1330.205</f>
        <v>14444201657.8015</v>
      </c>
      <c r="J115" s="47">
        <f t="shared" si="62"/>
        <v>1.1563207746494868E-2</v>
      </c>
      <c r="K115" s="51">
        <f>10622605.04*1483.482</f>
        <v>15758443369.949278</v>
      </c>
      <c r="L115" s="47">
        <f t="shared" si="68"/>
        <v>1.1181129270556268E-2</v>
      </c>
      <c r="M115" s="47">
        <f t="shared" si="69"/>
        <v>9.0987494032800251E-2</v>
      </c>
      <c r="N115" s="48">
        <f t="shared" si="70"/>
        <v>1.7775809162532887E-3</v>
      </c>
      <c r="O115" s="49">
        <f t="shared" si="71"/>
        <v>5.5374816044181955E-3</v>
      </c>
      <c r="P115" s="50">
        <f t="shared" si="72"/>
        <v>170192.27762602901</v>
      </c>
      <c r="Q115" s="50">
        <f t="shared" si="73"/>
        <v>942.43660656817008</v>
      </c>
      <c r="R115" s="52">
        <f>112.06*1483.482</f>
        <v>166238.99291999999</v>
      </c>
      <c r="S115" s="52">
        <f>112.06*1483.482</f>
        <v>166238.99291999999</v>
      </c>
      <c r="T115" s="52">
        <v>609</v>
      </c>
      <c r="U115" s="76">
        <v>92190</v>
      </c>
      <c r="V115" s="76">
        <v>92592</v>
      </c>
    </row>
    <row r="116" spans="1:22" ht="15" customHeight="1">
      <c r="A116" s="43">
        <v>100</v>
      </c>
      <c r="B116" s="44" t="s">
        <v>154</v>
      </c>
      <c r="C116" s="53" t="s">
        <v>61</v>
      </c>
      <c r="D116" s="52">
        <f>4082758.58*1483.482</f>
        <v>6056698863.7755604</v>
      </c>
      <c r="E116" s="52">
        <f>24565.15*1483.482</f>
        <v>36441957.852300003</v>
      </c>
      <c r="F116" s="52"/>
      <c r="G116" s="52">
        <f>5462.34*1483.482</f>
        <v>8103283.06788</v>
      </c>
      <c r="H116" s="45">
        <f t="shared" si="61"/>
        <v>28338674.784420002</v>
      </c>
      <c r="I116" s="30">
        <f>4151159.97*1330.205</f>
        <v>5521893747.8938503</v>
      </c>
      <c r="J116" s="47">
        <f t="shared" si="62"/>
        <v>4.4205146171218887E-3</v>
      </c>
      <c r="K116" s="51">
        <f>4084222.06*1483.482</f>
        <v>6058869910.0129204</v>
      </c>
      <c r="L116" s="47">
        <f t="shared" si="68"/>
        <v>4.2989657104409891E-3</v>
      </c>
      <c r="M116" s="47">
        <f t="shared" si="69"/>
        <v>9.7244928395060562E-2</v>
      </c>
      <c r="N116" s="48">
        <f t="shared" si="70"/>
        <v>1.3374248314010624E-3</v>
      </c>
      <c r="O116" s="49">
        <f t="shared" si="71"/>
        <v>4.6772211988884852E-3</v>
      </c>
      <c r="P116" s="50">
        <f t="shared" si="72"/>
        <v>1812.5614491830936</v>
      </c>
      <c r="Q116" s="50">
        <f t="shared" si="73"/>
        <v>8.4777508344071997</v>
      </c>
      <c r="R116" s="52">
        <f>1.22*1483.482</f>
        <v>1809.8480399999999</v>
      </c>
      <c r="S116" s="52">
        <f>1.22*1483.482</f>
        <v>1809.8480399999999</v>
      </c>
      <c r="T116" s="52">
        <v>181</v>
      </c>
      <c r="U116" s="52">
        <v>3412914.33</v>
      </c>
      <c r="V116" s="52">
        <v>3342711.45</v>
      </c>
    </row>
    <row r="117" spans="1:22" ht="15" customHeight="1">
      <c r="A117" s="43">
        <v>101</v>
      </c>
      <c r="B117" s="77" t="s">
        <v>253</v>
      </c>
      <c r="C117" s="78" t="s">
        <v>254</v>
      </c>
      <c r="D117" s="52">
        <f>929923.6*1483.482</f>
        <v>1379524921.9751999</v>
      </c>
      <c r="E117" s="52">
        <f>35193.28*1483.482</f>
        <v>52208597.400959998</v>
      </c>
      <c r="F117" s="52"/>
      <c r="G117" s="52">
        <f>4035.92*1483.482</f>
        <v>5987214.67344</v>
      </c>
      <c r="H117" s="45">
        <f t="shared" si="61"/>
        <v>46221382.727519996</v>
      </c>
      <c r="I117" s="26">
        <f>920614.63*1330.205</f>
        <v>1224606183.8991499</v>
      </c>
      <c r="J117" s="47">
        <f t="shared" si="62"/>
        <v>9.8035018116906223E-4</v>
      </c>
      <c r="K117" s="51">
        <f>915962.27*1483.482</f>
        <v>1358813540.2241399</v>
      </c>
      <c r="L117" s="47">
        <f t="shared" si="68"/>
        <v>9.6412250189640528E-4</v>
      </c>
      <c r="M117" s="47">
        <f t="shared" si="69"/>
        <v>0.10959225756779489</v>
      </c>
      <c r="N117" s="48">
        <f t="shared" si="70"/>
        <v>4.4062076923758004E-3</v>
      </c>
      <c r="O117" s="49">
        <f t="shared" si="71"/>
        <v>3.4015986269827464E-2</v>
      </c>
      <c r="P117" s="50">
        <f t="shared" si="72"/>
        <v>1571.0115828971821</v>
      </c>
      <c r="Q117" s="50">
        <f t="shared" si="73"/>
        <v>53.43950843357046</v>
      </c>
      <c r="R117" s="52">
        <f>1.0537*1483.482</f>
        <v>1563.1449834</v>
      </c>
      <c r="S117" s="52">
        <f>1.0698*1483.482</f>
        <v>1587.0290436</v>
      </c>
      <c r="T117" s="52">
        <v>36</v>
      </c>
      <c r="U117" s="76">
        <v>869255.96</v>
      </c>
      <c r="V117" s="52">
        <f>U117-4326.92</f>
        <v>864929.03999999992</v>
      </c>
    </row>
    <row r="118" spans="1:22" ht="14.25">
      <c r="A118" s="43">
        <v>102</v>
      </c>
      <c r="B118" s="53" t="s">
        <v>155</v>
      </c>
      <c r="C118" s="53" t="s">
        <v>43</v>
      </c>
      <c r="D118" s="52">
        <f>12473314.35*1483.482</f>
        <v>18503937318.5667</v>
      </c>
      <c r="E118" s="52">
        <f>105404.02*1483.482</f>
        <v>156364966.39763999</v>
      </c>
      <c r="F118" s="52"/>
      <c r="G118" s="52">
        <f>20845.43*1483.482</f>
        <v>30923820.187259998</v>
      </c>
      <c r="H118" s="45">
        <f t="shared" si="61"/>
        <v>125441146.21037999</v>
      </c>
      <c r="I118" s="30">
        <f>12262733.27*1330.205</f>
        <v>16311949109.420349</v>
      </c>
      <c r="J118" s="47">
        <f t="shared" si="62"/>
        <v>1.3058420310865999E-2</v>
      </c>
      <c r="K118" s="51">
        <f>12423010.78*1483.482</f>
        <v>18429312877.935959</v>
      </c>
      <c r="L118" s="47">
        <f t="shared" si="68"/>
        <v>1.3076198252466899E-2</v>
      </c>
      <c r="M118" s="47">
        <f t="shared" si="69"/>
        <v>0.12980446139896343</v>
      </c>
      <c r="N118" s="48">
        <f t="shared" si="70"/>
        <v>1.6779692434590321E-3</v>
      </c>
      <c r="O118" s="49">
        <f t="shared" si="71"/>
        <v>6.8066100478744009E-3</v>
      </c>
      <c r="P118" s="50">
        <f t="shared" si="72"/>
        <v>1562.9157138025832</v>
      </c>
      <c r="Q118" s="50">
        <f t="shared" si="73"/>
        <v>10.638157801549454</v>
      </c>
      <c r="R118" s="52">
        <f>1.0535*1483.482</f>
        <v>1562.848287</v>
      </c>
      <c r="S118" s="52">
        <f>1.0579*1483.482</f>
        <v>1569.3756078000001</v>
      </c>
      <c r="T118" s="52">
        <v>368</v>
      </c>
      <c r="U118" s="52">
        <v>11726336</v>
      </c>
      <c r="V118" s="52">
        <v>11791623</v>
      </c>
    </row>
    <row r="119" spans="1:22" ht="14.25">
      <c r="A119" s="43">
        <v>103</v>
      </c>
      <c r="B119" s="44" t="s">
        <v>156</v>
      </c>
      <c r="C119" s="53" t="s">
        <v>87</v>
      </c>
      <c r="D119" s="52">
        <f>296609.55*1483.482</f>
        <v>440014928.45309997</v>
      </c>
      <c r="E119" s="52">
        <f>1446.97*1483.482</f>
        <v>2146553.9495399999</v>
      </c>
      <c r="F119" s="52">
        <f>(-1311.08*1483.482)</f>
        <v>-1944963.5805599999</v>
      </c>
      <c r="G119" s="52">
        <f>103.28*1483.482</f>
        <v>153214.02095999999</v>
      </c>
      <c r="H119" s="45">
        <f t="shared" si="61"/>
        <v>48376.348020000034</v>
      </c>
      <c r="I119" s="30">
        <f>252152.49*1330.205</f>
        <v>335414502.96044999</v>
      </c>
      <c r="J119" s="47">
        <f t="shared" si="62"/>
        <v>2.6851380718741148E-4</v>
      </c>
      <c r="K119" s="51">
        <f>299589.86*1483.482</f>
        <v>444436164.69251996</v>
      </c>
      <c r="L119" s="47">
        <f t="shared" si="68"/>
        <v>3.153419467441533E-4</v>
      </c>
      <c r="M119" s="47">
        <f t="shared" si="69"/>
        <v>0.32503562240099421</v>
      </c>
      <c r="N119" s="48">
        <f t="shared" si="70"/>
        <v>3.447379694359482E-4</v>
      </c>
      <c r="O119" s="49">
        <f t="shared" si="71"/>
        <v>1.0884881083758985E-4</v>
      </c>
      <c r="P119" s="50">
        <f t="shared" si="72"/>
        <v>1560.6243558823094</v>
      </c>
      <c r="Q119" s="50">
        <f t="shared" si="73"/>
        <v>0.169872105301969</v>
      </c>
      <c r="R119" s="52">
        <f>1.052*1483.482</f>
        <v>1560.6230640000001</v>
      </c>
      <c r="S119" s="52">
        <f>1.052*1483.482</f>
        <v>1560.6230640000001</v>
      </c>
      <c r="T119" s="52">
        <v>3</v>
      </c>
      <c r="U119" s="52">
        <v>240015</v>
      </c>
      <c r="V119" s="52">
        <v>284781</v>
      </c>
    </row>
    <row r="120" spans="1:22" ht="14.25">
      <c r="A120" s="43">
        <v>104</v>
      </c>
      <c r="B120" s="44" t="s">
        <v>157</v>
      </c>
      <c r="C120" s="44" t="s">
        <v>45</v>
      </c>
      <c r="D120" s="52">
        <f>570570932.44*1483.482</f>
        <v>846431707997.95618</v>
      </c>
      <c r="E120" s="76">
        <f>4404026.57*1482.482</f>
        <v>6528890117.5467405</v>
      </c>
      <c r="F120" s="76"/>
      <c r="G120" s="52">
        <f>948579.51*1483.482</f>
        <v>1407200628.65382</v>
      </c>
      <c r="H120" s="45">
        <f t="shared" si="61"/>
        <v>5121689488.8929205</v>
      </c>
      <c r="I120" s="30">
        <f>557403232.18*1330.205</f>
        <v>741460566461.99683</v>
      </c>
      <c r="J120" s="47">
        <f t="shared" si="62"/>
        <v>0.5935712314846483</v>
      </c>
      <c r="K120" s="51">
        <f>570342041.89*1483.482</f>
        <v>846092152987.06091</v>
      </c>
      <c r="L120" s="47">
        <f t="shared" si="68"/>
        <v>0.60032996376989545</v>
      </c>
      <c r="M120" s="47">
        <f t="shared" si="69"/>
        <v>0.14111551073353937</v>
      </c>
      <c r="N120" s="48">
        <f t="shared" si="70"/>
        <v>1.6631765507880087E-3</v>
      </c>
      <c r="O120" s="49">
        <f t="shared" si="71"/>
        <v>6.0533471097813686E-3</v>
      </c>
      <c r="P120" s="50">
        <f t="shared" si="72"/>
        <v>2239.426055300909</v>
      </c>
      <c r="Q120" s="50">
        <f t="shared" si="73"/>
        <v>13.556023239424848</v>
      </c>
      <c r="R120" s="52">
        <f>1.5096*1483.482</f>
        <v>2239.4644272</v>
      </c>
      <c r="S120" s="52">
        <f>1.5096*1483.482</f>
        <v>2239.4644272</v>
      </c>
      <c r="T120" s="52">
        <v>7504</v>
      </c>
      <c r="U120" s="52">
        <v>371522867.45999998</v>
      </c>
      <c r="V120" s="52">
        <v>377816517.31</v>
      </c>
    </row>
    <row r="121" spans="1:22" ht="14.25">
      <c r="A121" s="43">
        <v>105</v>
      </c>
      <c r="B121" s="44" t="s">
        <v>158</v>
      </c>
      <c r="C121" s="44" t="s">
        <v>49</v>
      </c>
      <c r="D121" s="52">
        <f>17955598*1483.482</f>
        <v>26636806432.236</v>
      </c>
      <c r="E121" s="52">
        <f>288185*1483.482</f>
        <v>427517260.17000002</v>
      </c>
      <c r="F121" s="52"/>
      <c r="G121" s="76">
        <f>66026*1483.482</f>
        <v>97948382.532000005</v>
      </c>
      <c r="H121" s="45">
        <f t="shared" si="61"/>
        <v>329568877.63800001</v>
      </c>
      <c r="I121" s="30">
        <f>31669016*1330.205</f>
        <v>42126283428.279999</v>
      </c>
      <c r="J121" s="47">
        <f t="shared" si="62"/>
        <v>3.3723910701968673E-2</v>
      </c>
      <c r="K121" s="51">
        <f>34682511*1483.482</f>
        <v>51450880783.302002</v>
      </c>
      <c r="L121" s="47">
        <f t="shared" si="68"/>
        <v>3.6506077130632905E-2</v>
      </c>
      <c r="M121" s="47">
        <f t="shared" si="69"/>
        <v>0.22134868296409607</v>
      </c>
      <c r="N121" s="48">
        <f t="shared" si="70"/>
        <v>1.9037260595116657E-3</v>
      </c>
      <c r="O121" s="49">
        <f t="shared" si="71"/>
        <v>6.4055050685343975E-3</v>
      </c>
      <c r="P121" s="50">
        <f t="shared" si="72"/>
        <v>1643.7302582686364</v>
      </c>
      <c r="Q121" s="50">
        <f t="shared" si="73"/>
        <v>10.528922500643105</v>
      </c>
      <c r="R121" s="52">
        <f>1.11*1483.482</f>
        <v>1646.6650200000001</v>
      </c>
      <c r="S121" s="52">
        <f>1.1*1483.482</f>
        <v>1631.8302000000001</v>
      </c>
      <c r="T121" s="52">
        <v>166</v>
      </c>
      <c r="U121" s="52">
        <v>28737149</v>
      </c>
      <c r="V121" s="52">
        <v>31301292</v>
      </c>
    </row>
    <row r="122" spans="1:22" ht="14.25">
      <c r="A122" s="43">
        <v>106</v>
      </c>
      <c r="B122" s="53" t="s">
        <v>159</v>
      </c>
      <c r="C122" s="53" t="s">
        <v>35</v>
      </c>
      <c r="D122" s="52">
        <f>37799583.24*1483.482</f>
        <v>56075001344.041679</v>
      </c>
      <c r="E122" s="52">
        <f>223435.31*1483.482</f>
        <v>331462260.54942</v>
      </c>
      <c r="F122" s="52"/>
      <c r="G122" s="52">
        <f>72745.99*1483.482</f>
        <v>107917366.73718001</v>
      </c>
      <c r="H122" s="45">
        <f t="shared" si="61"/>
        <v>223544893.81224</v>
      </c>
      <c r="I122" s="30">
        <f>36050819.61*1330.205</f>
        <v>47954980499.320045</v>
      </c>
      <c r="J122" s="47">
        <f t="shared" si="62"/>
        <v>3.8390034640180204E-2</v>
      </c>
      <c r="K122" s="51">
        <f>37756639.28*1483.482</f>
        <v>56011294752.372963</v>
      </c>
      <c r="L122" s="47">
        <f t="shared" si="68"/>
        <v>3.9741839503753464E-2</v>
      </c>
      <c r="M122" s="47">
        <f t="shared" si="69"/>
        <v>0.16799744612902404</v>
      </c>
      <c r="N122" s="48">
        <f t="shared" si="70"/>
        <v>1.9267072331444009E-3</v>
      </c>
      <c r="O122" s="49">
        <f t="shared" si="71"/>
        <v>3.9910681372486816E-3</v>
      </c>
      <c r="P122" s="50">
        <f t="shared" si="72"/>
        <v>1652.2363144599383</v>
      </c>
      <c r="Q122" s="50">
        <f t="shared" si="73"/>
        <v>6.5941877098462518</v>
      </c>
      <c r="R122" s="52">
        <f>1.11*1483.482</f>
        <v>1646.6650200000001</v>
      </c>
      <c r="S122" s="52">
        <f>1.11*1483.482</f>
        <v>1646.6650200000001</v>
      </c>
      <c r="T122" s="52">
        <v>1559</v>
      </c>
      <c r="U122" s="52">
        <v>32503011.690000001</v>
      </c>
      <c r="V122" s="52">
        <v>33900292.75</v>
      </c>
    </row>
    <row r="123" spans="1:22" ht="15" customHeight="1">
      <c r="A123" s="127" t="s">
        <v>50</v>
      </c>
      <c r="B123" s="127"/>
      <c r="C123" s="127"/>
      <c r="D123" s="127"/>
      <c r="E123" s="127"/>
      <c r="F123" s="127"/>
      <c r="G123" s="127"/>
      <c r="H123" s="127"/>
      <c r="I123" s="66">
        <f>SUM(I96:I122)</f>
        <v>1249151790270.303</v>
      </c>
      <c r="J123" s="113">
        <f>(I123/$I$186)</f>
        <v>0.46609824426062629</v>
      </c>
      <c r="K123" s="66">
        <f>SUM(K96:K122)</f>
        <v>1409378515231.6091</v>
      </c>
      <c r="L123" s="113">
        <f>(K123/$K$186)</f>
        <v>0.48683784432667293</v>
      </c>
      <c r="M123" s="64">
        <f t="shared" si="63"/>
        <v>0.12826841878570644</v>
      </c>
      <c r="N123" s="48"/>
      <c r="O123" s="48"/>
      <c r="P123" s="65"/>
      <c r="Q123" s="65"/>
      <c r="R123" s="67"/>
      <c r="S123" s="67"/>
      <c r="T123" s="79">
        <f>SUM(T96:T122)</f>
        <v>15858</v>
      </c>
      <c r="U123" s="79"/>
      <c r="V123" s="67"/>
    </row>
    <row r="124" spans="1:22" ht="6.95" customHeight="1">
      <c r="A124" s="135"/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</row>
    <row r="125" spans="1:22">
      <c r="A125" s="132" t="s">
        <v>160</v>
      </c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</row>
    <row r="126" spans="1:22" ht="14.25">
      <c r="A126" s="92">
        <v>107</v>
      </c>
      <c r="B126" s="93" t="s">
        <v>236</v>
      </c>
      <c r="C126" s="93" t="s">
        <v>237</v>
      </c>
      <c r="D126" s="52">
        <v>2271386257.5</v>
      </c>
      <c r="E126" s="80">
        <v>30450271.57</v>
      </c>
      <c r="F126" s="81"/>
      <c r="G126" s="80">
        <v>5374064.4500000002</v>
      </c>
      <c r="H126" s="45">
        <f t="shared" ref="H126:H130" si="74">(E126+F126)-G126</f>
        <v>25076207.120000001</v>
      </c>
      <c r="I126" s="34">
        <v>2261720797.3000002</v>
      </c>
      <c r="J126" s="47">
        <f>(I126/$I$131)</f>
        <v>2.2649719936288407E-2</v>
      </c>
      <c r="K126" s="82" t="s">
        <v>238</v>
      </c>
      <c r="L126" s="47">
        <f>(K126/$K$131)</f>
        <v>2.3628735939716126E-2</v>
      </c>
      <c r="M126" s="47">
        <f>((K126-I126)/I126)</f>
        <v>1.108722488643831E-2</v>
      </c>
      <c r="N126" s="48">
        <f>(G126/K126)</f>
        <v>2.3500400077647136E-3</v>
      </c>
      <c r="O126" s="49">
        <f>H126/K126</f>
        <v>1.0965646304259408E-2</v>
      </c>
      <c r="P126" s="50">
        <f>K126/V126</f>
        <v>107.76611707869934</v>
      </c>
      <c r="Q126" s="50">
        <f>H126/V126</f>
        <v>1.1817251234684261</v>
      </c>
      <c r="R126" s="82" t="s">
        <v>239</v>
      </c>
      <c r="S126" s="82" t="s">
        <v>239</v>
      </c>
      <c r="T126" s="82">
        <v>7</v>
      </c>
      <c r="U126" s="82" t="s">
        <v>240</v>
      </c>
      <c r="V126" s="83" t="s">
        <v>240</v>
      </c>
    </row>
    <row r="127" spans="1:22" ht="14.25">
      <c r="A127" s="43">
        <v>108</v>
      </c>
      <c r="B127" s="44" t="s">
        <v>161</v>
      </c>
      <c r="C127" s="44" t="s">
        <v>43</v>
      </c>
      <c r="D127" s="52">
        <v>32892185048</v>
      </c>
      <c r="E127" s="52">
        <v>141769999</v>
      </c>
      <c r="F127" s="52"/>
      <c r="G127" s="52">
        <v>105852465</v>
      </c>
      <c r="H127" s="45">
        <f t="shared" si="74"/>
        <v>35917534</v>
      </c>
      <c r="I127" s="30">
        <v>54189603559</v>
      </c>
      <c r="J127" s="47">
        <f t="shared" ref="J127:J130" si="75">(I127/$I$131)</f>
        <v>0.54267500459608897</v>
      </c>
      <c r="K127" s="51">
        <v>54225521092</v>
      </c>
      <c r="L127" s="47">
        <f t="shared" ref="L127:L130" si="76">(K127/$K$131)</f>
        <v>0.56029482136170161</v>
      </c>
      <c r="M127" s="47">
        <f t="shared" ref="M127:M130" si="77">((K127-I127)/I127)</f>
        <v>6.6281224886419546E-4</v>
      </c>
      <c r="N127" s="48">
        <f t="shared" ref="N127:N130" si="78">(G127/K127)</f>
        <v>1.9520783363318685E-3</v>
      </c>
      <c r="O127" s="49">
        <f t="shared" ref="O127:O130" si="79">H127/K127</f>
        <v>6.6237323822230609E-4</v>
      </c>
      <c r="P127" s="50">
        <f t="shared" ref="P127:P130" si="80">K127/V127</f>
        <v>102.1873654324524</v>
      </c>
      <c r="Q127" s="50">
        <f t="shared" ref="Q127:Q130" si="81">H127/V127</f>
        <v>6.7686176146899646E-2</v>
      </c>
      <c r="R127" s="52">
        <v>102.19</v>
      </c>
      <c r="S127" s="52">
        <v>102.19</v>
      </c>
      <c r="T127" s="52">
        <v>641</v>
      </c>
      <c r="U127" s="52">
        <v>530648000</v>
      </c>
      <c r="V127" s="52">
        <v>530648000</v>
      </c>
    </row>
    <row r="128" spans="1:22" ht="14.25">
      <c r="A128" s="43">
        <v>109</v>
      </c>
      <c r="B128" s="44" t="s">
        <v>162</v>
      </c>
      <c r="C128" s="44" t="s">
        <v>126</v>
      </c>
      <c r="D128" s="52">
        <v>2723375953.48</v>
      </c>
      <c r="E128" s="52">
        <v>27536783.460000001</v>
      </c>
      <c r="F128" s="52"/>
      <c r="G128" s="52">
        <v>5236477.3899999997</v>
      </c>
      <c r="H128" s="45">
        <f t="shared" si="74"/>
        <v>22300306.07</v>
      </c>
      <c r="I128" s="30">
        <v>2611031329.4899998</v>
      </c>
      <c r="J128" s="47">
        <f t="shared" si="75"/>
        <v>2.6147846554898577E-2</v>
      </c>
      <c r="K128" s="51">
        <v>2415831635.5599999</v>
      </c>
      <c r="L128" s="47">
        <f t="shared" si="76"/>
        <v>2.4962009168884382E-2</v>
      </c>
      <c r="M128" s="47">
        <f t="shared" si="77"/>
        <v>-7.4759613845049977E-2</v>
      </c>
      <c r="N128" s="48">
        <f t="shared" si="78"/>
        <v>2.1675671900811756E-3</v>
      </c>
      <c r="O128" s="49">
        <f t="shared" si="79"/>
        <v>9.2309024113059503E-3</v>
      </c>
      <c r="P128" s="50">
        <f t="shared" si="80"/>
        <v>120.79158177799999</v>
      </c>
      <c r="Q128" s="50">
        <f t="shared" si="81"/>
        <v>1.1150153035000001</v>
      </c>
      <c r="R128" s="82">
        <v>101.35</v>
      </c>
      <c r="S128" s="82">
        <v>101.35</v>
      </c>
      <c r="T128" s="52">
        <v>2760</v>
      </c>
      <c r="U128" s="52">
        <v>20000000</v>
      </c>
      <c r="V128" s="52">
        <v>20000000</v>
      </c>
    </row>
    <row r="129" spans="1:22" ht="14.25">
      <c r="A129" s="43">
        <v>110</v>
      </c>
      <c r="B129" s="44" t="s">
        <v>163</v>
      </c>
      <c r="C129" s="44" t="s">
        <v>126</v>
      </c>
      <c r="D129" s="52">
        <v>11263612525.969999</v>
      </c>
      <c r="E129" s="52">
        <v>79380983.530000001</v>
      </c>
      <c r="F129" s="52"/>
      <c r="G129" s="82" t="s">
        <v>235</v>
      </c>
      <c r="H129" s="45">
        <f t="shared" si="74"/>
        <v>63586041.329999998</v>
      </c>
      <c r="I129" s="108">
        <v>10436551117</v>
      </c>
      <c r="J129" s="47">
        <f t="shared" si="75"/>
        <v>0.10451553533177034</v>
      </c>
      <c r="K129" s="55">
        <v>10500137159</v>
      </c>
      <c r="L129" s="47">
        <f t="shared" si="76"/>
        <v>0.10849453090167217</v>
      </c>
      <c r="M129" s="47">
        <f t="shared" si="77"/>
        <v>6.0926297669759216E-3</v>
      </c>
      <c r="N129" s="48">
        <f t="shared" si="78"/>
        <v>1.504260559726275E-3</v>
      </c>
      <c r="O129" s="49">
        <f t="shared" si="79"/>
        <v>6.0557343553839568E-3</v>
      </c>
      <c r="P129" s="50">
        <f t="shared" si="80"/>
        <v>55.814069619307197</v>
      </c>
      <c r="Q129" s="50">
        <f t="shared" si="81"/>
        <v>0.33799517890743058</v>
      </c>
      <c r="R129" s="82">
        <v>36.6</v>
      </c>
      <c r="S129" s="82">
        <v>36.6</v>
      </c>
      <c r="T129" s="52">
        <v>5264</v>
      </c>
      <c r="U129" s="52">
        <v>188127066</v>
      </c>
      <c r="V129" s="52">
        <v>188127066</v>
      </c>
    </row>
    <row r="130" spans="1:22" ht="15.95" customHeight="1">
      <c r="A130" s="43">
        <v>111</v>
      </c>
      <c r="B130" s="44" t="s">
        <v>164</v>
      </c>
      <c r="C130" s="53" t="s">
        <v>165</v>
      </c>
      <c r="D130" s="76">
        <v>29751356105.169998</v>
      </c>
      <c r="E130" s="76">
        <v>201124217.37</v>
      </c>
      <c r="F130" s="76"/>
      <c r="G130" s="76">
        <v>52921685.649999999</v>
      </c>
      <c r="H130" s="45">
        <f t="shared" si="74"/>
        <v>148202531.72</v>
      </c>
      <c r="I130" s="104">
        <v>30357550745.560001</v>
      </c>
      <c r="J130" s="47">
        <f t="shared" si="75"/>
        <v>0.30401189358095371</v>
      </c>
      <c r="K130" s="55">
        <v>29638846151.91</v>
      </c>
      <c r="L130" s="47">
        <f t="shared" si="76"/>
        <v>0.30624863856774187</v>
      </c>
      <c r="M130" s="47">
        <f t="shared" si="77"/>
        <v>-2.3674656749280636E-2</v>
      </c>
      <c r="N130" s="48">
        <f t="shared" si="78"/>
        <v>1.7855514812809134E-3</v>
      </c>
      <c r="O130" s="49">
        <f t="shared" si="79"/>
        <v>5.0002800702971858E-3</v>
      </c>
      <c r="P130" s="50">
        <f t="shared" si="80"/>
        <v>11.107890770370084</v>
      </c>
      <c r="Q130" s="50">
        <f t="shared" si="81"/>
        <v>5.5542564842119585E-2</v>
      </c>
      <c r="R130" s="82">
        <v>11.11</v>
      </c>
      <c r="S130" s="82">
        <v>11.11</v>
      </c>
      <c r="T130" s="52">
        <v>208327</v>
      </c>
      <c r="U130" s="76">
        <v>2668269500</v>
      </c>
      <c r="V130" s="76">
        <v>2668269500</v>
      </c>
    </row>
    <row r="131" spans="1:22" ht="15" customHeight="1">
      <c r="A131" s="127" t="s">
        <v>50</v>
      </c>
      <c r="B131" s="127"/>
      <c r="C131" s="127"/>
      <c r="D131" s="127"/>
      <c r="E131" s="127"/>
      <c r="F131" s="127"/>
      <c r="G131" s="127"/>
      <c r="H131" s="127"/>
      <c r="I131" s="66">
        <f>SUM(I126:I130)</f>
        <v>99856457548.350006</v>
      </c>
      <c r="J131" s="113">
        <f>(I131/$I$186)</f>
        <v>3.7259618810056953E-2</v>
      </c>
      <c r="K131" s="66">
        <f>SUM(K126:K130)</f>
        <v>96780336038.470001</v>
      </c>
      <c r="L131" s="113">
        <f>(K131/$K$186)</f>
        <v>3.343057217133534E-2</v>
      </c>
      <c r="M131" s="64">
        <f>((K131-I131)/I131)</f>
        <v>-3.0805433973967702E-2</v>
      </c>
      <c r="N131" s="48"/>
      <c r="O131" s="48"/>
      <c r="P131" s="71"/>
      <c r="Q131" s="71"/>
      <c r="R131" s="67"/>
      <c r="S131" s="67"/>
      <c r="T131" s="67">
        <f>SUM(T127:T130)</f>
        <v>216992</v>
      </c>
      <c r="U131" s="67"/>
      <c r="V131" s="67"/>
    </row>
    <row r="132" spans="1:22" ht="8.1" customHeight="1">
      <c r="A132" s="135"/>
      <c r="B132" s="135"/>
      <c r="C132" s="135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</row>
    <row r="133" spans="1:22">
      <c r="A133" s="132" t="s">
        <v>166</v>
      </c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</row>
    <row r="134" spans="1:22" ht="14.25">
      <c r="A134" s="43">
        <v>112</v>
      </c>
      <c r="B134" s="44" t="s">
        <v>167</v>
      </c>
      <c r="C134" s="44" t="s">
        <v>54</v>
      </c>
      <c r="D134" s="84">
        <v>235559792.28999999</v>
      </c>
      <c r="E134" s="84">
        <v>4740215.7300000004</v>
      </c>
      <c r="F134" s="84">
        <v>1678357.4</v>
      </c>
      <c r="G134" s="52">
        <v>602918.63</v>
      </c>
      <c r="H134" s="45">
        <f t="shared" ref="H134:H159" si="82">(E134+F134)-G134</f>
        <v>5815654.5000000009</v>
      </c>
      <c r="I134" s="30">
        <v>231574131.44999999</v>
      </c>
      <c r="J134" s="47">
        <f>(I134/$I$160)</f>
        <v>4.8616210839200463E-3</v>
      </c>
      <c r="K134" s="51">
        <v>237399409.77000001</v>
      </c>
      <c r="L134" s="47">
        <f>(K134/$K$160)</f>
        <v>4.8696864360260085E-3</v>
      </c>
      <c r="M134" s="47">
        <f t="shared" ref="M134:M160" si="83">((K134-I134)/I134)</f>
        <v>2.515513405372646E-2</v>
      </c>
      <c r="N134" s="48">
        <f t="shared" ref="N134" si="84">(G134/K134)</f>
        <v>2.5396804085744211E-3</v>
      </c>
      <c r="O134" s="49">
        <f t="shared" ref="O134" si="85">H134/K134</f>
        <v>2.4497341866327255E-2</v>
      </c>
      <c r="P134" s="50">
        <f t="shared" ref="P134" si="86">K134/V134</f>
        <v>5.3489152969999916</v>
      </c>
      <c r="Q134" s="50">
        <f t="shared" ref="Q134" si="87">H134/V134</f>
        <v>0.13103420664463619</v>
      </c>
      <c r="R134" s="52">
        <v>4.2831000000000001</v>
      </c>
      <c r="S134" s="52">
        <v>4.3512000000000004</v>
      </c>
      <c r="T134" s="52">
        <v>11834</v>
      </c>
      <c r="U134" s="52">
        <v>44186565.079999998</v>
      </c>
      <c r="V134" s="52">
        <v>44382719.969999999</v>
      </c>
    </row>
    <row r="135" spans="1:22" ht="14.25">
      <c r="A135" s="43">
        <v>113</v>
      </c>
      <c r="B135" s="77" t="s">
        <v>228</v>
      </c>
      <c r="C135" s="77" t="s">
        <v>229</v>
      </c>
      <c r="D135" s="84">
        <v>591656780.14999998</v>
      </c>
      <c r="E135" s="84">
        <v>3528902.44</v>
      </c>
      <c r="F135" s="84">
        <v>22621429.199999999</v>
      </c>
      <c r="G135" s="52">
        <v>1256084.75</v>
      </c>
      <c r="H135" s="45">
        <f t="shared" si="82"/>
        <v>24894246.890000001</v>
      </c>
      <c r="I135" s="26">
        <v>568867830.65999997</v>
      </c>
      <c r="J135" s="47">
        <f t="shared" ref="J135:J159" si="88">(I135/$I$160)</f>
        <v>1.1942697667410445E-2</v>
      </c>
      <c r="K135" s="51">
        <v>595758364.35000002</v>
      </c>
      <c r="L135" s="47">
        <f t="shared" ref="L135:L159" si="89">(K135/$K$160)</f>
        <v>1.22205713520306E-2</v>
      </c>
      <c r="M135" s="47">
        <f t="shared" ref="M135:M159" si="90">((K135-I135)/I135)</f>
        <v>4.7270266027878011E-2</v>
      </c>
      <c r="N135" s="48">
        <f t="shared" ref="N135:N159" si="91">(G135/K135)</f>
        <v>2.1083795464129935E-3</v>
      </c>
      <c r="O135" s="49">
        <f t="shared" ref="O135:O159" si="92">H135/K135</f>
        <v>4.1785811798313192E-2</v>
      </c>
      <c r="P135" s="50">
        <f t="shared" ref="P135:P159" si="93">K135/V135</f>
        <v>1144.0193339913474</v>
      </c>
      <c r="Q135" s="50">
        <f t="shared" ref="Q135:Q159" si="94">H135/V135</f>
        <v>47.80377658379404</v>
      </c>
      <c r="R135" s="52">
        <v>1148.2098000000001</v>
      </c>
      <c r="S135" s="52">
        <v>1137.5976000000001</v>
      </c>
      <c r="T135" s="52">
        <v>176</v>
      </c>
      <c r="U135" s="52">
        <v>520542</v>
      </c>
      <c r="V135" s="52">
        <v>520759</v>
      </c>
    </row>
    <row r="136" spans="1:22" ht="14.25">
      <c r="A136" s="43">
        <v>114</v>
      </c>
      <c r="B136" s="44" t="s">
        <v>168</v>
      </c>
      <c r="C136" s="53" t="s">
        <v>57</v>
      </c>
      <c r="D136" s="84">
        <v>6562559696.3199997</v>
      </c>
      <c r="E136" s="84">
        <v>80538984.430000007</v>
      </c>
      <c r="F136" s="84">
        <v>96239557.099999994</v>
      </c>
      <c r="G136" s="52">
        <v>13030769.27</v>
      </c>
      <c r="H136" s="45">
        <f t="shared" si="82"/>
        <v>163747772.25999999</v>
      </c>
      <c r="I136" s="30">
        <v>7128425181</v>
      </c>
      <c r="J136" s="47">
        <f t="shared" si="88"/>
        <v>0.14965273512244096</v>
      </c>
      <c r="K136" s="51">
        <v>7275597386</v>
      </c>
      <c r="L136" s="47">
        <f t="shared" si="89"/>
        <v>0.14924164276110063</v>
      </c>
      <c r="M136" s="47">
        <f t="shared" si="90"/>
        <v>2.0645823062332286E-2</v>
      </c>
      <c r="N136" s="48">
        <f t="shared" si="91"/>
        <v>1.7910239638980485E-3</v>
      </c>
      <c r="O136" s="49">
        <f t="shared" si="92"/>
        <v>2.2506436732616639E-2</v>
      </c>
      <c r="P136" s="50">
        <f t="shared" si="93"/>
        <v>766.44695790313119</v>
      </c>
      <c r="Q136" s="50">
        <f t="shared" si="94"/>
        <v>17.249989966953308</v>
      </c>
      <c r="R136" s="52">
        <v>762.61479999999995</v>
      </c>
      <c r="S136" s="52">
        <v>785.60820000000001</v>
      </c>
      <c r="T136" s="52">
        <v>21260</v>
      </c>
      <c r="U136" s="52">
        <v>9480831</v>
      </c>
      <c r="V136" s="52">
        <v>9492630</v>
      </c>
    </row>
    <row r="137" spans="1:22" ht="14.25">
      <c r="A137" s="43">
        <v>115</v>
      </c>
      <c r="B137" s="44" t="s">
        <v>169</v>
      </c>
      <c r="C137" s="44" t="s">
        <v>108</v>
      </c>
      <c r="D137" s="52">
        <v>1595841389.23</v>
      </c>
      <c r="E137" s="76">
        <v>13308284.09</v>
      </c>
      <c r="F137" s="76">
        <v>66241912.799999997</v>
      </c>
      <c r="G137" s="76">
        <v>5076615.82</v>
      </c>
      <c r="H137" s="45">
        <f t="shared" si="82"/>
        <v>74473581.069999993</v>
      </c>
      <c r="I137" s="30">
        <v>1446128229.53</v>
      </c>
      <c r="J137" s="47">
        <f t="shared" si="88"/>
        <v>3.0359727343954233E-2</v>
      </c>
      <c r="K137" s="51">
        <v>1519922570.5999999</v>
      </c>
      <c r="L137" s="47">
        <f t="shared" si="89"/>
        <v>3.1177610479450866E-2</v>
      </c>
      <c r="M137" s="47">
        <f t="shared" si="90"/>
        <v>5.1028905710514702E-2</v>
      </c>
      <c r="N137" s="48">
        <f t="shared" si="91"/>
        <v>3.3400489723604612E-3</v>
      </c>
      <c r="O137" s="49">
        <f t="shared" si="92"/>
        <v>4.8998273011105452E-2</v>
      </c>
      <c r="P137" s="50">
        <f t="shared" si="93"/>
        <v>3.6201226179711163</v>
      </c>
      <c r="Q137" s="50">
        <f t="shared" si="94"/>
        <v>0.17737975636902656</v>
      </c>
      <c r="R137" s="52">
        <v>3.5838000000000001</v>
      </c>
      <c r="S137" s="52">
        <v>3.4962</v>
      </c>
      <c r="T137" s="52">
        <v>2751</v>
      </c>
      <c r="U137" s="52">
        <v>420053891.98000002</v>
      </c>
      <c r="V137" s="52">
        <v>419853891.98000002</v>
      </c>
    </row>
    <row r="138" spans="1:22" ht="14.25">
      <c r="A138" s="43">
        <v>116</v>
      </c>
      <c r="B138" s="44" t="s">
        <v>170</v>
      </c>
      <c r="C138" s="44" t="s">
        <v>61</v>
      </c>
      <c r="D138" s="84">
        <v>3306156520.8899999</v>
      </c>
      <c r="E138" s="84">
        <v>68369308.829999998</v>
      </c>
      <c r="F138" s="84">
        <v>611722826.22000003</v>
      </c>
      <c r="G138" s="52">
        <v>8688004.9299999997</v>
      </c>
      <c r="H138" s="45">
        <f t="shared" si="82"/>
        <v>671404130.12000012</v>
      </c>
      <c r="I138" s="30">
        <v>3104953599.0599999</v>
      </c>
      <c r="J138" s="47">
        <f t="shared" si="88"/>
        <v>6.5184775981952742E-2</v>
      </c>
      <c r="K138" s="51">
        <v>3283559002.46</v>
      </c>
      <c r="L138" s="47">
        <f t="shared" si="89"/>
        <v>6.7354433406814587E-2</v>
      </c>
      <c r="M138" s="47">
        <f t="shared" si="90"/>
        <v>5.7522728666242057E-2</v>
      </c>
      <c r="N138" s="48">
        <f t="shared" si="91"/>
        <v>2.6459110140829079E-3</v>
      </c>
      <c r="O138" s="49">
        <f t="shared" si="92"/>
        <v>0.20447451366550526</v>
      </c>
      <c r="P138" s="50">
        <f t="shared" si="93"/>
        <v>6178.5977679433381</v>
      </c>
      <c r="Q138" s="50">
        <f t="shared" si="94"/>
        <v>1263.3657737349904</v>
      </c>
      <c r="R138" s="52">
        <v>6178.6</v>
      </c>
      <c r="S138" s="52">
        <v>6221.46</v>
      </c>
      <c r="T138" s="52">
        <v>870</v>
      </c>
      <c r="U138" s="52">
        <v>536452.31999999995</v>
      </c>
      <c r="V138" s="52">
        <v>531440.81000000006</v>
      </c>
    </row>
    <row r="139" spans="1:22" ht="14.1" customHeight="1">
      <c r="A139" s="43">
        <v>117</v>
      </c>
      <c r="B139" s="44" t="s">
        <v>171</v>
      </c>
      <c r="C139" s="53" t="s">
        <v>63</v>
      </c>
      <c r="D139" s="84">
        <v>568680172.33000004</v>
      </c>
      <c r="E139" s="84">
        <v>5145672.49</v>
      </c>
      <c r="F139" s="84">
        <v>12500965.550000001</v>
      </c>
      <c r="G139" s="52">
        <v>1235674.82</v>
      </c>
      <c r="H139" s="45">
        <f t="shared" si="82"/>
        <v>16410963.219999999</v>
      </c>
      <c r="I139" s="30">
        <v>624896345.77999997</v>
      </c>
      <c r="J139" s="47">
        <f t="shared" si="88"/>
        <v>1.3118949128238822E-2</v>
      </c>
      <c r="K139" s="51">
        <v>653093906.05999994</v>
      </c>
      <c r="L139" s="47">
        <f t="shared" si="89"/>
        <v>1.3396674148738873E-2</v>
      </c>
      <c r="M139" s="47">
        <f t="shared" si="90"/>
        <v>4.5123580047189395E-2</v>
      </c>
      <c r="N139" s="48">
        <f t="shared" si="91"/>
        <v>1.8920323839103136E-3</v>
      </c>
      <c r="O139" s="49">
        <f t="shared" si="92"/>
        <v>2.5128029932179951E-2</v>
      </c>
      <c r="P139" s="50">
        <f t="shared" si="93"/>
        <v>164.73579498311636</v>
      </c>
      <c r="Q139" s="50">
        <f t="shared" si="94"/>
        <v>4.1394859872372072</v>
      </c>
      <c r="R139" s="52">
        <v>162.16999999999999</v>
      </c>
      <c r="S139" s="52">
        <v>163.28</v>
      </c>
      <c r="T139" s="52">
        <v>672</v>
      </c>
      <c r="U139" s="52">
        <v>3264236</v>
      </c>
      <c r="V139" s="52">
        <v>3964493</v>
      </c>
    </row>
    <row r="140" spans="1:22" ht="15" customHeight="1">
      <c r="A140" s="43">
        <v>118</v>
      </c>
      <c r="B140" s="44" t="s">
        <v>172</v>
      </c>
      <c r="C140" s="53" t="s">
        <v>65</v>
      </c>
      <c r="D140" s="84">
        <v>248331135.28999999</v>
      </c>
      <c r="E140" s="84">
        <v>1956454.75</v>
      </c>
      <c r="F140" s="84"/>
      <c r="G140" s="52">
        <v>691169.45</v>
      </c>
      <c r="H140" s="45">
        <v>3676035.92</v>
      </c>
      <c r="I140" s="26">
        <v>331444396.5</v>
      </c>
      <c r="J140" s="47">
        <f t="shared" si="88"/>
        <v>6.9582774901585653E-3</v>
      </c>
      <c r="K140" s="52">
        <v>331444396.5</v>
      </c>
      <c r="L140" s="47">
        <f t="shared" si="89"/>
        <v>6.7987965239534476E-3</v>
      </c>
      <c r="M140" s="47">
        <f t="shared" si="90"/>
        <v>0</v>
      </c>
      <c r="N140" s="48">
        <f t="shared" si="91"/>
        <v>2.0853254944076267E-3</v>
      </c>
      <c r="O140" s="49">
        <f t="shared" si="92"/>
        <v>1.1090958117917675E-2</v>
      </c>
      <c r="P140" s="50">
        <f t="shared" si="93"/>
        <v>137.41595449214111</v>
      </c>
      <c r="Q140" s="50">
        <f t="shared" si="94"/>
        <v>1.5240745960060182</v>
      </c>
      <c r="R140" s="52">
        <v>141.68</v>
      </c>
      <c r="S140" s="52">
        <v>142.58000000000001</v>
      </c>
      <c r="T140" s="52">
        <f>549+27+3</f>
        <v>579</v>
      </c>
      <c r="U140" s="52">
        <v>2411979</v>
      </c>
      <c r="V140" s="52">
        <v>2411979</v>
      </c>
    </row>
    <row r="141" spans="1:22" ht="14.25">
      <c r="A141" s="43">
        <v>119</v>
      </c>
      <c r="B141" s="44" t="s">
        <v>173</v>
      </c>
      <c r="C141" s="53" t="s">
        <v>67</v>
      </c>
      <c r="D141" s="82">
        <v>180105194.80000001</v>
      </c>
      <c r="E141" s="82">
        <v>2695410.15</v>
      </c>
      <c r="F141" s="82">
        <v>3122342.57</v>
      </c>
      <c r="G141" s="76">
        <v>481252.55</v>
      </c>
      <c r="H141" s="45">
        <f t="shared" si="82"/>
        <v>5336500.17</v>
      </c>
      <c r="I141" s="33">
        <v>181514380.28</v>
      </c>
      <c r="J141" s="47">
        <f t="shared" si="88"/>
        <v>3.8106766618466754E-3</v>
      </c>
      <c r="K141" s="57">
        <v>185480586.59</v>
      </c>
      <c r="L141" s="47">
        <f t="shared" si="89"/>
        <v>3.8046947864720905E-3</v>
      </c>
      <c r="M141" s="47">
        <f t="shared" si="90"/>
        <v>2.185064513280888E-2</v>
      </c>
      <c r="N141" s="48">
        <f t="shared" si="91"/>
        <v>2.5946249084482149E-3</v>
      </c>
      <c r="O141" s="49">
        <f t="shared" si="92"/>
        <v>2.8771206022742392E-2</v>
      </c>
      <c r="P141" s="50">
        <f t="shared" si="93"/>
        <v>1.4478734029631011</v>
      </c>
      <c r="Q141" s="50">
        <f t="shared" si="94"/>
        <v>4.1657063971500492E-2</v>
      </c>
      <c r="R141" s="52">
        <v>1.4416</v>
      </c>
      <c r="S141" s="76">
        <v>1.4536</v>
      </c>
      <c r="T141" s="52">
        <v>309</v>
      </c>
      <c r="U141" s="82">
        <v>118925093.63</v>
      </c>
      <c r="V141" s="82">
        <v>128105527.88</v>
      </c>
    </row>
    <row r="142" spans="1:22" ht="14.25">
      <c r="A142" s="43">
        <v>120</v>
      </c>
      <c r="B142" s="77" t="s">
        <v>244</v>
      </c>
      <c r="C142" s="78" t="s">
        <v>47</v>
      </c>
      <c r="D142" s="84">
        <f>126239537.6+3185438.88</f>
        <v>129424976.47999999</v>
      </c>
      <c r="E142" s="84">
        <v>2841023.07</v>
      </c>
      <c r="F142" s="84"/>
      <c r="G142" s="52">
        <v>2793005.45</v>
      </c>
      <c r="H142" s="45">
        <f>(E142+F142)-G142</f>
        <v>48017.619999999646</v>
      </c>
      <c r="I142" s="30">
        <v>127980067.02</v>
      </c>
      <c r="J142" s="47">
        <f t="shared" si="88"/>
        <v>2.6867879769216451E-3</v>
      </c>
      <c r="K142" s="51">
        <v>137295130.58000001</v>
      </c>
      <c r="L142" s="47">
        <f t="shared" si="89"/>
        <v>2.816284319180031E-3</v>
      </c>
      <c r="M142" s="47">
        <f t="shared" si="90"/>
        <v>7.2785268650815069E-2</v>
      </c>
      <c r="N142" s="48">
        <f t="shared" si="91"/>
        <v>2.0343077268662153E-2</v>
      </c>
      <c r="O142" s="49">
        <f t="shared" si="92"/>
        <v>3.4974015318059974E-4</v>
      </c>
      <c r="P142" s="50">
        <f t="shared" si="93"/>
        <v>151.81072732644344</v>
      </c>
      <c r="Q142" s="50">
        <f t="shared" si="94"/>
        <v>5.3094307029608587E-2</v>
      </c>
      <c r="R142" s="52">
        <v>152.92519999999999</v>
      </c>
      <c r="S142" s="52">
        <v>153.43700000000001</v>
      </c>
      <c r="T142" s="52">
        <v>107</v>
      </c>
      <c r="U142" s="52">
        <v>905073.01</v>
      </c>
      <c r="V142" s="52">
        <v>904383.59</v>
      </c>
    </row>
    <row r="143" spans="1:22" ht="14.25">
      <c r="A143" s="43">
        <v>121</v>
      </c>
      <c r="B143" s="77" t="s">
        <v>174</v>
      </c>
      <c r="C143" s="78" t="s">
        <v>175</v>
      </c>
      <c r="D143" s="84">
        <v>155335650.94</v>
      </c>
      <c r="E143" s="84">
        <v>1680433.84</v>
      </c>
      <c r="F143" s="84"/>
      <c r="G143" s="52">
        <v>587282.92000000004</v>
      </c>
      <c r="H143" s="45">
        <f t="shared" si="82"/>
        <v>1093150.92</v>
      </c>
      <c r="I143" s="30">
        <v>198575712.13</v>
      </c>
      <c r="J143" s="47">
        <f t="shared" si="88"/>
        <v>4.1688588565605336E-3</v>
      </c>
      <c r="K143" s="51">
        <v>203413196.44</v>
      </c>
      <c r="L143" s="47">
        <f t="shared" si="89"/>
        <v>4.1725397909465993E-3</v>
      </c>
      <c r="M143" s="47">
        <f t="shared" si="90"/>
        <v>2.436090626648784E-2</v>
      </c>
      <c r="N143" s="48">
        <f t="shared" si="91"/>
        <v>2.8871426745079865E-3</v>
      </c>
      <c r="O143" s="49">
        <f t="shared" si="92"/>
        <v>5.3740413067174938E-3</v>
      </c>
      <c r="P143" s="50">
        <f t="shared" si="93"/>
        <v>114.57471343535116</v>
      </c>
      <c r="Q143" s="50">
        <f t="shared" si="94"/>
        <v>0.615729242706897</v>
      </c>
      <c r="R143" s="52">
        <v>113.55</v>
      </c>
      <c r="S143" s="52">
        <v>114.57</v>
      </c>
      <c r="T143" s="52">
        <v>53</v>
      </c>
      <c r="U143" s="82">
        <v>1774361</v>
      </c>
      <c r="V143" s="52">
        <v>1775376</v>
      </c>
    </row>
    <row r="144" spans="1:22" ht="14.25">
      <c r="A144" s="43">
        <v>122</v>
      </c>
      <c r="B144" s="44" t="s">
        <v>176</v>
      </c>
      <c r="C144" s="53" t="s">
        <v>72</v>
      </c>
      <c r="D144" s="82">
        <v>261931465.84</v>
      </c>
      <c r="E144" s="84">
        <v>2925132</v>
      </c>
      <c r="F144" s="84">
        <v>8255878</v>
      </c>
      <c r="G144" s="52">
        <v>922067</v>
      </c>
      <c r="H144" s="45">
        <f t="shared" si="82"/>
        <v>10258943</v>
      </c>
      <c r="I144" s="104">
        <v>334940496.5</v>
      </c>
      <c r="J144" s="47">
        <f t="shared" si="88"/>
        <v>7.0316739155929092E-3</v>
      </c>
      <c r="K144" s="55">
        <v>330834217</v>
      </c>
      <c r="L144" s="47">
        <f t="shared" si="89"/>
        <v>6.7862801371706416E-3</v>
      </c>
      <c r="M144" s="47">
        <f t="shared" si="90"/>
        <v>-1.225972834849488E-2</v>
      </c>
      <c r="N144" s="48">
        <f t="shared" si="91"/>
        <v>2.7870968376889505E-3</v>
      </c>
      <c r="O144" s="49">
        <f t="shared" si="92"/>
        <v>3.100931666932142E-2</v>
      </c>
      <c r="P144" s="50">
        <f t="shared" si="93"/>
        <v>1.3867194391283519</v>
      </c>
      <c r="Q144" s="50">
        <f t="shared" si="94"/>
        <v>4.3001222219434851E-2</v>
      </c>
      <c r="R144" s="52">
        <v>1.2639</v>
      </c>
      <c r="S144" s="52">
        <v>1.2790999999999999</v>
      </c>
      <c r="T144" s="52">
        <v>107</v>
      </c>
      <c r="U144" s="52">
        <v>238573288.63</v>
      </c>
      <c r="V144" s="52">
        <v>238573288.63</v>
      </c>
    </row>
    <row r="145" spans="1:22" ht="14.25" customHeight="1">
      <c r="A145" s="43">
        <v>123</v>
      </c>
      <c r="B145" s="53" t="s">
        <v>177</v>
      </c>
      <c r="C145" s="53" t="s">
        <v>76</v>
      </c>
      <c r="D145" s="76">
        <v>8304888609.1999998</v>
      </c>
      <c r="E145" s="84">
        <v>61388390.039999999</v>
      </c>
      <c r="F145" s="84">
        <v>-37563511.5</v>
      </c>
      <c r="G145" s="76">
        <v>13699816.9</v>
      </c>
      <c r="H145" s="45">
        <f t="shared" si="82"/>
        <v>10125061.639999999</v>
      </c>
      <c r="I145" s="30">
        <v>8031548860.1400003</v>
      </c>
      <c r="J145" s="47">
        <f t="shared" si="88"/>
        <v>0.1686127333415964</v>
      </c>
      <c r="K145" s="51">
        <v>8235828124.9300003</v>
      </c>
      <c r="L145" s="47">
        <f t="shared" si="89"/>
        <v>0.16893850135629651</v>
      </c>
      <c r="M145" s="47">
        <f t="shared" si="90"/>
        <v>2.5434604003198344E-2</v>
      </c>
      <c r="N145" s="48">
        <f t="shared" si="91"/>
        <v>1.6634413312403165E-3</v>
      </c>
      <c r="O145" s="49">
        <f t="shared" si="92"/>
        <v>1.2293920521909939E-3</v>
      </c>
      <c r="P145" s="50">
        <f t="shared" si="93"/>
        <v>302.16074850440884</v>
      </c>
      <c r="Q145" s="50">
        <f t="shared" si="94"/>
        <v>0.37147402269540197</v>
      </c>
      <c r="R145" s="52">
        <v>302.16000000000003</v>
      </c>
      <c r="S145" s="52">
        <v>303.93</v>
      </c>
      <c r="T145" s="52">
        <v>5494</v>
      </c>
      <c r="U145" s="52">
        <v>27274317</v>
      </c>
      <c r="V145" s="52">
        <v>27256446</v>
      </c>
    </row>
    <row r="146" spans="1:22" ht="13.5" customHeight="1">
      <c r="A146" s="43">
        <v>124</v>
      </c>
      <c r="B146" s="74" t="s">
        <v>178</v>
      </c>
      <c r="C146" s="44" t="s">
        <v>78</v>
      </c>
      <c r="D146" s="84">
        <v>2759851118.0300002</v>
      </c>
      <c r="E146" s="84">
        <v>49942223.079999998</v>
      </c>
      <c r="F146" s="84">
        <v>72131103.780000001</v>
      </c>
      <c r="G146" s="52">
        <v>8483683.4900000002</v>
      </c>
      <c r="H146" s="45">
        <f t="shared" si="82"/>
        <v>113589643.37</v>
      </c>
      <c r="I146" s="30">
        <v>2643778371.2399998</v>
      </c>
      <c r="J146" s="47">
        <f t="shared" si="88"/>
        <v>5.5502955318683045E-2</v>
      </c>
      <c r="K146" s="51">
        <v>2648373507.2800002</v>
      </c>
      <c r="L146" s="47">
        <f t="shared" si="89"/>
        <v>5.4325107878013756E-2</v>
      </c>
      <c r="M146" s="47">
        <f t="shared" si="90"/>
        <v>1.7380942706801865E-3</v>
      </c>
      <c r="N146" s="48">
        <f t="shared" si="91"/>
        <v>3.2033561227974706E-3</v>
      </c>
      <c r="O146" s="49">
        <f t="shared" si="92"/>
        <v>4.2890341206690941E-2</v>
      </c>
      <c r="P146" s="50">
        <f t="shared" si="93"/>
        <v>1.8709099639627862</v>
      </c>
      <c r="Q146" s="50">
        <f t="shared" si="94"/>
        <v>8.0243966721361762E-2</v>
      </c>
      <c r="R146" s="52">
        <v>1.8551</v>
      </c>
      <c r="S146" s="52">
        <v>1.8849</v>
      </c>
      <c r="T146" s="52">
        <v>10303</v>
      </c>
      <c r="U146" s="52">
        <v>1415488711.3699999</v>
      </c>
      <c r="V146" s="52">
        <v>1415553692.21</v>
      </c>
    </row>
    <row r="147" spans="1:22" ht="14.25">
      <c r="A147" s="43">
        <v>125</v>
      </c>
      <c r="B147" s="44" t="s">
        <v>179</v>
      </c>
      <c r="C147" s="53" t="s">
        <v>80</v>
      </c>
      <c r="D147" s="52">
        <v>155092399.38999999</v>
      </c>
      <c r="E147" s="84">
        <v>7499815.4500000002</v>
      </c>
      <c r="F147" s="84"/>
      <c r="G147" s="52">
        <v>474966.13</v>
      </c>
      <c r="H147" s="45">
        <f t="shared" si="82"/>
        <v>7024849.3200000003</v>
      </c>
      <c r="I147" s="30">
        <v>185349195.21000001</v>
      </c>
      <c r="J147" s="47">
        <f t="shared" si="88"/>
        <v>3.8911840008999787E-3</v>
      </c>
      <c r="K147" s="51">
        <v>190938532.12</v>
      </c>
      <c r="L147" s="47">
        <f t="shared" si="89"/>
        <v>3.9166516078549237E-3</v>
      </c>
      <c r="M147" s="47">
        <f t="shared" si="90"/>
        <v>3.0155711783195479E-2</v>
      </c>
      <c r="N147" s="48">
        <f t="shared" si="91"/>
        <v>2.4875342065659952E-3</v>
      </c>
      <c r="O147" s="49">
        <f t="shared" si="92"/>
        <v>3.6791155991421687E-2</v>
      </c>
      <c r="P147" s="50">
        <f t="shared" si="93"/>
        <v>248.43831898164021</v>
      </c>
      <c r="Q147" s="50">
        <f t="shared" si="94"/>
        <v>9.1403329479001041</v>
      </c>
      <c r="R147" s="52">
        <v>248.44</v>
      </c>
      <c r="S147" s="52">
        <v>249.06</v>
      </c>
      <c r="T147" s="52">
        <v>39</v>
      </c>
      <c r="U147" s="45">
        <v>768555.08</v>
      </c>
      <c r="V147" s="45">
        <v>768555.08</v>
      </c>
    </row>
    <row r="148" spans="1:22" ht="14.25">
      <c r="A148" s="43">
        <v>126</v>
      </c>
      <c r="B148" s="53" t="s">
        <v>180</v>
      </c>
      <c r="C148" s="53" t="s">
        <v>35</v>
      </c>
      <c r="D148" s="76">
        <v>2725109932.29</v>
      </c>
      <c r="E148" s="76">
        <v>66377938.119999997</v>
      </c>
      <c r="F148" s="76">
        <v>96208645.150000006</v>
      </c>
      <c r="G148" s="76">
        <v>6029144.8399999999</v>
      </c>
      <c r="H148" s="45">
        <f t="shared" si="82"/>
        <v>156557438.43000001</v>
      </c>
      <c r="I148" s="104">
        <v>2435530090.9499998</v>
      </c>
      <c r="J148" s="47">
        <f t="shared" si="88"/>
        <v>5.1131032497214741E-2</v>
      </c>
      <c r="K148" s="55">
        <v>2636807040.6700001</v>
      </c>
      <c r="L148" s="47">
        <f t="shared" si="89"/>
        <v>5.408784921920734E-2</v>
      </c>
      <c r="M148" s="47">
        <f t="shared" si="90"/>
        <v>8.2641947421594142E-2</v>
      </c>
      <c r="N148" s="48">
        <f t="shared" si="91"/>
        <v>2.2865324413226776E-3</v>
      </c>
      <c r="O148" s="49">
        <f t="shared" si="92"/>
        <v>5.937386999323982E-2</v>
      </c>
      <c r="P148" s="50">
        <f t="shared" si="93"/>
        <v>3.7074996099993744</v>
      </c>
      <c r="Q148" s="50">
        <f t="shared" si="94"/>
        <v>0.22012859984409019</v>
      </c>
      <c r="R148" s="52">
        <v>3.65</v>
      </c>
      <c r="S148" s="52">
        <v>3.75</v>
      </c>
      <c r="T148" s="52">
        <v>2573</v>
      </c>
      <c r="U148" s="76">
        <v>715070446.45000005</v>
      </c>
      <c r="V148" s="76">
        <v>711208986.65999997</v>
      </c>
    </row>
    <row r="149" spans="1:22" ht="14.25">
      <c r="A149" s="43">
        <v>127</v>
      </c>
      <c r="B149" s="53" t="s">
        <v>181</v>
      </c>
      <c r="C149" s="53" t="s">
        <v>119</v>
      </c>
      <c r="D149" s="84">
        <v>232735836.38</v>
      </c>
      <c r="E149" s="84">
        <v>5273299.79</v>
      </c>
      <c r="F149" s="84">
        <v>7365319.3700000001</v>
      </c>
      <c r="G149" s="100">
        <v>1257529.6100000001</v>
      </c>
      <c r="H149" s="45">
        <f t="shared" si="82"/>
        <v>11381089.550000001</v>
      </c>
      <c r="I149" s="30">
        <v>210843136.75999999</v>
      </c>
      <c r="J149" s="47">
        <f t="shared" si="88"/>
        <v>4.4263987201591803E-3</v>
      </c>
      <c r="K149" s="51">
        <v>228647519.49000001</v>
      </c>
      <c r="L149" s="47">
        <f t="shared" si="89"/>
        <v>4.6901621422318724E-3</v>
      </c>
      <c r="M149" s="47">
        <f t="shared" si="90"/>
        <v>8.4443738618186645E-2</v>
      </c>
      <c r="N149" s="48">
        <f t="shared" si="91"/>
        <v>5.499861152243983E-3</v>
      </c>
      <c r="O149" s="49">
        <f t="shared" si="92"/>
        <v>4.9775696562926228E-2</v>
      </c>
      <c r="P149" s="50">
        <f t="shared" si="93"/>
        <v>197.04117511512814</v>
      </c>
      <c r="Q149" s="50">
        <f t="shared" si="94"/>
        <v>9.8078617429330297</v>
      </c>
      <c r="R149" s="52">
        <v>183.64429999999999</v>
      </c>
      <c r="S149" s="52">
        <v>190.3655</v>
      </c>
      <c r="T149" s="52">
        <v>139</v>
      </c>
      <c r="U149" s="103">
        <v>1177922.3799999999</v>
      </c>
      <c r="V149" s="103">
        <v>1160404.77</v>
      </c>
    </row>
    <row r="150" spans="1:22" ht="14.25">
      <c r="A150" s="43">
        <v>128</v>
      </c>
      <c r="B150" s="44" t="s">
        <v>182</v>
      </c>
      <c r="C150" s="53" t="s">
        <v>31</v>
      </c>
      <c r="D150" s="84">
        <v>1684208871.8199999</v>
      </c>
      <c r="E150" s="82">
        <v>12118927.710000001</v>
      </c>
      <c r="F150" s="82">
        <v>-12938015.300000001</v>
      </c>
      <c r="G150" s="52">
        <v>3719585.8</v>
      </c>
      <c r="H150" s="45">
        <f t="shared" si="82"/>
        <v>-4538673.3899999997</v>
      </c>
      <c r="I150" s="104">
        <v>1630837318.4300001</v>
      </c>
      <c r="J150" s="47">
        <f t="shared" si="88"/>
        <v>3.4237473080773677E-2</v>
      </c>
      <c r="K150" s="55">
        <v>1657441016.0799999</v>
      </c>
      <c r="L150" s="47">
        <f t="shared" si="89"/>
        <v>3.399847557471853E-2</v>
      </c>
      <c r="M150" s="47">
        <f t="shared" si="90"/>
        <v>1.6312907087269207E-2</v>
      </c>
      <c r="N150" s="48">
        <f t="shared" si="91"/>
        <v>2.2441738583235749E-3</v>
      </c>
      <c r="O150" s="49">
        <f t="shared" si="92"/>
        <v>-2.7383619362421588E-3</v>
      </c>
      <c r="P150" s="50">
        <f t="shared" si="93"/>
        <v>2221.9197212681815</v>
      </c>
      <c r="Q150" s="50">
        <f t="shared" si="94"/>
        <v>-6.0844203901065752</v>
      </c>
      <c r="R150" s="52">
        <v>552.20000000000005</v>
      </c>
      <c r="S150" s="52">
        <v>552.20000000000005</v>
      </c>
      <c r="T150" s="52">
        <v>830</v>
      </c>
      <c r="U150" s="82">
        <v>745950</v>
      </c>
      <c r="V150" s="52">
        <v>745950</v>
      </c>
    </row>
    <row r="151" spans="1:22" ht="14.25">
      <c r="A151" s="43">
        <v>129</v>
      </c>
      <c r="B151" s="44" t="s">
        <v>183</v>
      </c>
      <c r="C151" s="53" t="s">
        <v>87</v>
      </c>
      <c r="D151" s="76">
        <v>25505721.199999999</v>
      </c>
      <c r="E151" s="84">
        <v>462524.85</v>
      </c>
      <c r="F151" s="84">
        <v>1039136.5</v>
      </c>
      <c r="G151" s="52">
        <v>9711.9</v>
      </c>
      <c r="H151" s="45">
        <f t="shared" si="82"/>
        <v>1491949.4500000002</v>
      </c>
      <c r="I151" s="30">
        <v>24073412.34</v>
      </c>
      <c r="J151" s="47">
        <f t="shared" si="88"/>
        <v>5.0539241262064134E-4</v>
      </c>
      <c r="K151" s="51">
        <v>25653655.379999999</v>
      </c>
      <c r="L151" s="47">
        <f t="shared" si="89"/>
        <v>5.2622396053765737E-4</v>
      </c>
      <c r="M151" s="47">
        <f t="shared" si="90"/>
        <v>6.5642669085773611E-2</v>
      </c>
      <c r="N151" s="48">
        <f t="shared" si="91"/>
        <v>3.7857762787175947E-4</v>
      </c>
      <c r="O151" s="49">
        <f t="shared" si="92"/>
        <v>5.8157382560114532E-2</v>
      </c>
      <c r="P151" s="50">
        <f t="shared" si="93"/>
        <v>1.6348529464592303</v>
      </c>
      <c r="Q151" s="50">
        <f t="shared" si="94"/>
        <v>9.5078768236759884E-2</v>
      </c>
      <c r="R151" s="52">
        <v>1.6349</v>
      </c>
      <c r="S151" s="52">
        <v>1.6349</v>
      </c>
      <c r="T151" s="52">
        <v>8</v>
      </c>
      <c r="U151" s="76">
        <v>15637047.189999999</v>
      </c>
      <c r="V151" s="76">
        <v>15691720.43</v>
      </c>
    </row>
    <row r="152" spans="1:22" ht="14.25">
      <c r="A152" s="43">
        <v>130</v>
      </c>
      <c r="B152" s="53" t="s">
        <v>184</v>
      </c>
      <c r="C152" s="53" t="s">
        <v>41</v>
      </c>
      <c r="D152" s="84">
        <v>260340010.55000001</v>
      </c>
      <c r="E152" s="84">
        <v>2374733.59</v>
      </c>
      <c r="F152" s="84">
        <v>78178466.530000001</v>
      </c>
      <c r="G152" s="52">
        <v>393190.76</v>
      </c>
      <c r="H152" s="45">
        <f t="shared" si="82"/>
        <v>80160009.359999999</v>
      </c>
      <c r="I152" s="30">
        <v>236679508.91999999</v>
      </c>
      <c r="J152" s="47">
        <f t="shared" si="88"/>
        <v>4.9688023592814592E-3</v>
      </c>
      <c r="K152" s="51">
        <v>264531243.12</v>
      </c>
      <c r="L152" s="47">
        <f t="shared" si="89"/>
        <v>5.4262317154646494E-3</v>
      </c>
      <c r="M152" s="47">
        <f t="shared" si="90"/>
        <v>0.11767699843172388</v>
      </c>
      <c r="N152" s="48">
        <f t="shared" si="91"/>
        <v>1.4863679441510652E-3</v>
      </c>
      <c r="O152" s="49">
        <f t="shared" si="92"/>
        <v>0.30302662329998126</v>
      </c>
      <c r="P152" s="50">
        <f t="shared" si="93"/>
        <v>2.6815622754016513</v>
      </c>
      <c r="Q152" s="50">
        <f t="shared" si="94"/>
        <v>0.81258476148357672</v>
      </c>
      <c r="R152" s="52">
        <v>2.65</v>
      </c>
      <c r="S152" s="52">
        <v>2.69</v>
      </c>
      <c r="T152" s="52">
        <v>117</v>
      </c>
      <c r="U152" s="52">
        <v>98636236.900000006</v>
      </c>
      <c r="V152" s="52">
        <v>98648181.900000006</v>
      </c>
    </row>
    <row r="153" spans="1:22" ht="14.25">
      <c r="A153" s="43">
        <v>131</v>
      </c>
      <c r="B153" s="44" t="s">
        <v>185</v>
      </c>
      <c r="C153" s="44" t="s">
        <v>45</v>
      </c>
      <c r="D153" s="76">
        <v>2595284439.5999999</v>
      </c>
      <c r="E153" s="76">
        <v>23170577.289999999</v>
      </c>
      <c r="F153" s="76">
        <v>119074903.53</v>
      </c>
      <c r="G153" s="76">
        <v>4562419.6500000004</v>
      </c>
      <c r="H153" s="45">
        <f t="shared" si="82"/>
        <v>137683061.16999999</v>
      </c>
      <c r="I153" s="104">
        <v>2609090137.75</v>
      </c>
      <c r="J153" s="47">
        <f t="shared" si="88"/>
        <v>5.4774717469995113E-2</v>
      </c>
      <c r="K153" s="55">
        <v>2631311812.1900001</v>
      </c>
      <c r="L153" s="47">
        <f t="shared" si="89"/>
        <v>5.3975127626437393E-2</v>
      </c>
      <c r="M153" s="47">
        <f t="shared" si="90"/>
        <v>8.517020595985754E-3</v>
      </c>
      <c r="N153" s="48">
        <f t="shared" si="91"/>
        <v>1.7338954771015029E-3</v>
      </c>
      <c r="O153" s="49">
        <f t="shared" si="92"/>
        <v>5.2324874814212351E-2</v>
      </c>
      <c r="P153" s="50">
        <f t="shared" si="93"/>
        <v>5411.483024095809</v>
      </c>
      <c r="Q153" s="50">
        <f t="shared" si="94"/>
        <v>283.15517179504849</v>
      </c>
      <c r="R153" s="76">
        <v>5379.17</v>
      </c>
      <c r="S153" s="76">
        <v>5433.63</v>
      </c>
      <c r="T153" s="76">
        <v>2238</v>
      </c>
      <c r="U153" s="76">
        <v>507196.71</v>
      </c>
      <c r="V153" s="76">
        <v>486245.97</v>
      </c>
    </row>
    <row r="154" spans="1:22" ht="14.25">
      <c r="A154" s="43">
        <v>132</v>
      </c>
      <c r="B154" s="77" t="s">
        <v>245</v>
      </c>
      <c r="C154" s="77" t="s">
        <v>246</v>
      </c>
      <c r="D154" s="76">
        <v>651119731.30999994</v>
      </c>
      <c r="E154" s="76">
        <v>12338101.6</v>
      </c>
      <c r="F154" s="76"/>
      <c r="G154" s="76">
        <v>2181618.84</v>
      </c>
      <c r="H154" s="45">
        <f t="shared" si="82"/>
        <v>10156482.76</v>
      </c>
      <c r="I154" s="26">
        <v>634817463.11000001</v>
      </c>
      <c r="J154" s="47">
        <f t="shared" si="88"/>
        <v>1.3327231084800913E-2</v>
      </c>
      <c r="K154" s="55">
        <v>646546486.76999998</v>
      </c>
      <c r="L154" s="47">
        <f t="shared" si="89"/>
        <v>1.3262369354390909E-2</v>
      </c>
      <c r="M154" s="47">
        <f t="shared" si="90"/>
        <v>1.8476214568104252E-2</v>
      </c>
      <c r="N154" s="48">
        <f t="shared" si="91"/>
        <v>3.3742644723024854E-3</v>
      </c>
      <c r="O154" s="49">
        <f t="shared" si="92"/>
        <v>1.5708820584177156E-2</v>
      </c>
      <c r="P154" s="50">
        <f t="shared" si="93"/>
        <v>1.2388475105206278</v>
      </c>
      <c r="Q154" s="50">
        <f t="shared" si="94"/>
        <v>1.9460833273923065E-2</v>
      </c>
      <c r="R154" s="76">
        <v>1.2390000000000001</v>
      </c>
      <c r="S154" s="76">
        <v>1.2390000000000001</v>
      </c>
      <c r="T154" s="76">
        <v>38</v>
      </c>
      <c r="U154" s="76">
        <v>520693519</v>
      </c>
      <c r="V154" s="76">
        <v>521893519</v>
      </c>
    </row>
    <row r="155" spans="1:22" ht="14.25">
      <c r="A155" s="43">
        <v>133</v>
      </c>
      <c r="B155" s="44" t="s">
        <v>186</v>
      </c>
      <c r="C155" s="44" t="s">
        <v>49</v>
      </c>
      <c r="D155" s="84">
        <v>1145036426</v>
      </c>
      <c r="E155" s="84">
        <v>52789036</v>
      </c>
      <c r="F155" s="84">
        <v>55745455</v>
      </c>
      <c r="G155" s="84">
        <v>2900258</v>
      </c>
      <c r="H155" s="45">
        <f t="shared" si="82"/>
        <v>105634233</v>
      </c>
      <c r="I155" s="30">
        <v>1665274413.8399999</v>
      </c>
      <c r="J155" s="47">
        <f t="shared" si="88"/>
        <v>3.4960438586747598E-2</v>
      </c>
      <c r="K155" s="51">
        <v>1685047064.04</v>
      </c>
      <c r="L155" s="47">
        <f t="shared" si="89"/>
        <v>3.4564748243354641E-2</v>
      </c>
      <c r="M155" s="47">
        <f t="shared" si="90"/>
        <v>1.187350867560967E-2</v>
      </c>
      <c r="N155" s="48">
        <f t="shared" si="91"/>
        <v>1.7211732905824363E-3</v>
      </c>
      <c r="O155" s="49">
        <f t="shared" si="92"/>
        <v>6.2689188482804553E-2</v>
      </c>
      <c r="P155" s="50">
        <f t="shared" si="93"/>
        <v>1.9040541611960631</v>
      </c>
      <c r="Q155" s="50">
        <f t="shared" si="94"/>
        <v>0.11936361019268833</v>
      </c>
      <c r="R155" s="52">
        <v>1.9</v>
      </c>
      <c r="S155" s="52">
        <v>1.91</v>
      </c>
      <c r="T155" s="52">
        <v>1403</v>
      </c>
      <c r="U155" s="52">
        <v>895216464</v>
      </c>
      <c r="V155" s="52">
        <v>884978536</v>
      </c>
    </row>
    <row r="156" spans="1:22" ht="14.25">
      <c r="A156" s="43">
        <v>134</v>
      </c>
      <c r="B156" s="85" t="s">
        <v>187</v>
      </c>
      <c r="C156" s="44" t="s">
        <v>94</v>
      </c>
      <c r="D156" s="52">
        <v>7062349464.9399996</v>
      </c>
      <c r="E156" s="82">
        <v>222185051.69</v>
      </c>
      <c r="F156" s="82">
        <v>483561561.81</v>
      </c>
      <c r="G156" s="82">
        <v>11675243.91</v>
      </c>
      <c r="H156" s="45">
        <f t="shared" si="82"/>
        <v>694071369.59000003</v>
      </c>
      <c r="I156" s="33">
        <v>8344897355.8400002</v>
      </c>
      <c r="J156" s="47">
        <f t="shared" si="88"/>
        <v>0.17519110910304742</v>
      </c>
      <c r="K156" s="57">
        <v>8191385240.0500002</v>
      </c>
      <c r="L156" s="47">
        <f t="shared" si="89"/>
        <v>0.16802686086869933</v>
      </c>
      <c r="M156" s="47">
        <f t="shared" si="90"/>
        <v>-1.8395926186266121E-2</v>
      </c>
      <c r="N156" s="48">
        <f t="shared" si="91"/>
        <v>1.4253076333068098E-3</v>
      </c>
      <c r="O156" s="49">
        <f t="shared" si="92"/>
        <v>8.4731867596275254E-2</v>
      </c>
      <c r="P156" s="50">
        <f t="shared" si="93"/>
        <v>448.24372106717999</v>
      </c>
      <c r="Q156" s="50">
        <f t="shared" si="94"/>
        <v>37.980527624326037</v>
      </c>
      <c r="R156" s="52">
        <v>445.21</v>
      </c>
      <c r="S156" s="52">
        <v>449.83</v>
      </c>
      <c r="T156" s="52">
        <v>32</v>
      </c>
      <c r="U156" s="82">
        <v>20280658.670000002</v>
      </c>
      <c r="V156" s="82">
        <v>18274400.41</v>
      </c>
    </row>
    <row r="157" spans="1:22" ht="14.25">
      <c r="A157" s="43">
        <v>135</v>
      </c>
      <c r="B157" s="44" t="s">
        <v>188</v>
      </c>
      <c r="C157" s="44" t="s">
        <v>49</v>
      </c>
      <c r="D157" s="82">
        <v>437166641.19999999</v>
      </c>
      <c r="E157" s="82">
        <v>12263958</v>
      </c>
      <c r="F157" s="82">
        <v>17685754.629999999</v>
      </c>
      <c r="G157" s="52">
        <v>1779250</v>
      </c>
      <c r="H157" s="45">
        <f t="shared" si="82"/>
        <v>28170462.629999999</v>
      </c>
      <c r="I157" s="33">
        <v>1014557371</v>
      </c>
      <c r="J157" s="47">
        <f t="shared" si="88"/>
        <v>2.1299414899306503E-2</v>
      </c>
      <c r="K157" s="57">
        <v>1034904819</v>
      </c>
      <c r="L157" s="47">
        <f t="shared" si="89"/>
        <v>2.1228620427257313E-2</v>
      </c>
      <c r="M157" s="47">
        <f t="shared" si="90"/>
        <v>2.0055492751429628E-2</v>
      </c>
      <c r="N157" s="48">
        <f t="shared" si="91"/>
        <v>1.7192402309221444E-3</v>
      </c>
      <c r="O157" s="49">
        <f t="shared" si="92"/>
        <v>2.7220341535582317E-2</v>
      </c>
      <c r="P157" s="50">
        <f t="shared" si="93"/>
        <v>1.6043795581534157</v>
      </c>
      <c r="Q157" s="50">
        <f t="shared" si="94"/>
        <v>4.3671759525642624E-2</v>
      </c>
      <c r="R157" s="52">
        <v>1.6</v>
      </c>
      <c r="S157" s="52">
        <v>1.59</v>
      </c>
      <c r="T157" s="52">
        <v>209</v>
      </c>
      <c r="U157" s="52">
        <v>646031626</v>
      </c>
      <c r="V157" s="52">
        <v>645049866</v>
      </c>
    </row>
    <row r="158" spans="1:22" ht="14.25">
      <c r="A158" s="43">
        <v>136</v>
      </c>
      <c r="B158" s="44" t="s">
        <v>189</v>
      </c>
      <c r="C158" s="44" t="s">
        <v>43</v>
      </c>
      <c r="D158" s="84">
        <v>433163538.61000001</v>
      </c>
      <c r="E158" s="84">
        <v>3216415.67</v>
      </c>
      <c r="F158" s="84">
        <v>10383160.449999999</v>
      </c>
      <c r="G158" s="52">
        <v>918363.61</v>
      </c>
      <c r="H158" s="45">
        <f t="shared" si="82"/>
        <v>12681212.51</v>
      </c>
      <c r="I158" s="30">
        <v>417633887.69999999</v>
      </c>
      <c r="J158" s="47">
        <f t="shared" si="88"/>
        <v>8.7677224614365144E-3</v>
      </c>
      <c r="K158" s="51">
        <v>431065222.5</v>
      </c>
      <c r="L158" s="47">
        <f t="shared" si="89"/>
        <v>8.8422817440216381E-3</v>
      </c>
      <c r="M158" s="47">
        <f t="shared" si="90"/>
        <v>3.2160548259072733E-2</v>
      </c>
      <c r="N158" s="48">
        <f t="shared" si="91"/>
        <v>2.1304516394847883E-3</v>
      </c>
      <c r="O158" s="49">
        <f t="shared" si="92"/>
        <v>2.9418315020762316E-2</v>
      </c>
      <c r="P158" s="50">
        <f t="shared" si="93"/>
        <v>225.8311910557137</v>
      </c>
      <c r="Q158" s="50">
        <f t="shared" si="94"/>
        <v>6.6435731199909469</v>
      </c>
      <c r="R158" s="52">
        <v>225.83</v>
      </c>
      <c r="S158" s="52">
        <v>227.1</v>
      </c>
      <c r="T158" s="52">
        <v>692</v>
      </c>
      <c r="U158" s="52">
        <v>1910295</v>
      </c>
      <c r="V158" s="52">
        <v>1908794</v>
      </c>
    </row>
    <row r="159" spans="1:22" ht="14.25">
      <c r="A159" s="43">
        <v>137</v>
      </c>
      <c r="B159" s="44" t="s">
        <v>190</v>
      </c>
      <c r="C159" s="44" t="s">
        <v>98</v>
      </c>
      <c r="D159" s="52">
        <v>3466418072.3299999</v>
      </c>
      <c r="E159" s="82">
        <v>19345991.210000001</v>
      </c>
      <c r="F159" s="82">
        <v>193868184.5</v>
      </c>
      <c r="G159" s="52">
        <v>29102708.199999999</v>
      </c>
      <c r="H159" s="45">
        <f t="shared" si="82"/>
        <v>184111467.51000002</v>
      </c>
      <c r="I159" s="104">
        <v>3268899020.7399998</v>
      </c>
      <c r="J159" s="47">
        <f t="shared" si="88"/>
        <v>6.8626613434439279E-2</v>
      </c>
      <c r="K159" s="55">
        <v>3488171505.9099998</v>
      </c>
      <c r="L159" s="47">
        <f t="shared" si="89"/>
        <v>7.1551574139629093E-2</v>
      </c>
      <c r="M159" s="47">
        <f t="shared" si="90"/>
        <v>6.7078390546417704E-2</v>
      </c>
      <c r="N159" s="48">
        <f t="shared" si="91"/>
        <v>8.3432561015682159E-3</v>
      </c>
      <c r="O159" s="49">
        <f t="shared" si="92"/>
        <v>5.2781655717919956E-2</v>
      </c>
      <c r="P159" s="50">
        <f t="shared" si="93"/>
        <v>19.656695986394624</v>
      </c>
      <c r="Q159" s="50">
        <f t="shared" si="94"/>
        <v>1.0375129601057</v>
      </c>
      <c r="R159" s="82">
        <v>19.656700000000001</v>
      </c>
      <c r="S159" s="82">
        <v>19.883099999999999</v>
      </c>
      <c r="T159" s="82">
        <v>6249</v>
      </c>
      <c r="U159" s="52">
        <v>177310560.00999999</v>
      </c>
      <c r="V159" s="52">
        <v>177454619.44999999</v>
      </c>
    </row>
    <row r="160" spans="1:22" ht="15" customHeight="1">
      <c r="A160" s="127" t="s">
        <v>50</v>
      </c>
      <c r="B160" s="127"/>
      <c r="C160" s="127"/>
      <c r="D160" s="127"/>
      <c r="E160" s="127"/>
      <c r="F160" s="127"/>
      <c r="G160" s="127"/>
      <c r="H160" s="127"/>
      <c r="I160" s="66">
        <f>SUM(I134:I159)</f>
        <v>47633109913.879997</v>
      </c>
      <c r="J160" s="113">
        <f>(I160/$I$186)</f>
        <v>1.7773427594999235E-2</v>
      </c>
      <c r="K160" s="66">
        <f>SUM(K134:K159)</f>
        <v>48750450955.880005</v>
      </c>
      <c r="L160" s="113">
        <f>(K160/$K$186)</f>
        <v>1.6839737655156162E-2</v>
      </c>
      <c r="M160" s="64">
        <f t="shared" si="83"/>
        <v>2.3457234768423575E-2</v>
      </c>
      <c r="N160" s="48"/>
      <c r="O160" s="48"/>
      <c r="P160" s="65"/>
      <c r="Q160" s="65"/>
      <c r="R160" s="67"/>
      <c r="S160" s="67"/>
      <c r="T160" s="67">
        <f>SUM(T134:T159)</f>
        <v>69082</v>
      </c>
      <c r="U160" s="67"/>
      <c r="V160" s="86"/>
    </row>
    <row r="161" spans="1:22" ht="6" customHeight="1">
      <c r="A161" s="135"/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</row>
    <row r="162" spans="1:22">
      <c r="A162" s="132" t="s">
        <v>191</v>
      </c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</row>
    <row r="163" spans="1:22" ht="14.25">
      <c r="A163" s="43">
        <v>138</v>
      </c>
      <c r="B163" s="53" t="s">
        <v>192</v>
      </c>
      <c r="C163" s="53" t="s">
        <v>25</v>
      </c>
      <c r="D163" s="52">
        <v>685014224.82000005</v>
      </c>
      <c r="E163" s="52">
        <v>5474589.4800000004</v>
      </c>
      <c r="F163" s="52">
        <v>13445896.960000001</v>
      </c>
      <c r="G163" s="52">
        <v>2432675.3199999998</v>
      </c>
      <c r="H163" s="45">
        <f t="shared" ref="H163:H165" si="95">(E163+F163)-G163</f>
        <v>16487811.120000001</v>
      </c>
      <c r="I163" s="30">
        <v>917667510</v>
      </c>
      <c r="J163" s="47">
        <f>(I163/$I$166)</f>
        <v>0.19777958668279425</v>
      </c>
      <c r="K163" s="51">
        <v>933027864</v>
      </c>
      <c r="L163" s="47">
        <f>(K163/$K$166)</f>
        <v>0.19022279724062482</v>
      </c>
      <c r="M163" s="47">
        <f>((K163-I163)/I163)</f>
        <v>1.6738474265041811E-2</v>
      </c>
      <c r="N163" s="48">
        <f>(G163/K163)</f>
        <v>2.6072911794625675E-3</v>
      </c>
      <c r="O163" s="49">
        <f>H163/K163</f>
        <v>1.7671295527354157E-2</v>
      </c>
      <c r="P163" s="50">
        <f>K163/V163</f>
        <v>64.986041582302263</v>
      </c>
      <c r="Q163" s="50">
        <f>H163/V163</f>
        <v>1.1483875459537891</v>
      </c>
      <c r="R163" s="52">
        <v>64.661100000000005</v>
      </c>
      <c r="S163" s="52">
        <v>66.610699999999994</v>
      </c>
      <c r="T163" s="52">
        <v>1547</v>
      </c>
      <c r="U163" s="52">
        <v>14381477</v>
      </c>
      <c r="V163" s="52">
        <v>14357358</v>
      </c>
    </row>
    <row r="164" spans="1:22" ht="14.25">
      <c r="A164" s="43">
        <v>139</v>
      </c>
      <c r="B164" s="53" t="s">
        <v>193</v>
      </c>
      <c r="C164" s="44" t="s">
        <v>45</v>
      </c>
      <c r="D164" s="76">
        <v>3145897770.8299999</v>
      </c>
      <c r="E164" s="76">
        <v>10595356.15</v>
      </c>
      <c r="F164" s="76">
        <v>182263343.38</v>
      </c>
      <c r="G164" s="52">
        <v>9346630.8499999996</v>
      </c>
      <c r="H164" s="45">
        <f t="shared" si="95"/>
        <v>183512068.68000001</v>
      </c>
      <c r="I164" s="104">
        <v>2974874219.3000002</v>
      </c>
      <c r="J164" s="47">
        <f t="shared" ref="J164:J165" si="96">(I164/$I$166)</f>
        <v>0.64115748581580956</v>
      </c>
      <c r="K164" s="55">
        <v>3179121064.2600002</v>
      </c>
      <c r="L164" s="47">
        <f t="shared" ref="L164:L165" si="97">(K164/$K$166)</f>
        <v>0.64814924070705937</v>
      </c>
      <c r="M164" s="47">
        <f t="shared" ref="M164:M165" si="98">((K164-I164)/I164)</f>
        <v>6.8657304444979236E-2</v>
      </c>
      <c r="N164" s="48">
        <f t="shared" ref="N164:N165" si="99">(G164/K164)</f>
        <v>2.9400046934593862E-3</v>
      </c>
      <c r="O164" s="49">
        <f t="shared" ref="O164:O165" si="100">H164/K164</f>
        <v>5.7724152358669567E-2</v>
      </c>
      <c r="P164" s="50">
        <f t="shared" ref="P164:P165" si="101">K164/V164</f>
        <v>2.2969715651230684</v>
      </c>
      <c r="Q164" s="50">
        <f t="shared" ref="Q164:Q165" si="102">H164/V164</f>
        <v>0.13259073658869569</v>
      </c>
      <c r="R164" s="52">
        <v>2.2799999999999998</v>
      </c>
      <c r="S164" s="52">
        <v>2.31</v>
      </c>
      <c r="T164" s="52">
        <v>10087</v>
      </c>
      <c r="U164" s="76">
        <v>1377404607.77</v>
      </c>
      <c r="V164" s="76">
        <v>1384048941.8900001</v>
      </c>
    </row>
    <row r="165" spans="1:22" ht="14.25">
      <c r="A165" s="43">
        <v>140</v>
      </c>
      <c r="B165" s="53" t="s">
        <v>194</v>
      </c>
      <c r="C165" s="44" t="s">
        <v>98</v>
      </c>
      <c r="D165" s="82">
        <v>779714206.13</v>
      </c>
      <c r="E165" s="82">
        <v>5607219.21</v>
      </c>
      <c r="F165" s="82">
        <v>42108508.399999999</v>
      </c>
      <c r="G165" s="82">
        <v>5934574.2300000004</v>
      </c>
      <c r="H165" s="45">
        <f t="shared" si="95"/>
        <v>41781153.379999995</v>
      </c>
      <c r="I165" s="33">
        <v>747307738.44000006</v>
      </c>
      <c r="J165" s="47">
        <f t="shared" si="96"/>
        <v>0.16106292750139636</v>
      </c>
      <c r="K165" s="57">
        <v>792772445.70000005</v>
      </c>
      <c r="L165" s="47">
        <f t="shared" si="97"/>
        <v>0.16162796205231589</v>
      </c>
      <c r="M165" s="47">
        <f t="shared" si="98"/>
        <v>6.0837998753909953E-2</v>
      </c>
      <c r="N165" s="48">
        <f t="shared" si="99"/>
        <v>7.4858482559392011E-3</v>
      </c>
      <c r="O165" s="49">
        <f t="shared" si="100"/>
        <v>5.2702580174955736E-2</v>
      </c>
      <c r="P165" s="50">
        <f t="shared" si="101"/>
        <v>22.561787738373368</v>
      </c>
      <c r="Q165" s="50">
        <f t="shared" si="102"/>
        <v>1.1890644271719557</v>
      </c>
      <c r="R165" s="82">
        <v>22.561800000000002</v>
      </c>
      <c r="S165" s="82">
        <v>22.751000000000001</v>
      </c>
      <c r="T165" s="82">
        <v>1494</v>
      </c>
      <c r="U165" s="82">
        <v>35170035.229999997</v>
      </c>
      <c r="V165" s="82">
        <v>35137838.140000001</v>
      </c>
    </row>
    <row r="166" spans="1:22" ht="15" customHeight="1">
      <c r="A166" s="127" t="s">
        <v>50</v>
      </c>
      <c r="B166" s="127"/>
      <c r="C166" s="127"/>
      <c r="D166" s="127"/>
      <c r="E166" s="127"/>
      <c r="F166" s="127"/>
      <c r="G166" s="127"/>
      <c r="H166" s="127"/>
      <c r="I166" s="66">
        <f>SUM(I163:I165)</f>
        <v>4639849467.7399998</v>
      </c>
      <c r="J166" s="113">
        <f>(I166/$I$186)</f>
        <v>1.7312753401083839E-3</v>
      </c>
      <c r="K166" s="66">
        <f>SUM(K163:K165)</f>
        <v>4904921373.96</v>
      </c>
      <c r="L166" s="113">
        <f>(K166/$K$186)</f>
        <v>1.6942938483052547E-3</v>
      </c>
      <c r="M166" s="64">
        <f>((K166-I166)/I166)</f>
        <v>5.7129419405305137E-2</v>
      </c>
      <c r="N166" s="48"/>
      <c r="O166" s="87"/>
      <c r="P166" s="65"/>
      <c r="Q166" s="65"/>
      <c r="R166" s="67"/>
      <c r="S166" s="67"/>
      <c r="T166" s="67">
        <f>SUM(T163:T165)</f>
        <v>13128</v>
      </c>
      <c r="U166" s="67"/>
      <c r="V166" s="86"/>
    </row>
    <row r="167" spans="1:22" ht="8.1" customHeight="1">
      <c r="A167" s="131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</row>
    <row r="168" spans="1:22">
      <c r="A168" s="132" t="s">
        <v>195</v>
      </c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</row>
    <row r="169" spans="1:22" ht="12.95" customHeight="1">
      <c r="A169" s="133" t="s">
        <v>196</v>
      </c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</row>
    <row r="170" spans="1:22" ht="15" customHeight="1">
      <c r="A170" s="43">
        <v>141</v>
      </c>
      <c r="B170" s="53" t="s">
        <v>197</v>
      </c>
      <c r="C170" s="44" t="s">
        <v>122</v>
      </c>
      <c r="D170" s="101">
        <v>3961255242.27</v>
      </c>
      <c r="E170" s="84">
        <v>59248256.399999999</v>
      </c>
      <c r="F170" s="84">
        <v>26191807.370000001</v>
      </c>
      <c r="G170" s="76">
        <v>18412821.620000001</v>
      </c>
      <c r="H170" s="45">
        <f t="shared" ref="H170:H171" si="103">(E170+F170)-G170</f>
        <v>67027242.149999991</v>
      </c>
      <c r="I170" s="35">
        <v>974432944.45000005</v>
      </c>
      <c r="J170" s="47">
        <f>(I170/$I$185)</f>
        <v>2.0023451023534786E-2</v>
      </c>
      <c r="K170" s="46">
        <v>4136915248.96</v>
      </c>
      <c r="L170" s="47">
        <f>(K170/$K$185)</f>
        <v>8.0734433424667046E-2</v>
      </c>
      <c r="M170" s="88">
        <f>((K170-I170)/I170)</f>
        <v>3.2454591385916274</v>
      </c>
      <c r="N170" s="48">
        <f>(G170/K170)</f>
        <v>4.4508578280951956E-3</v>
      </c>
      <c r="O170" s="49">
        <f>H170/K170</f>
        <v>1.6202227533389839E-2</v>
      </c>
      <c r="P170" s="50">
        <f>K170/V170</f>
        <v>1.9752940763950384</v>
      </c>
      <c r="Q170" s="50">
        <f>H170/V170</f>
        <v>3.2004164071109543E-2</v>
      </c>
      <c r="R170" s="84">
        <v>1.96</v>
      </c>
      <c r="S170" s="84">
        <v>1.99</v>
      </c>
      <c r="T170" s="84">
        <v>14982</v>
      </c>
      <c r="U170" s="52">
        <v>2091728460.02</v>
      </c>
      <c r="V170" s="52">
        <v>2094328788</v>
      </c>
    </row>
    <row r="171" spans="1:22" ht="14.25">
      <c r="A171" s="43">
        <v>142</v>
      </c>
      <c r="B171" s="44" t="s">
        <v>198</v>
      </c>
      <c r="C171" s="44" t="s">
        <v>45</v>
      </c>
      <c r="D171" s="76">
        <v>679435900.5</v>
      </c>
      <c r="E171" s="76">
        <v>-889717.22</v>
      </c>
      <c r="F171" s="76">
        <v>29099524.600000001</v>
      </c>
      <c r="G171" s="76">
        <v>2113460.25</v>
      </c>
      <c r="H171" s="45">
        <f t="shared" si="103"/>
        <v>26096347.130000003</v>
      </c>
      <c r="I171" s="104">
        <v>720116815.67999995</v>
      </c>
      <c r="J171" s="47">
        <f>(I171/$I$185)</f>
        <v>1.479755366659012E-2</v>
      </c>
      <c r="K171" s="55">
        <v>678041695.88999999</v>
      </c>
      <c r="L171" s="47">
        <f>(K171/$K$185)</f>
        <v>1.3232398746805664E-2</v>
      </c>
      <c r="M171" s="88">
        <f>((K171-I171)/I171)</f>
        <v>-5.8428186752268518E-2</v>
      </c>
      <c r="N171" s="48">
        <f>(G171/K171)</f>
        <v>3.1170063180640602E-3</v>
      </c>
      <c r="O171" s="49">
        <f>H171/K171</f>
        <v>3.8487820569420648E-2</v>
      </c>
      <c r="P171" s="50">
        <f>K171/V171</f>
        <v>434.58003187813841</v>
      </c>
      <c r="Q171" s="50">
        <f>H171/V171</f>
        <v>16.726038289978899</v>
      </c>
      <c r="R171" s="52">
        <v>431.2</v>
      </c>
      <c r="S171" s="52">
        <v>436.89</v>
      </c>
      <c r="T171" s="76">
        <v>830</v>
      </c>
      <c r="U171" s="76">
        <v>1732077.95</v>
      </c>
      <c r="V171" s="76">
        <v>1560222.85</v>
      </c>
    </row>
    <row r="172" spans="1:22" ht="6.95" customHeight="1">
      <c r="A172" s="131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</row>
    <row r="173" spans="1:22" ht="13.5">
      <c r="A173" s="133" t="s">
        <v>150</v>
      </c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</row>
    <row r="174" spans="1:22" ht="14.25">
      <c r="A174" s="43">
        <v>143</v>
      </c>
      <c r="B174" s="53" t="s">
        <v>199</v>
      </c>
      <c r="C174" s="44" t="s">
        <v>200</v>
      </c>
      <c r="D174" s="102">
        <v>351827619.73551357</v>
      </c>
      <c r="E174" s="52">
        <v>4585951.2713142931</v>
      </c>
      <c r="F174" s="52">
        <v>0</v>
      </c>
      <c r="G174" s="45">
        <v>1137329.52296461</v>
      </c>
      <c r="H174" s="45">
        <f t="shared" ref="H174:H184" si="104">(E174+F174)-G174</f>
        <v>3448621.7483496834</v>
      </c>
      <c r="I174" s="30">
        <v>401269398</v>
      </c>
      <c r="J174" s="47">
        <f t="shared" ref="J174:J184" si="105">(I174/$I$185)</f>
        <v>8.2456142147691591E-3</v>
      </c>
      <c r="K174" s="51">
        <v>404681627.87592965</v>
      </c>
      <c r="L174" s="47">
        <f>(K174/$K$185)</f>
        <v>7.8976096868671984E-3</v>
      </c>
      <c r="M174" s="47">
        <f t="shared" ref="M174:M185" si="106">((K174-I174)/I174)</f>
        <v>8.5035885939392115E-3</v>
      </c>
      <c r="N174" s="48">
        <f t="shared" ref="N174" si="107">(G174/K174)</f>
        <v>2.8104303349133042E-3</v>
      </c>
      <c r="O174" s="49">
        <f t="shared" ref="O174" si="108">H174/K174</f>
        <v>8.5218144605442477E-3</v>
      </c>
      <c r="P174" s="50">
        <f t="shared" ref="P174" si="109">K174/V174</f>
        <v>1043.5048809363598</v>
      </c>
      <c r="Q174" s="50">
        <f t="shared" ref="Q174" si="110">H174/V174</f>
        <v>8.8925549840119729</v>
      </c>
      <c r="R174" s="52">
        <v>1043.5048809363598</v>
      </c>
      <c r="S174" s="52">
        <v>1043.5048809363598</v>
      </c>
      <c r="T174" s="52">
        <v>19</v>
      </c>
      <c r="U174" s="52">
        <v>387923</v>
      </c>
      <c r="V174" s="52">
        <v>387810</v>
      </c>
    </row>
    <row r="175" spans="1:22" ht="15" customHeight="1">
      <c r="A175" s="43">
        <v>144</v>
      </c>
      <c r="B175" s="53" t="s">
        <v>201</v>
      </c>
      <c r="C175" s="78" t="s">
        <v>63</v>
      </c>
      <c r="D175" s="52">
        <v>72752741.680000007</v>
      </c>
      <c r="E175" s="52">
        <v>1250298.17</v>
      </c>
      <c r="F175" s="52"/>
      <c r="G175" s="52">
        <v>212460.79</v>
      </c>
      <c r="H175" s="45">
        <f t="shared" si="104"/>
        <v>1037837.3799999999</v>
      </c>
      <c r="I175" s="108">
        <v>338368185.02999997</v>
      </c>
      <c r="J175" s="47">
        <f t="shared" si="105"/>
        <v>6.9530682634039512E-3</v>
      </c>
      <c r="K175" s="55">
        <v>106528006.18000001</v>
      </c>
      <c r="L175" s="47">
        <f t="shared" ref="L175:L184" si="111">(K175/$K$185)</f>
        <v>2.0789592498816232E-3</v>
      </c>
      <c r="M175" s="47">
        <f t="shared" ref="M175:M184" si="112">((K175-I175)/I175)</f>
        <v>-0.68517132847299123</v>
      </c>
      <c r="N175" s="48">
        <f t="shared" ref="N175:N184" si="113">(G175/K175)</f>
        <v>1.994412526983803E-3</v>
      </c>
      <c r="O175" s="49">
        <f t="shared" ref="O175:O184" si="114">H175/K175</f>
        <v>9.7423899800243106E-3</v>
      </c>
      <c r="P175" s="50">
        <f t="shared" ref="P175:P184" si="115">K175/V175</f>
        <v>110.59973544023215</v>
      </c>
      <c r="Q175" s="50">
        <f t="shared" ref="Q175:Q184" si="116">H175/V175</f>
        <v>1.0775057543462574</v>
      </c>
      <c r="R175" s="52">
        <v>111.22</v>
      </c>
      <c r="S175" s="52">
        <v>111.22</v>
      </c>
      <c r="T175" s="52">
        <v>71</v>
      </c>
      <c r="U175" s="52">
        <v>968369</v>
      </c>
      <c r="V175" s="52">
        <v>963185</v>
      </c>
    </row>
    <row r="176" spans="1:22" ht="15" customHeight="1">
      <c r="A176" s="43">
        <v>145</v>
      </c>
      <c r="B176" s="53" t="s">
        <v>202</v>
      </c>
      <c r="C176" s="78" t="s">
        <v>175</v>
      </c>
      <c r="D176" s="52">
        <v>38364081.450000003</v>
      </c>
      <c r="E176" s="52">
        <v>609478.1</v>
      </c>
      <c r="F176" s="52"/>
      <c r="G176" s="52">
        <v>251717.34</v>
      </c>
      <c r="H176" s="45">
        <f t="shared" si="104"/>
        <v>357760.76</v>
      </c>
      <c r="I176" s="30">
        <v>56552501.670000002</v>
      </c>
      <c r="J176" s="47">
        <f t="shared" si="105"/>
        <v>1.1620874005719933E-3</v>
      </c>
      <c r="K176" s="51">
        <v>56843750.880000003</v>
      </c>
      <c r="L176" s="47">
        <f t="shared" si="111"/>
        <v>1.1093405943434383E-3</v>
      </c>
      <c r="M176" s="47">
        <f t="shared" si="112"/>
        <v>5.1500676610121195E-3</v>
      </c>
      <c r="N176" s="48">
        <f t="shared" si="113"/>
        <v>4.4282324108306627E-3</v>
      </c>
      <c r="O176" s="49">
        <f t="shared" si="114"/>
        <v>6.293757087832765E-3</v>
      </c>
      <c r="P176" s="50">
        <f t="shared" si="115"/>
        <v>104.25627097505462</v>
      </c>
      <c r="Q176" s="50">
        <f t="shared" si="116"/>
        <v>0.65616364440026342</v>
      </c>
      <c r="R176" s="52">
        <v>102.51</v>
      </c>
      <c r="S176" s="52">
        <v>104.26</v>
      </c>
      <c r="T176" s="52">
        <v>12</v>
      </c>
      <c r="U176" s="52">
        <v>548754</v>
      </c>
      <c r="V176" s="52">
        <v>545231</v>
      </c>
    </row>
    <row r="177" spans="1:22" ht="13.5" customHeight="1">
      <c r="A177" s="43">
        <v>146</v>
      </c>
      <c r="B177" s="44" t="s">
        <v>203</v>
      </c>
      <c r="C177" s="44" t="s">
        <v>76</v>
      </c>
      <c r="D177" s="76">
        <v>9710988221.9799995</v>
      </c>
      <c r="E177" s="76">
        <v>133009902.55</v>
      </c>
      <c r="F177" s="76"/>
      <c r="G177" s="76">
        <v>16045323.98</v>
      </c>
      <c r="H177" s="45">
        <f t="shared" si="104"/>
        <v>116964578.56999999</v>
      </c>
      <c r="I177" s="33">
        <v>10010505140.91</v>
      </c>
      <c r="J177" s="47">
        <f t="shared" si="105"/>
        <v>0.20570410775981288</v>
      </c>
      <c r="K177" s="57">
        <v>9663144869.7700005</v>
      </c>
      <c r="L177" s="47">
        <f t="shared" si="111"/>
        <v>0.18858218726078194</v>
      </c>
      <c r="M177" s="47">
        <f t="shared" si="112"/>
        <v>-3.4699574721802975E-2</v>
      </c>
      <c r="N177" s="48">
        <f t="shared" si="113"/>
        <v>1.6604660487080027E-3</v>
      </c>
      <c r="O177" s="49">
        <f t="shared" si="114"/>
        <v>1.2104193836098821E-2</v>
      </c>
      <c r="P177" s="50">
        <f t="shared" si="115"/>
        <v>141.35495905156122</v>
      </c>
      <c r="Q177" s="50">
        <f t="shared" si="116"/>
        <v>1.7109878240539087</v>
      </c>
      <c r="R177" s="52">
        <v>141.35</v>
      </c>
      <c r="S177" s="52">
        <v>141.35</v>
      </c>
      <c r="T177" s="52">
        <v>692</v>
      </c>
      <c r="U177" s="82">
        <v>71648471</v>
      </c>
      <c r="V177" s="82">
        <v>68360848</v>
      </c>
    </row>
    <row r="178" spans="1:22" ht="13.5" customHeight="1">
      <c r="A178" s="43">
        <v>147</v>
      </c>
      <c r="B178" s="44" t="s">
        <v>230</v>
      </c>
      <c r="C178" s="44" t="s">
        <v>61</v>
      </c>
      <c r="D178" s="76">
        <v>282238414.12</v>
      </c>
      <c r="E178" s="76">
        <v>4028613.22</v>
      </c>
      <c r="F178" s="76"/>
      <c r="G178" s="76">
        <v>746039.33</v>
      </c>
      <c r="H178" s="45">
        <f>(E178+F178)-G178</f>
        <v>3282573.89</v>
      </c>
      <c r="I178" s="33">
        <v>274238783.08999997</v>
      </c>
      <c r="J178" s="47">
        <f t="shared" si="105"/>
        <v>5.635284473120724E-3</v>
      </c>
      <c r="K178" s="57">
        <v>288631819.14999998</v>
      </c>
      <c r="L178" s="47">
        <f t="shared" si="111"/>
        <v>5.6328266316948003E-3</v>
      </c>
      <c r="M178" s="47">
        <f t="shared" si="112"/>
        <v>5.2483590751919579E-2</v>
      </c>
      <c r="N178" s="48">
        <f t="shared" si="113"/>
        <v>2.5847438865092293E-3</v>
      </c>
      <c r="O178" s="49">
        <f t="shared" si="114"/>
        <v>1.1372876003993409E-2</v>
      </c>
      <c r="P178" s="50">
        <f t="shared" si="115"/>
        <v>1083.0919065779733</v>
      </c>
      <c r="Q178" s="50">
        <f t="shared" si="116"/>
        <v>12.317869954440106</v>
      </c>
      <c r="R178" s="52">
        <v>1083.0899999999999</v>
      </c>
      <c r="S178" s="52">
        <v>1083.0899999999999</v>
      </c>
      <c r="T178" s="52">
        <v>84</v>
      </c>
      <c r="U178" s="82">
        <v>256250.01</v>
      </c>
      <c r="V178" s="82">
        <v>266488.76</v>
      </c>
    </row>
    <row r="179" spans="1:22" ht="13.5" customHeight="1">
      <c r="A179" s="43">
        <v>148</v>
      </c>
      <c r="B179" s="53" t="s">
        <v>121</v>
      </c>
      <c r="C179" s="44" t="s">
        <v>122</v>
      </c>
      <c r="D179" s="52">
        <v>19532644813.48</v>
      </c>
      <c r="E179" s="52">
        <v>279123241.54000002</v>
      </c>
      <c r="F179" s="52"/>
      <c r="G179" s="52">
        <v>33516447.739999998</v>
      </c>
      <c r="H179" s="45">
        <f>(E179+F179)-G179</f>
        <v>245606793.80000001</v>
      </c>
      <c r="I179" s="30">
        <v>20069104502.349998</v>
      </c>
      <c r="J179" s="47">
        <f t="shared" si="105"/>
        <v>0.4123964951901587</v>
      </c>
      <c r="K179" s="51">
        <v>20824515836.009998</v>
      </c>
      <c r="L179" s="47">
        <f t="shared" si="111"/>
        <v>0.40640317390740194</v>
      </c>
      <c r="M179" s="47">
        <f t="shared" si="112"/>
        <v>3.7640510246560566E-2</v>
      </c>
      <c r="N179" s="48">
        <f t="shared" si="113"/>
        <v>1.6094706836853783E-3</v>
      </c>
      <c r="O179" s="49">
        <f t="shared" si="114"/>
        <v>1.17941178433207E-2</v>
      </c>
      <c r="P179" s="50">
        <f t="shared" si="115"/>
        <v>1221.819413264288</v>
      </c>
      <c r="Q179" s="50">
        <f t="shared" si="116"/>
        <v>14.410282143295968</v>
      </c>
      <c r="R179" s="45">
        <v>1221.82</v>
      </c>
      <c r="S179" s="45">
        <v>1221.82</v>
      </c>
      <c r="T179" s="52">
        <v>8472</v>
      </c>
      <c r="U179" s="76">
        <v>16625681.279999999</v>
      </c>
      <c r="V179" s="52">
        <v>17043857.390000001</v>
      </c>
    </row>
    <row r="180" spans="1:22" ht="13.5" customHeight="1">
      <c r="A180" s="43">
        <v>149</v>
      </c>
      <c r="B180" s="94" t="s">
        <v>231</v>
      </c>
      <c r="C180" s="95" t="s">
        <v>232</v>
      </c>
      <c r="D180" s="52">
        <v>305383579.60000002</v>
      </c>
      <c r="E180" s="52"/>
      <c r="F180" s="52">
        <v>53960054.890000001</v>
      </c>
      <c r="G180" s="52">
        <v>656145.29</v>
      </c>
      <c r="H180" s="45">
        <f t="shared" si="104"/>
        <v>53303909.600000001</v>
      </c>
      <c r="I180" s="33">
        <v>415668206.13</v>
      </c>
      <c r="J180" s="47">
        <f t="shared" si="105"/>
        <v>8.541492788077313E-3</v>
      </c>
      <c r="K180" s="51">
        <v>340689778.36000001</v>
      </c>
      <c r="L180" s="47">
        <f t="shared" si="111"/>
        <v>6.6487695720584827E-3</v>
      </c>
      <c r="M180" s="47">
        <f t="shared" si="112"/>
        <v>-0.1803804733300928</v>
      </c>
      <c r="N180" s="48">
        <f t="shared" si="113"/>
        <v>1.9259318349923154E-3</v>
      </c>
      <c r="O180" s="49">
        <f t="shared" si="114"/>
        <v>0.15645878739477426</v>
      </c>
      <c r="P180" s="50">
        <f t="shared" si="115"/>
        <v>114.93914655288491</v>
      </c>
      <c r="Q180" s="50">
        <f t="shared" si="116"/>
        <v>17.983239493854619</v>
      </c>
      <c r="R180" s="45">
        <v>115.4282</v>
      </c>
      <c r="S180" s="45">
        <v>116.1185</v>
      </c>
      <c r="T180" s="52">
        <v>167</v>
      </c>
      <c r="U180" s="76">
        <v>3739520.56</v>
      </c>
      <c r="V180" s="52">
        <v>2964088.29</v>
      </c>
    </row>
    <row r="181" spans="1:22" ht="13.5" customHeight="1">
      <c r="A181" s="43">
        <v>150</v>
      </c>
      <c r="B181" s="94" t="s">
        <v>233</v>
      </c>
      <c r="C181" s="95" t="s">
        <v>232</v>
      </c>
      <c r="D181" s="76">
        <v>150347343.06999999</v>
      </c>
      <c r="E181" s="76"/>
      <c r="F181" s="76">
        <v>5647748.1600000001</v>
      </c>
      <c r="G181" s="76">
        <v>254088.06</v>
      </c>
      <c r="H181" s="45">
        <f t="shared" si="104"/>
        <v>5393660.1000000006</v>
      </c>
      <c r="I181" s="33">
        <v>156168196.28</v>
      </c>
      <c r="J181" s="47">
        <f t="shared" si="105"/>
        <v>3.2090727714582119E-3</v>
      </c>
      <c r="K181" s="57">
        <v>161186300.44</v>
      </c>
      <c r="L181" s="47">
        <f t="shared" si="111"/>
        <v>3.1456493204962406E-3</v>
      </c>
      <c r="M181" s="47">
        <f t="shared" si="112"/>
        <v>3.2132689494619268E-2</v>
      </c>
      <c r="N181" s="48">
        <f t="shared" si="113"/>
        <v>1.5763626270123481E-3</v>
      </c>
      <c r="O181" s="49">
        <f t="shared" si="114"/>
        <v>3.3462273687506941E-2</v>
      </c>
      <c r="P181" s="50">
        <f t="shared" si="115"/>
        <v>105.10727881514465</v>
      </c>
      <c r="Q181" s="50">
        <f t="shared" si="116"/>
        <v>3.5171285302614708</v>
      </c>
      <c r="R181" s="52">
        <v>105.1073</v>
      </c>
      <c r="S181" s="52">
        <v>105.1073</v>
      </c>
      <c r="T181" s="52">
        <v>68</v>
      </c>
      <c r="U181" s="82">
        <v>1521236.49</v>
      </c>
      <c r="V181" s="82">
        <v>1533540.8</v>
      </c>
    </row>
    <row r="182" spans="1:22" ht="14.25" customHeight="1">
      <c r="A182" s="43">
        <v>151</v>
      </c>
      <c r="B182" s="44" t="s">
        <v>204</v>
      </c>
      <c r="C182" s="44" t="s">
        <v>148</v>
      </c>
      <c r="D182" s="52">
        <v>845732571.20000005</v>
      </c>
      <c r="E182" s="76">
        <v>12913236.49</v>
      </c>
      <c r="F182" s="76"/>
      <c r="G182" s="52">
        <v>1033265.07</v>
      </c>
      <c r="H182" s="45">
        <f t="shared" si="104"/>
        <v>11879971.42</v>
      </c>
      <c r="I182" s="30">
        <v>1078821388.48</v>
      </c>
      <c r="J182" s="47">
        <f t="shared" si="105"/>
        <v>2.2168510781995117E-2</v>
      </c>
      <c r="K182" s="51">
        <v>1066353360.72</v>
      </c>
      <c r="L182" s="47">
        <f t="shared" si="111"/>
        <v>2.0810538584241426E-2</v>
      </c>
      <c r="M182" s="47">
        <f t="shared" si="112"/>
        <v>-1.1557082472722158E-2</v>
      </c>
      <c r="N182" s="48">
        <f t="shared" si="113"/>
        <v>9.6897061336435517E-4</v>
      </c>
      <c r="O182" s="49">
        <f t="shared" si="114"/>
        <v>1.1140745514206157E-2</v>
      </c>
      <c r="P182" s="50">
        <f t="shared" si="115"/>
        <v>104.48273061451447</v>
      </c>
      <c r="Q182" s="50">
        <f t="shared" si="116"/>
        <v>1.1640155124056624</v>
      </c>
      <c r="R182" s="52">
        <v>104.48</v>
      </c>
      <c r="S182" s="52">
        <v>104.48</v>
      </c>
      <c r="T182" s="76">
        <v>556</v>
      </c>
      <c r="U182" s="52">
        <v>10427622</v>
      </c>
      <c r="V182" s="52">
        <v>10206025</v>
      </c>
    </row>
    <row r="183" spans="1:22" ht="14.25">
      <c r="A183" s="43">
        <v>152</v>
      </c>
      <c r="B183" s="53" t="s">
        <v>205</v>
      </c>
      <c r="C183" s="53" t="s">
        <v>45</v>
      </c>
      <c r="D183" s="76">
        <v>9272759353.3099995</v>
      </c>
      <c r="E183" s="76">
        <v>89407743.239999995</v>
      </c>
      <c r="F183" s="76"/>
      <c r="G183" s="76">
        <v>16048280.039999999</v>
      </c>
      <c r="H183" s="45">
        <f t="shared" si="104"/>
        <v>73359463.199999988</v>
      </c>
      <c r="I183" s="104">
        <v>9885111412.4300003</v>
      </c>
      <c r="J183" s="47">
        <f t="shared" si="105"/>
        <v>0.20312741410923554</v>
      </c>
      <c r="K183" s="55">
        <v>9261967627.8400002</v>
      </c>
      <c r="L183" s="47">
        <f t="shared" si="111"/>
        <v>0.18075296781079886</v>
      </c>
      <c r="M183" s="47">
        <f t="shared" si="112"/>
        <v>-6.3038620263442868E-2</v>
      </c>
      <c r="N183" s="48">
        <f t="shared" si="113"/>
        <v>1.7327074208034828E-3</v>
      </c>
      <c r="O183" s="49">
        <f t="shared" si="114"/>
        <v>7.9205052476639115E-3</v>
      </c>
      <c r="P183" s="50">
        <f t="shared" si="115"/>
        <v>130.98357526509213</v>
      </c>
      <c r="Q183" s="50">
        <f t="shared" si="116"/>
        <v>1.037456095244943</v>
      </c>
      <c r="R183" s="76">
        <v>130.97999999999999</v>
      </c>
      <c r="S183" s="76">
        <v>130.97999999999999</v>
      </c>
      <c r="T183" s="52">
        <v>1214</v>
      </c>
      <c r="U183" s="76">
        <v>62070545.399999999</v>
      </c>
      <c r="V183" s="76">
        <v>70710908.670000002</v>
      </c>
    </row>
    <row r="184" spans="1:22" ht="15" customHeight="1">
      <c r="A184" s="43">
        <v>153</v>
      </c>
      <c r="B184" s="44" t="s">
        <v>206</v>
      </c>
      <c r="C184" s="44" t="s">
        <v>49</v>
      </c>
      <c r="D184" s="82">
        <v>3217945408</v>
      </c>
      <c r="E184" s="82">
        <v>42202233</v>
      </c>
      <c r="F184" s="82"/>
      <c r="G184" s="52">
        <v>6718378</v>
      </c>
      <c r="H184" s="45">
        <f t="shared" si="104"/>
        <v>35483855</v>
      </c>
      <c r="I184" s="104">
        <v>4284228031</v>
      </c>
      <c r="J184" s="47">
        <f t="shared" si="105"/>
        <v>8.8035847557271452E-2</v>
      </c>
      <c r="K184" s="60">
        <v>4251526657</v>
      </c>
      <c r="L184" s="47">
        <f t="shared" si="111"/>
        <v>8.2971145209961392E-2</v>
      </c>
      <c r="M184" s="47">
        <f t="shared" si="112"/>
        <v>-7.6329676579719851E-3</v>
      </c>
      <c r="N184" s="48">
        <f t="shared" si="113"/>
        <v>1.5802271847310213E-3</v>
      </c>
      <c r="O184" s="49">
        <f t="shared" si="114"/>
        <v>8.3461443059699488E-3</v>
      </c>
      <c r="P184" s="50">
        <f t="shared" si="115"/>
        <v>1.243084275859637</v>
      </c>
      <c r="Q184" s="50">
        <f t="shared" si="116"/>
        <v>1.0374960750806687E-2</v>
      </c>
      <c r="R184" s="45">
        <v>1.24</v>
      </c>
      <c r="S184" s="45">
        <v>1.24</v>
      </c>
      <c r="T184" s="52">
        <v>186</v>
      </c>
      <c r="U184" s="52">
        <v>3529630539</v>
      </c>
      <c r="V184" s="52">
        <v>3420143541</v>
      </c>
    </row>
    <row r="185" spans="1:22" ht="15" customHeight="1">
      <c r="A185" s="127" t="s">
        <v>50</v>
      </c>
      <c r="B185" s="127"/>
      <c r="C185" s="127"/>
      <c r="D185" s="127"/>
      <c r="E185" s="127"/>
      <c r="F185" s="127"/>
      <c r="G185" s="127"/>
      <c r="H185" s="127"/>
      <c r="I185" s="66">
        <f>SUM(I170:I184)</f>
        <v>48664585505.5</v>
      </c>
      <c r="J185" s="113">
        <f>(I185/$I$186)</f>
        <v>1.8158303929481964E-2</v>
      </c>
      <c r="K185" s="66">
        <f>SUM(K170:K184)</f>
        <v>51241026579.075928</v>
      </c>
      <c r="L185" s="113">
        <f>(K185/$K$186)</f>
        <v>1.7700050519603373E-2</v>
      </c>
      <c r="M185" s="64">
        <f t="shared" si="106"/>
        <v>5.2942834030400655E-2</v>
      </c>
      <c r="N185" s="48"/>
      <c r="O185" s="48"/>
      <c r="P185" s="65"/>
      <c r="Q185" s="65"/>
      <c r="R185" s="67"/>
      <c r="S185" s="67"/>
      <c r="T185" s="67">
        <f>SUM(T170:T184)</f>
        <v>27353</v>
      </c>
      <c r="U185" s="67"/>
      <c r="V185" s="67"/>
    </row>
    <row r="186" spans="1:22" ht="15" customHeight="1">
      <c r="A186" s="128" t="s">
        <v>207</v>
      </c>
      <c r="B186" s="129"/>
      <c r="C186" s="129"/>
      <c r="D186" s="129"/>
      <c r="E186" s="129"/>
      <c r="F186" s="129"/>
      <c r="G186" s="129"/>
      <c r="H186" s="130"/>
      <c r="I186" s="37">
        <f>SUM(I22,I57,I92,I123,I131,I160,I166,I185)</f>
        <v>2680018227169.7632</v>
      </c>
      <c r="J186" s="38"/>
      <c r="K186" s="37">
        <f>SUM(K22,K57,K92,K123,K131,K160,K166,K185)</f>
        <v>2894964990202.9854</v>
      </c>
      <c r="L186" s="38"/>
      <c r="M186" s="38"/>
      <c r="N186" s="39"/>
      <c r="O186" s="40"/>
      <c r="P186" s="41"/>
      <c r="Q186" s="41"/>
      <c r="R186" s="42"/>
      <c r="S186" s="42"/>
      <c r="T186" s="42">
        <f>SUM(T22,T57,T92,T123,T131,T160,T166,T185)</f>
        <v>725191</v>
      </c>
      <c r="U186" s="42"/>
      <c r="V186" s="42"/>
    </row>
    <row r="187" spans="1:22" ht="5.0999999999999996" customHeight="1">
      <c r="A187" s="20"/>
      <c r="B187" s="20"/>
      <c r="C187" s="20"/>
      <c r="D187" s="19"/>
      <c r="E187" s="19"/>
      <c r="F187" s="19"/>
      <c r="G187" s="19"/>
      <c r="H187" s="21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>
      <c r="A188" s="22" t="s">
        <v>208</v>
      </c>
      <c r="B188" s="27" t="s">
        <v>221</v>
      </c>
      <c r="C188" s="18"/>
      <c r="D188" s="19"/>
      <c r="E188" s="19"/>
      <c r="F188" s="19"/>
      <c r="G188" s="19"/>
      <c r="H188" s="21"/>
      <c r="I188" s="23"/>
      <c r="J188" s="19"/>
      <c r="K188" s="23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24"/>
    </row>
  </sheetData>
  <sheetProtection password="CA3B" sheet="1" objects="1" scenarios="1"/>
  <mergeCells count="32">
    <mergeCell ref="A1:V1"/>
    <mergeCell ref="A3:V3"/>
    <mergeCell ref="A4:V4"/>
    <mergeCell ref="A22:H22"/>
    <mergeCell ref="A23:V23"/>
    <mergeCell ref="A24:V24"/>
    <mergeCell ref="A57:H57"/>
    <mergeCell ref="A58:V58"/>
    <mergeCell ref="A59:V59"/>
    <mergeCell ref="A92:H92"/>
    <mergeCell ref="A93:V93"/>
    <mergeCell ref="A94:V94"/>
    <mergeCell ref="A95:V95"/>
    <mergeCell ref="A111:V111"/>
    <mergeCell ref="A112:V112"/>
    <mergeCell ref="A123:H123"/>
    <mergeCell ref="A124:V124"/>
    <mergeCell ref="A125:V125"/>
    <mergeCell ref="A131:H131"/>
    <mergeCell ref="A132:V132"/>
    <mergeCell ref="A133:V133"/>
    <mergeCell ref="A160:H160"/>
    <mergeCell ref="A161:V161"/>
    <mergeCell ref="A162:V162"/>
    <mergeCell ref="A166:H166"/>
    <mergeCell ref="A185:H185"/>
    <mergeCell ref="A186:H186"/>
    <mergeCell ref="A167:V167"/>
    <mergeCell ref="A168:V168"/>
    <mergeCell ref="A169:V169"/>
    <mergeCell ref="A172:V172"/>
    <mergeCell ref="A173:V173"/>
  </mergeCells>
  <pageMargins left="0.7" right="0.7" top="0.75" bottom="0.75" header="0.3" footer="0.3"/>
  <pageSetup orientation="portrait" r:id="rId1"/>
  <ignoredErrors>
    <ignoredError sqref="K126 R126:S126 U126:V126 G129" numberStoredAsText="1"/>
    <ignoredError sqref="J166 J185 J160 J131 J123 J92 J57 J22" formula="1"/>
    <ignoredError sqref="T1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J4" sqref="J4"/>
    </sheetView>
  </sheetViews>
  <sheetFormatPr defaultColWidth="9" defaultRowHeight="15"/>
  <cols>
    <col min="1" max="1" width="34" customWidth="1"/>
    <col min="2" max="2" width="13.7109375" customWidth="1"/>
    <col min="3" max="3" width="15.85546875" customWidth="1"/>
  </cols>
  <sheetData>
    <row r="1" spans="1:4">
      <c r="A1" s="1"/>
      <c r="B1" s="1"/>
      <c r="C1" s="1"/>
      <c r="D1" s="1"/>
    </row>
    <row r="2" spans="1:4">
      <c r="A2" s="15"/>
      <c r="B2" s="15"/>
      <c r="C2" s="15"/>
      <c r="D2" s="15"/>
    </row>
    <row r="3" spans="1:4">
      <c r="A3" s="15"/>
      <c r="B3" s="15"/>
      <c r="C3" s="15"/>
      <c r="D3" s="15"/>
    </row>
    <row r="4" spans="1:4" ht="33" customHeight="1">
      <c r="A4" s="4" t="s">
        <v>209</v>
      </c>
      <c r="B4" s="149" t="s">
        <v>256</v>
      </c>
      <c r="C4" s="149" t="s">
        <v>257</v>
      </c>
      <c r="D4" s="1"/>
    </row>
    <row r="5" spans="1:4" ht="18.95" customHeight="1">
      <c r="A5" s="150" t="s">
        <v>19</v>
      </c>
      <c r="B5" s="151">
        <v>26.446817562529997</v>
      </c>
      <c r="C5" s="152">
        <f>'May 2024'!K22/1000000000</f>
        <v>27.745310432420002</v>
      </c>
      <c r="D5" s="1"/>
    </row>
    <row r="6" spans="1:4" ht="15.75">
      <c r="A6" s="4" t="s">
        <v>51</v>
      </c>
      <c r="B6" s="151">
        <v>937.44782176622016</v>
      </c>
      <c r="C6" s="152">
        <f>'May 2024'!K57/1000000000</f>
        <v>1009.6129393269802</v>
      </c>
      <c r="D6" s="1"/>
    </row>
    <row r="7" spans="1:4" ht="15.75">
      <c r="A7" s="4" t="s">
        <v>210</v>
      </c>
      <c r="B7" s="151">
        <v>266.46510591255998</v>
      </c>
      <c r="C7" s="152">
        <f>'May 2024'!K92/1000000000</f>
        <v>246.55149026459</v>
      </c>
      <c r="D7" s="1"/>
    </row>
    <row r="8" spans="1:4" ht="15.75">
      <c r="A8" s="4" t="s">
        <v>211</v>
      </c>
      <c r="B8" s="151">
        <v>1249.1517902703031</v>
      </c>
      <c r="C8" s="152">
        <f>'May 2024'!K123/1000000000</f>
        <v>1409.3785152316091</v>
      </c>
      <c r="D8" s="1"/>
    </row>
    <row r="9" spans="1:4" ht="15.75">
      <c r="A9" s="4" t="s">
        <v>212</v>
      </c>
      <c r="B9" s="151">
        <v>99.856457548350008</v>
      </c>
      <c r="C9" s="152">
        <f>'May 2024'!K131/1000000000</f>
        <v>96.780336038469997</v>
      </c>
      <c r="D9" s="1"/>
    </row>
    <row r="10" spans="1:4" ht="15.75">
      <c r="A10" s="4" t="s">
        <v>166</v>
      </c>
      <c r="B10" s="151">
        <v>47.633109913879998</v>
      </c>
      <c r="C10" s="152">
        <f>'May 2024'!K160/1000000000</f>
        <v>48.750450955880005</v>
      </c>
      <c r="D10" s="1"/>
    </row>
    <row r="11" spans="1:4" ht="15.75">
      <c r="A11" s="4" t="s">
        <v>191</v>
      </c>
      <c r="B11" s="151">
        <v>4.6398494677399995</v>
      </c>
      <c r="C11" s="152">
        <f>'May 2024'!K166/1000000000</f>
        <v>4.9049213739599997</v>
      </c>
      <c r="D11" s="1"/>
    </row>
    <row r="12" spans="1:4" ht="15.75">
      <c r="A12" s="4" t="s">
        <v>213</v>
      </c>
      <c r="B12" s="151">
        <v>51.754753232900001</v>
      </c>
      <c r="C12" s="152">
        <f>'May 2024'!K185/1000000000</f>
        <v>51.241026579075928</v>
      </c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 ht="16.5">
      <c r="A16" s="1"/>
      <c r="B16" s="5"/>
      <c r="C16" s="6">
        <v>18395824731.344002</v>
      </c>
      <c r="D16" s="1"/>
    </row>
    <row r="17" spans="1:4" ht="16.5">
      <c r="A17" s="7"/>
      <c r="B17" s="8"/>
      <c r="C17" s="9">
        <v>749900598862.70996</v>
      </c>
      <c r="D17" s="1"/>
    </row>
    <row r="18" spans="1:4" ht="16.5">
      <c r="A18" s="4"/>
      <c r="B18" s="10"/>
      <c r="C18" s="11">
        <v>324257293662.39001</v>
      </c>
      <c r="D18" s="1"/>
    </row>
    <row r="19" spans="1:4" ht="16.5">
      <c r="A19" s="2"/>
      <c r="B19" s="8"/>
      <c r="C19" s="12">
        <v>329523427075.08801</v>
      </c>
      <c r="D19" s="1"/>
    </row>
    <row r="20" spans="1:4" ht="16.5">
      <c r="A20" s="2"/>
      <c r="B20" s="10"/>
      <c r="C20" s="11">
        <v>92979365311.570007</v>
      </c>
      <c r="D20" s="1"/>
    </row>
    <row r="21" spans="1:4" ht="16.5">
      <c r="A21" s="2"/>
      <c r="B21" s="8"/>
      <c r="C21" s="12">
        <v>33483827699.669998</v>
      </c>
      <c r="D21" s="1"/>
    </row>
    <row r="22" spans="1:4" ht="16.5">
      <c r="A22" s="2"/>
      <c r="B22" s="13"/>
      <c r="C22" s="14">
        <v>3211014587.77</v>
      </c>
      <c r="D22" s="1"/>
    </row>
    <row r="23" spans="1:4" ht="16.5">
      <c r="A23" s="2"/>
      <c r="B23" s="8"/>
      <c r="C23" s="12">
        <v>25485626359.523201</v>
      </c>
      <c r="D23" s="1"/>
    </row>
    <row r="24" spans="1:4" ht="16.5">
      <c r="A24" s="2"/>
      <c r="B24" s="8"/>
      <c r="C24" s="8"/>
      <c r="D24" s="1"/>
    </row>
    <row r="25" spans="1:4" ht="16.5">
      <c r="A25" s="2"/>
      <c r="B25" s="8"/>
      <c r="C25" s="8"/>
      <c r="D25" s="1"/>
    </row>
    <row r="26" spans="1:4" ht="16.5">
      <c r="A26" s="2"/>
      <c r="B26" s="8"/>
      <c r="C26" s="8"/>
      <c r="D26" s="1"/>
    </row>
    <row r="27" spans="1:4">
      <c r="B27" s="15"/>
      <c r="C27" s="15"/>
    </row>
    <row r="28" spans="1:4">
      <c r="B28" s="15"/>
      <c r="C28" s="15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J11" sqref="J11"/>
    </sheetView>
  </sheetViews>
  <sheetFormatPr defaultColWidth="9" defaultRowHeight="15"/>
  <cols>
    <col min="1" max="1" width="26.7109375" customWidth="1"/>
    <col min="2" max="2" width="21.28515625" customWidth="1"/>
  </cols>
  <sheetData>
    <row r="1" spans="1:3">
      <c r="A1" s="141" t="s">
        <v>209</v>
      </c>
      <c r="B1" s="142" t="s">
        <v>257</v>
      </c>
      <c r="C1" s="1"/>
    </row>
    <row r="2" spans="1:3">
      <c r="A2" s="141" t="s">
        <v>191</v>
      </c>
      <c r="B2" s="143">
        <f>'May 2024'!K166</f>
        <v>4904921373.96</v>
      </c>
      <c r="C2" s="1"/>
    </row>
    <row r="3" spans="1:3">
      <c r="A3" s="141" t="s">
        <v>19</v>
      </c>
      <c r="B3" s="144">
        <f>'May 2024'!K22</f>
        <v>27745310432.420002</v>
      </c>
      <c r="C3" s="1"/>
    </row>
    <row r="4" spans="1:3">
      <c r="A4" s="141" t="s">
        <v>166</v>
      </c>
      <c r="B4" s="145">
        <f>'May 2024'!K160</f>
        <v>48750450955.880005</v>
      </c>
      <c r="C4" s="1"/>
    </row>
    <row r="5" spans="1:3">
      <c r="A5" s="141" t="s">
        <v>213</v>
      </c>
      <c r="B5" s="145">
        <f>'May 2024'!K185</f>
        <v>51241026579.075928</v>
      </c>
      <c r="C5" s="1"/>
    </row>
    <row r="6" spans="1:3">
      <c r="A6" s="141" t="s">
        <v>212</v>
      </c>
      <c r="B6" s="146">
        <f>'May 2024'!K131</f>
        <v>96780336038.470001</v>
      </c>
      <c r="C6" s="1"/>
    </row>
    <row r="7" spans="1:3">
      <c r="A7" s="141" t="s">
        <v>210</v>
      </c>
      <c r="B7" s="146">
        <f>'May 2024'!K92</f>
        <v>246551490264.59</v>
      </c>
      <c r="C7" s="1"/>
    </row>
    <row r="8" spans="1:3">
      <c r="A8" s="141" t="s">
        <v>51</v>
      </c>
      <c r="B8" s="145">
        <f>'May 2024'!K57</f>
        <v>1009612939326.9801</v>
      </c>
      <c r="C8" s="1"/>
    </row>
    <row r="9" spans="1:3">
      <c r="A9" s="141" t="s">
        <v>211</v>
      </c>
      <c r="B9" s="147">
        <f>'May 2024'!K123</f>
        <v>1409378515231.6091</v>
      </c>
      <c r="C9" s="1"/>
    </row>
    <row r="10" spans="1:3">
      <c r="A10" s="1"/>
      <c r="B10" s="1"/>
      <c r="C10" s="1"/>
    </row>
    <row r="11" spans="1:3">
      <c r="A11" s="1"/>
      <c r="B11" s="1"/>
      <c r="C11" s="1"/>
    </row>
    <row r="12" spans="1:3">
      <c r="A12" s="148"/>
      <c r="B12" s="1"/>
      <c r="C12" s="1"/>
    </row>
    <row r="13" spans="1:3" ht="15" customHeight="1">
      <c r="A13" s="114"/>
      <c r="B13" s="115"/>
      <c r="C13" s="15"/>
    </row>
    <row r="14" spans="1:3">
      <c r="A14" s="116"/>
      <c r="B14" s="115"/>
      <c r="C14" s="15"/>
    </row>
    <row r="15" spans="1:3">
      <c r="A15" s="116"/>
      <c r="B15" s="115"/>
      <c r="C15" s="15"/>
    </row>
    <row r="16" spans="1:3">
      <c r="A16" s="117"/>
      <c r="B16" s="115"/>
      <c r="C16" s="15"/>
    </row>
    <row r="17" spans="1:17">
      <c r="A17" s="117"/>
      <c r="B17" s="115"/>
      <c r="C17" s="15"/>
    </row>
    <row r="18" spans="1:17">
      <c r="A18" s="116"/>
      <c r="B18" s="115"/>
      <c r="C18" s="15"/>
    </row>
    <row r="19" spans="1:17" ht="15.75">
      <c r="A19" s="31"/>
      <c r="B19" s="115"/>
      <c r="C19" s="15"/>
    </row>
    <row r="20" spans="1:17" ht="16.5">
      <c r="A20" s="118"/>
      <c r="B20" s="115"/>
      <c r="C20" s="15"/>
    </row>
    <row r="21" spans="1:17" ht="16.5">
      <c r="A21" s="119"/>
      <c r="B21" s="120"/>
      <c r="C21" s="15"/>
    </row>
    <row r="22" spans="1:17" ht="16.5">
      <c r="A22" s="15"/>
      <c r="B22" s="121"/>
      <c r="C22" s="15"/>
    </row>
    <row r="32" spans="1:17" ht="15.95" customHeight="1">
      <c r="A32" s="140" t="s">
        <v>258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3"/>
    </row>
    <row r="33" spans="1:17" ht="16.5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3"/>
    </row>
  </sheetData>
  <sheetProtection password="CA3B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D5" sqref="D5"/>
    </sheetView>
  </sheetViews>
  <sheetFormatPr defaultColWidth="9" defaultRowHeight="15"/>
  <cols>
    <col min="1" max="1" width="34.7109375" customWidth="1"/>
    <col min="2" max="2" width="15" customWidth="1"/>
  </cols>
  <sheetData>
    <row r="3" spans="1:3">
      <c r="A3" s="15"/>
      <c r="B3" s="15"/>
      <c r="C3" s="15"/>
    </row>
    <row r="4" spans="1:3">
      <c r="A4" s="122"/>
      <c r="B4" s="122"/>
      <c r="C4" s="15"/>
    </row>
    <row r="5" spans="1:3" ht="15.75">
      <c r="A5" s="123" t="s">
        <v>209</v>
      </c>
      <c r="B5" s="124" t="s">
        <v>214</v>
      </c>
      <c r="C5" s="15"/>
    </row>
    <row r="6" spans="1:3" ht="16.5">
      <c r="A6" s="125" t="s">
        <v>19</v>
      </c>
      <c r="B6" s="126">
        <f>'May 2024'!T22</f>
        <v>48822</v>
      </c>
      <c r="C6" s="15"/>
    </row>
    <row r="7" spans="1:3" ht="16.5">
      <c r="A7" s="125" t="s">
        <v>51</v>
      </c>
      <c r="B7" s="126">
        <f>'May 2024'!T57</f>
        <v>288814</v>
      </c>
      <c r="C7" s="15"/>
    </row>
    <row r="8" spans="1:3" ht="16.5">
      <c r="A8" s="125" t="s">
        <v>210</v>
      </c>
      <c r="B8" s="126">
        <f>'May 2024'!T92</f>
        <v>45142</v>
      </c>
      <c r="C8" s="15"/>
    </row>
    <row r="9" spans="1:3" ht="16.5">
      <c r="A9" s="125" t="s">
        <v>211</v>
      </c>
      <c r="B9" s="126">
        <f>'May 2024'!T123</f>
        <v>15858</v>
      </c>
      <c r="C9" s="15"/>
    </row>
    <row r="10" spans="1:3" ht="16.5">
      <c r="A10" s="125" t="s">
        <v>212</v>
      </c>
      <c r="B10" s="126">
        <f>'May 2024'!T131</f>
        <v>216992</v>
      </c>
      <c r="C10" s="15"/>
    </row>
    <row r="11" spans="1:3" ht="16.5">
      <c r="A11" s="125" t="s">
        <v>166</v>
      </c>
      <c r="B11" s="126">
        <f>'May 2024'!T160</f>
        <v>69082</v>
      </c>
      <c r="C11" s="15"/>
    </row>
    <row r="12" spans="1:3" ht="16.5">
      <c r="A12" s="125" t="s">
        <v>191</v>
      </c>
      <c r="B12" s="126">
        <f>'May 2024'!T166</f>
        <v>13128</v>
      </c>
      <c r="C12" s="15"/>
    </row>
    <row r="13" spans="1:3" ht="16.5">
      <c r="A13" s="125" t="s">
        <v>213</v>
      </c>
      <c r="B13" s="126">
        <f>'May 2024'!T185</f>
        <v>27353</v>
      </c>
      <c r="C13" s="15"/>
    </row>
    <row r="14" spans="1:3">
      <c r="A14" s="122"/>
      <c r="B14" s="122"/>
      <c r="C14" s="15"/>
    </row>
    <row r="15" spans="1:3">
      <c r="A15" s="15"/>
      <c r="B15" s="15"/>
      <c r="C15" s="15"/>
    </row>
    <row r="16" spans="1:3">
      <c r="A16" s="15"/>
      <c r="B16" s="15"/>
      <c r="C16" s="15"/>
    </row>
    <row r="17" spans="1:3">
      <c r="A17" s="15"/>
      <c r="B17" s="15"/>
      <c r="C17" s="15"/>
    </row>
    <row r="18" spans="1:3">
      <c r="A18" s="15"/>
      <c r="B18" s="15"/>
      <c r="C18" s="15"/>
    </row>
    <row r="19" spans="1:3">
      <c r="A19" s="15"/>
      <c r="B19" s="15"/>
      <c r="C19" s="15"/>
    </row>
    <row r="20" spans="1:3">
      <c r="A20" s="15"/>
      <c r="B20" s="15"/>
      <c r="C20" s="15"/>
    </row>
  </sheetData>
  <sheetProtection password="CA3B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May 2024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2023-10-09T09:40:00Z</dcterms:created>
  <dcterms:modified xsi:type="dcterms:W3CDTF">2024-10-04T12:11:49Z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