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Mutual Funds Update 2024\"/>
    </mc:Choice>
  </mc:AlternateContent>
  <bookViews>
    <workbookView xWindow="0" yWindow="0" windowWidth="24000" windowHeight="10215"/>
  </bookViews>
  <sheets>
    <sheet name="April 2024" sheetId="7" r:id="rId1"/>
    <sheet name="NAV Comparison" sheetId="2" r:id="rId2"/>
    <sheet name="Market Share" sheetId="3" r:id="rId3"/>
    <sheet name="Unitholders" sheetId="6" r:id="rId4"/>
  </sheets>
  <definedNames>
    <definedName name="_xlnm.Print_Area" localSheetId="0">'April 2024'!$A$1:$X$187</definedName>
  </definedNames>
  <calcPr calcId="162913"/>
</workbook>
</file>

<file path=xl/calcChain.xml><?xml version="1.0" encoding="utf-8"?>
<calcChain xmlns="http://schemas.openxmlformats.org/spreadsheetml/2006/main">
  <c r="N163" i="7" l="1"/>
  <c r="O163" i="7"/>
  <c r="P163" i="7"/>
  <c r="Q163" i="7"/>
  <c r="N164" i="7"/>
  <c r="O164" i="7"/>
  <c r="P164" i="7"/>
  <c r="Q164" i="7"/>
  <c r="Q162" i="7"/>
  <c r="P162" i="7"/>
  <c r="O162" i="7"/>
  <c r="N162" i="7"/>
  <c r="M163" i="7"/>
  <c r="M164" i="7"/>
  <c r="M165" i="7"/>
  <c r="M162" i="7"/>
  <c r="L174" i="7"/>
  <c r="L175" i="7"/>
  <c r="L176" i="7"/>
  <c r="L177" i="7"/>
  <c r="L178" i="7"/>
  <c r="L179" i="7"/>
  <c r="L180" i="7"/>
  <c r="L181" i="7"/>
  <c r="L182" i="7"/>
  <c r="L183" i="7"/>
  <c r="M174" i="7"/>
  <c r="M175" i="7"/>
  <c r="M176" i="7"/>
  <c r="M177" i="7"/>
  <c r="M178" i="7"/>
  <c r="M179" i="7"/>
  <c r="M180" i="7"/>
  <c r="M181" i="7"/>
  <c r="M182" i="7"/>
  <c r="M183" i="7"/>
  <c r="K130" i="7" l="1"/>
  <c r="B6" i="3"/>
  <c r="C9" i="2"/>
  <c r="N174" i="7"/>
  <c r="P174" i="7"/>
  <c r="N175" i="7"/>
  <c r="P175" i="7"/>
  <c r="N176" i="7"/>
  <c r="P176" i="7"/>
  <c r="N177" i="7"/>
  <c r="P177" i="7"/>
  <c r="N178" i="7"/>
  <c r="P178" i="7"/>
  <c r="N179" i="7"/>
  <c r="P179" i="7"/>
  <c r="N180" i="7"/>
  <c r="P180" i="7"/>
  <c r="N181" i="7"/>
  <c r="P181" i="7"/>
  <c r="N182" i="7"/>
  <c r="P182" i="7"/>
  <c r="N183" i="7"/>
  <c r="P183" i="7"/>
  <c r="M170" i="7"/>
  <c r="N170" i="7"/>
  <c r="P170" i="7"/>
  <c r="M134" i="7"/>
  <c r="N134" i="7"/>
  <c r="P134" i="7"/>
  <c r="M135" i="7"/>
  <c r="N135" i="7"/>
  <c r="P135" i="7"/>
  <c r="M136" i="7"/>
  <c r="N136" i="7"/>
  <c r="P136" i="7"/>
  <c r="M137" i="7"/>
  <c r="N137" i="7"/>
  <c r="P137" i="7"/>
  <c r="M138" i="7"/>
  <c r="N138" i="7"/>
  <c r="P138" i="7"/>
  <c r="M139" i="7"/>
  <c r="N139" i="7"/>
  <c r="O139" i="7"/>
  <c r="P139" i="7"/>
  <c r="Q139" i="7"/>
  <c r="M140" i="7"/>
  <c r="N140" i="7"/>
  <c r="P140" i="7"/>
  <c r="M141" i="7"/>
  <c r="N141" i="7"/>
  <c r="P141" i="7"/>
  <c r="M142" i="7"/>
  <c r="N142" i="7"/>
  <c r="P142" i="7"/>
  <c r="M143" i="7"/>
  <c r="N143" i="7"/>
  <c r="P143" i="7"/>
  <c r="M144" i="7"/>
  <c r="N144" i="7"/>
  <c r="P144" i="7"/>
  <c r="M145" i="7"/>
  <c r="N145" i="7"/>
  <c r="M146" i="7"/>
  <c r="N146" i="7"/>
  <c r="P146" i="7"/>
  <c r="M147" i="7"/>
  <c r="N147" i="7"/>
  <c r="P147" i="7"/>
  <c r="M148" i="7"/>
  <c r="N148" i="7"/>
  <c r="P148" i="7"/>
  <c r="M149" i="7"/>
  <c r="N149" i="7"/>
  <c r="P149" i="7"/>
  <c r="M150" i="7"/>
  <c r="N150" i="7"/>
  <c r="P150" i="7"/>
  <c r="M151" i="7"/>
  <c r="N151" i="7"/>
  <c r="P151" i="7"/>
  <c r="M152" i="7"/>
  <c r="N152" i="7"/>
  <c r="P152" i="7"/>
  <c r="M153" i="7"/>
  <c r="N153" i="7"/>
  <c r="P153" i="7"/>
  <c r="M154" i="7"/>
  <c r="N154" i="7"/>
  <c r="P154" i="7"/>
  <c r="M155" i="7"/>
  <c r="N155" i="7"/>
  <c r="P155" i="7"/>
  <c r="M156" i="7"/>
  <c r="N156" i="7"/>
  <c r="P156" i="7"/>
  <c r="M157" i="7"/>
  <c r="N157" i="7"/>
  <c r="P157" i="7"/>
  <c r="M158" i="7"/>
  <c r="N158" i="7"/>
  <c r="P158" i="7"/>
  <c r="L126" i="7"/>
  <c r="L127" i="7"/>
  <c r="L128" i="7"/>
  <c r="L129" i="7"/>
  <c r="L125" i="7"/>
  <c r="M126" i="7"/>
  <c r="N126" i="7"/>
  <c r="P126" i="7"/>
  <c r="M127" i="7"/>
  <c r="N127" i="7"/>
  <c r="P127" i="7"/>
  <c r="M128" i="7"/>
  <c r="N128" i="7"/>
  <c r="P128" i="7"/>
  <c r="M129" i="7"/>
  <c r="N129" i="7"/>
  <c r="P129" i="7"/>
  <c r="P37" i="7"/>
  <c r="M103" i="7" l="1"/>
  <c r="N103" i="7"/>
  <c r="P103" i="7"/>
  <c r="M104" i="7"/>
  <c r="N104" i="7"/>
  <c r="P104" i="7"/>
  <c r="M108" i="7"/>
  <c r="N108" i="7"/>
  <c r="P108" i="7"/>
  <c r="M60" i="7"/>
  <c r="N60" i="7"/>
  <c r="P60" i="7"/>
  <c r="M61" i="7"/>
  <c r="N61" i="7"/>
  <c r="P61" i="7"/>
  <c r="M62" i="7"/>
  <c r="N62" i="7"/>
  <c r="P62" i="7"/>
  <c r="M63" i="7"/>
  <c r="N63" i="7"/>
  <c r="P63" i="7"/>
  <c r="M64" i="7"/>
  <c r="N64" i="7"/>
  <c r="P64" i="7"/>
  <c r="M65" i="7"/>
  <c r="N65" i="7"/>
  <c r="P65" i="7"/>
  <c r="M66" i="7"/>
  <c r="N66" i="7"/>
  <c r="P66" i="7"/>
  <c r="M67" i="7"/>
  <c r="N67" i="7"/>
  <c r="P67" i="7"/>
  <c r="M68" i="7"/>
  <c r="N68" i="7"/>
  <c r="P68" i="7"/>
  <c r="M69" i="7"/>
  <c r="N69" i="7"/>
  <c r="P69" i="7"/>
  <c r="M70" i="7"/>
  <c r="N70" i="7"/>
  <c r="P70" i="7"/>
  <c r="M71" i="7"/>
  <c r="N71" i="7"/>
  <c r="P71" i="7"/>
  <c r="M72" i="7"/>
  <c r="N72" i="7"/>
  <c r="P72" i="7"/>
  <c r="M73" i="7"/>
  <c r="N73" i="7"/>
  <c r="P73" i="7"/>
  <c r="M74" i="7"/>
  <c r="N74" i="7"/>
  <c r="P74" i="7"/>
  <c r="M75" i="7"/>
  <c r="N75" i="7"/>
  <c r="P75" i="7"/>
  <c r="M76" i="7"/>
  <c r="N76" i="7"/>
  <c r="P76" i="7"/>
  <c r="M77" i="7"/>
  <c r="N77" i="7"/>
  <c r="P77" i="7"/>
  <c r="M78" i="7"/>
  <c r="N78" i="7"/>
  <c r="P78" i="7"/>
  <c r="M79" i="7"/>
  <c r="N79" i="7"/>
  <c r="P79" i="7"/>
  <c r="M80" i="7"/>
  <c r="N80" i="7"/>
  <c r="P80" i="7"/>
  <c r="M81" i="7"/>
  <c r="N81" i="7"/>
  <c r="P81" i="7"/>
  <c r="M82" i="7"/>
  <c r="N82" i="7"/>
  <c r="P82" i="7"/>
  <c r="M83" i="7"/>
  <c r="N83" i="7"/>
  <c r="P83" i="7"/>
  <c r="M84" i="7"/>
  <c r="N84" i="7"/>
  <c r="P84" i="7"/>
  <c r="M85" i="7"/>
  <c r="N85" i="7"/>
  <c r="P85" i="7"/>
  <c r="M86" i="7"/>
  <c r="N86" i="7"/>
  <c r="P86" i="7"/>
  <c r="M87" i="7"/>
  <c r="N87" i="7"/>
  <c r="P87" i="7"/>
  <c r="M88" i="7"/>
  <c r="N88" i="7"/>
  <c r="P88" i="7"/>
  <c r="M89" i="7"/>
  <c r="N89" i="7"/>
  <c r="P89" i="7"/>
  <c r="M90" i="7"/>
  <c r="N90" i="7"/>
  <c r="P90" i="7"/>
  <c r="M26" i="7"/>
  <c r="N26" i="7"/>
  <c r="P26" i="7"/>
  <c r="M27" i="7"/>
  <c r="N27" i="7"/>
  <c r="P27" i="7"/>
  <c r="M28" i="7"/>
  <c r="N28" i="7"/>
  <c r="P28" i="7"/>
  <c r="M29" i="7"/>
  <c r="N29" i="7"/>
  <c r="P29" i="7"/>
  <c r="M30" i="7"/>
  <c r="N30" i="7"/>
  <c r="P30" i="7"/>
  <c r="M31" i="7"/>
  <c r="N31" i="7"/>
  <c r="P31" i="7"/>
  <c r="M32" i="7"/>
  <c r="N32" i="7"/>
  <c r="P32" i="7"/>
  <c r="M33" i="7"/>
  <c r="N33" i="7"/>
  <c r="P33" i="7"/>
  <c r="M34" i="7"/>
  <c r="N34" i="7"/>
  <c r="P34" i="7"/>
  <c r="M35" i="7"/>
  <c r="N35" i="7"/>
  <c r="P35" i="7"/>
  <c r="M36" i="7"/>
  <c r="N36" i="7"/>
  <c r="P36" i="7"/>
  <c r="M37" i="7"/>
  <c r="N37" i="7"/>
  <c r="M38" i="7"/>
  <c r="N38" i="7"/>
  <c r="P38" i="7"/>
  <c r="M39" i="7"/>
  <c r="N39" i="7"/>
  <c r="P39" i="7"/>
  <c r="M40" i="7"/>
  <c r="N40" i="7"/>
  <c r="P40" i="7"/>
  <c r="M41" i="7"/>
  <c r="N41" i="7"/>
  <c r="P41" i="7"/>
  <c r="M42" i="7"/>
  <c r="N42" i="7"/>
  <c r="P42" i="7"/>
  <c r="M43" i="7"/>
  <c r="N43" i="7"/>
  <c r="P43" i="7"/>
  <c r="M44" i="7"/>
  <c r="N44" i="7"/>
  <c r="P44" i="7"/>
  <c r="M45" i="7"/>
  <c r="N45" i="7"/>
  <c r="P45" i="7"/>
  <c r="M46" i="7"/>
  <c r="N46" i="7"/>
  <c r="P46" i="7"/>
  <c r="M47" i="7"/>
  <c r="N47" i="7"/>
  <c r="P47" i="7"/>
  <c r="M48" i="7"/>
  <c r="N48" i="7"/>
  <c r="P48" i="7"/>
  <c r="M49" i="7"/>
  <c r="N49" i="7"/>
  <c r="P49" i="7"/>
  <c r="M50" i="7"/>
  <c r="N50" i="7"/>
  <c r="P50" i="7"/>
  <c r="M51" i="7"/>
  <c r="N51" i="7"/>
  <c r="P51" i="7"/>
  <c r="M52" i="7"/>
  <c r="N52" i="7"/>
  <c r="P52" i="7"/>
  <c r="M53" i="7"/>
  <c r="N53" i="7"/>
  <c r="P53" i="7"/>
  <c r="M54" i="7"/>
  <c r="N54" i="7"/>
  <c r="P54" i="7"/>
  <c r="M55" i="7"/>
  <c r="N55" i="7"/>
  <c r="P55" i="7"/>
  <c r="M6" i="7"/>
  <c r="N6" i="7"/>
  <c r="P6" i="7"/>
  <c r="M7" i="7"/>
  <c r="N7" i="7"/>
  <c r="P7" i="7"/>
  <c r="M8" i="7"/>
  <c r="N8" i="7"/>
  <c r="P8" i="7"/>
  <c r="M9" i="7"/>
  <c r="N9" i="7"/>
  <c r="P9" i="7"/>
  <c r="M10" i="7"/>
  <c r="N10" i="7"/>
  <c r="P10" i="7"/>
  <c r="M11" i="7"/>
  <c r="N11" i="7"/>
  <c r="P11" i="7"/>
  <c r="M12" i="7"/>
  <c r="N12" i="7"/>
  <c r="P12" i="7"/>
  <c r="M13" i="7"/>
  <c r="N13" i="7"/>
  <c r="P13" i="7"/>
  <c r="M14" i="7"/>
  <c r="N14" i="7"/>
  <c r="P14" i="7"/>
  <c r="M15" i="7"/>
  <c r="N15" i="7"/>
  <c r="P15" i="7"/>
  <c r="M16" i="7"/>
  <c r="N16" i="7"/>
  <c r="P16" i="7"/>
  <c r="M17" i="7"/>
  <c r="N17" i="7"/>
  <c r="P17" i="7"/>
  <c r="M18" i="7"/>
  <c r="N18" i="7"/>
  <c r="P18" i="7"/>
  <c r="M19" i="7"/>
  <c r="N19" i="7"/>
  <c r="P19" i="7"/>
  <c r="M20" i="7"/>
  <c r="N20" i="7"/>
  <c r="P20" i="7"/>
  <c r="M21" i="7"/>
  <c r="N21" i="7"/>
  <c r="P21" i="7"/>
  <c r="I120" i="7"/>
  <c r="I121" i="7" l="1"/>
  <c r="I119" i="7"/>
  <c r="I118" i="7"/>
  <c r="I117" i="7"/>
  <c r="I116" i="7"/>
  <c r="I115" i="7"/>
  <c r="I114" i="7"/>
  <c r="I113" i="7"/>
  <c r="I112" i="7"/>
  <c r="I109" i="7"/>
  <c r="I107" i="7"/>
  <c r="I106" i="7"/>
  <c r="I105" i="7"/>
  <c r="I102" i="7"/>
  <c r="I101" i="7"/>
  <c r="I100" i="7"/>
  <c r="I99" i="7"/>
  <c r="I98" i="7"/>
  <c r="I97" i="7"/>
  <c r="I96" i="7"/>
  <c r="H6" i="7"/>
  <c r="H7" i="7"/>
  <c r="H8" i="7"/>
  <c r="H9" i="7"/>
  <c r="D10" i="7"/>
  <c r="H10" i="7"/>
  <c r="H11" i="7"/>
  <c r="H12" i="7"/>
  <c r="H13" i="7"/>
  <c r="H14" i="7"/>
  <c r="H15" i="7"/>
  <c r="H16" i="7"/>
  <c r="H17" i="7"/>
  <c r="H18" i="7"/>
  <c r="H19" i="7"/>
  <c r="H20" i="7"/>
  <c r="H21" i="7"/>
  <c r="Q20" i="7" l="1"/>
  <c r="O20" i="7"/>
  <c r="Q18" i="7"/>
  <c r="O18" i="7"/>
  <c r="O16" i="7"/>
  <c r="Q16" i="7"/>
  <c r="O14" i="7"/>
  <c r="Q14" i="7"/>
  <c r="O12" i="7"/>
  <c r="Q12" i="7"/>
  <c r="O10" i="7"/>
  <c r="Q10" i="7"/>
  <c r="O9" i="7"/>
  <c r="Q9" i="7"/>
  <c r="O7" i="7"/>
  <c r="Q7" i="7"/>
  <c r="O21" i="7"/>
  <c r="Q21" i="7"/>
  <c r="O19" i="7"/>
  <c r="Q19" i="7"/>
  <c r="O17" i="7"/>
  <c r="Q17" i="7"/>
  <c r="O15" i="7"/>
  <c r="Q15" i="7"/>
  <c r="O13" i="7"/>
  <c r="Q13" i="7"/>
  <c r="O11" i="7"/>
  <c r="Q11" i="7"/>
  <c r="O8" i="7"/>
  <c r="Q8" i="7"/>
  <c r="O6" i="7"/>
  <c r="Q6" i="7"/>
  <c r="H80" i="7"/>
  <c r="O80" i="7" l="1"/>
  <c r="Q80" i="7"/>
  <c r="H49" i="7"/>
  <c r="O49" i="7" l="1"/>
  <c r="Q49" i="7"/>
  <c r="T139" i="7"/>
  <c r="H34" i="7"/>
  <c r="O34" i="7" l="1"/>
  <c r="Q34" i="7"/>
  <c r="D69" i="7"/>
  <c r="K100" i="7"/>
  <c r="S100" i="7"/>
  <c r="R100" i="7"/>
  <c r="G100" i="7"/>
  <c r="E100" i="7"/>
  <c r="D100" i="7"/>
  <c r="E141" i="7"/>
  <c r="D141" i="7"/>
  <c r="P100" i="7" l="1"/>
  <c r="M100" i="7"/>
  <c r="N100" i="7"/>
  <c r="S101" i="7"/>
  <c r="R101" i="7"/>
  <c r="K101" i="7"/>
  <c r="G101" i="7"/>
  <c r="E101" i="7"/>
  <c r="D101" i="7"/>
  <c r="N101" i="7" l="1"/>
  <c r="P101" i="7"/>
  <c r="M101" i="7"/>
  <c r="V145" i="7"/>
  <c r="P145" i="7" s="1"/>
  <c r="S116" i="7"/>
  <c r="R116" i="7"/>
  <c r="K116" i="7"/>
  <c r="G116" i="7"/>
  <c r="N116" i="7" s="1"/>
  <c r="E116" i="7"/>
  <c r="D116" i="7"/>
  <c r="S96" i="7"/>
  <c r="R96" i="7"/>
  <c r="K96" i="7"/>
  <c r="G96" i="7"/>
  <c r="N96" i="7" s="1"/>
  <c r="E96" i="7"/>
  <c r="D96" i="7"/>
  <c r="P96" i="7" l="1"/>
  <c r="M96" i="7"/>
  <c r="P116" i="7"/>
  <c r="M116" i="7"/>
  <c r="H89" i="7"/>
  <c r="S117" i="7"/>
  <c r="R117" i="7"/>
  <c r="K117" i="7"/>
  <c r="G117" i="7"/>
  <c r="E117" i="7"/>
  <c r="D117" i="7"/>
  <c r="K99" i="7"/>
  <c r="G99" i="7"/>
  <c r="E99" i="7"/>
  <c r="D99" i="7"/>
  <c r="U65" i="7"/>
  <c r="H65" i="7"/>
  <c r="U31" i="7"/>
  <c r="H31" i="7"/>
  <c r="P125" i="7"/>
  <c r="N125" i="7"/>
  <c r="M125" i="7"/>
  <c r="H125" i="7"/>
  <c r="Q125" i="7" s="1"/>
  <c r="H134" i="7"/>
  <c r="S98" i="7"/>
  <c r="R98" i="7"/>
  <c r="K98" i="7"/>
  <c r="G98" i="7"/>
  <c r="E98" i="7"/>
  <c r="D98" i="7"/>
  <c r="H116" i="7"/>
  <c r="H96" i="7"/>
  <c r="N98" i="7" l="1"/>
  <c r="O96" i="7"/>
  <c r="Q96" i="7"/>
  <c r="O134" i="7"/>
  <c r="Q134" i="7"/>
  <c r="P99" i="7"/>
  <c r="M99" i="7"/>
  <c r="P117" i="7"/>
  <c r="M117" i="7"/>
  <c r="O116" i="7"/>
  <c r="Q116" i="7"/>
  <c r="P98" i="7"/>
  <c r="M98" i="7"/>
  <c r="O31" i="7"/>
  <c r="Q31" i="7"/>
  <c r="O65" i="7"/>
  <c r="Q65" i="7"/>
  <c r="N99" i="7"/>
  <c r="N117" i="7"/>
  <c r="O89" i="7"/>
  <c r="Q89" i="7"/>
  <c r="H99" i="7"/>
  <c r="H98" i="7"/>
  <c r="H100" i="7"/>
  <c r="O125" i="7"/>
  <c r="H101" i="7"/>
  <c r="S109" i="7"/>
  <c r="R109" i="7"/>
  <c r="K109" i="7"/>
  <c r="G109" i="7"/>
  <c r="E109" i="7"/>
  <c r="D109" i="7"/>
  <c r="N109" i="7" l="1"/>
  <c r="O100" i="7"/>
  <c r="Q100" i="7"/>
  <c r="O101" i="7"/>
  <c r="Q101" i="7"/>
  <c r="O99" i="7"/>
  <c r="Q99" i="7"/>
  <c r="P109" i="7"/>
  <c r="M109" i="7"/>
  <c r="O98" i="7"/>
  <c r="Q98" i="7"/>
  <c r="S115" i="7"/>
  <c r="R115" i="7"/>
  <c r="K115" i="7"/>
  <c r="G115" i="7"/>
  <c r="E115" i="7"/>
  <c r="D115" i="7"/>
  <c r="H178" i="7"/>
  <c r="H180" i="7"/>
  <c r="H179" i="7"/>
  <c r="H177" i="7"/>
  <c r="H153" i="7"/>
  <c r="O178" i="7" l="1"/>
  <c r="Q178" i="7"/>
  <c r="O153" i="7"/>
  <c r="Q153" i="7"/>
  <c r="O179" i="7"/>
  <c r="Q179" i="7"/>
  <c r="P115" i="7"/>
  <c r="M115" i="7"/>
  <c r="O177" i="7"/>
  <c r="Q177" i="7"/>
  <c r="O180" i="7"/>
  <c r="Q180" i="7"/>
  <c r="N115" i="7"/>
  <c r="H69" i="7"/>
  <c r="O69" i="7" l="1"/>
  <c r="Q69" i="7"/>
  <c r="H141" i="7"/>
  <c r="O141" i="7" l="1"/>
  <c r="Q141" i="7"/>
  <c r="S121" i="7"/>
  <c r="R121" i="7"/>
  <c r="K121" i="7"/>
  <c r="G121" i="7"/>
  <c r="E121" i="7"/>
  <c r="D121" i="7"/>
  <c r="N121" i="7" l="1"/>
  <c r="P121" i="7"/>
  <c r="M121" i="7"/>
  <c r="S120" i="7"/>
  <c r="R120" i="7"/>
  <c r="K120" i="7"/>
  <c r="G120" i="7"/>
  <c r="E120" i="7"/>
  <c r="D120" i="7"/>
  <c r="D118" i="7"/>
  <c r="P120" i="7" l="1"/>
  <c r="M120" i="7"/>
  <c r="N120" i="7"/>
  <c r="S97" i="7"/>
  <c r="R97" i="7"/>
  <c r="D97" i="7"/>
  <c r="E97" i="7"/>
  <c r="G97" i="7"/>
  <c r="K97" i="7"/>
  <c r="P97" i="7" l="1"/>
  <c r="M97" i="7"/>
  <c r="N97" i="7"/>
  <c r="S118" i="7"/>
  <c r="R118" i="7"/>
  <c r="K118" i="7"/>
  <c r="P118" i="7" l="1"/>
  <c r="M118" i="7"/>
  <c r="F118" i="7"/>
  <c r="G118" i="7"/>
  <c r="N118" i="7" s="1"/>
  <c r="E118" i="7"/>
  <c r="S113" i="7" l="1"/>
  <c r="R113" i="7"/>
  <c r="K113" i="7"/>
  <c r="G113" i="7"/>
  <c r="N113" i="7" s="1"/>
  <c r="E113" i="7"/>
  <c r="D113" i="7"/>
  <c r="P113" i="7" l="1"/>
  <c r="M113" i="7"/>
  <c r="S119" i="7"/>
  <c r="R119" i="7"/>
  <c r="K119" i="7"/>
  <c r="G119" i="7"/>
  <c r="E119" i="7"/>
  <c r="D119" i="7"/>
  <c r="H158" i="7"/>
  <c r="O158" i="7" l="1"/>
  <c r="Q158" i="7"/>
  <c r="P119" i="7"/>
  <c r="M119" i="7"/>
  <c r="N119" i="7"/>
  <c r="S107" i="7"/>
  <c r="R107" i="7"/>
  <c r="K107" i="7"/>
  <c r="G107" i="7"/>
  <c r="E107" i="7"/>
  <c r="D107" i="7"/>
  <c r="N107" i="7" l="1"/>
  <c r="P107" i="7"/>
  <c r="M107" i="7"/>
  <c r="S102" i="7"/>
  <c r="R102" i="7"/>
  <c r="K102" i="7"/>
  <c r="G102" i="7"/>
  <c r="E102" i="7"/>
  <c r="D102" i="7"/>
  <c r="S106" i="7"/>
  <c r="R106" i="7"/>
  <c r="K106" i="7"/>
  <c r="G106" i="7"/>
  <c r="E106" i="7"/>
  <c r="D106" i="7"/>
  <c r="P106" i="7" l="1"/>
  <c r="M106" i="7"/>
  <c r="P102" i="7"/>
  <c r="M102" i="7"/>
  <c r="N106" i="7"/>
  <c r="N102" i="7"/>
  <c r="S105" i="7"/>
  <c r="R105" i="7"/>
  <c r="K105" i="7"/>
  <c r="F105" i="7"/>
  <c r="G105" i="7"/>
  <c r="N105" i="7" s="1"/>
  <c r="E105" i="7"/>
  <c r="H105" i="7" s="1"/>
  <c r="D105" i="7"/>
  <c r="H174" i="7"/>
  <c r="H175" i="7"/>
  <c r="H176" i="7"/>
  <c r="H181" i="7"/>
  <c r="H182" i="7"/>
  <c r="H183" i="7"/>
  <c r="H173" i="7"/>
  <c r="H170" i="7"/>
  <c r="H169" i="7"/>
  <c r="H163" i="7"/>
  <c r="H164" i="7"/>
  <c r="H162" i="7"/>
  <c r="H135" i="7"/>
  <c r="H136" i="7"/>
  <c r="H137" i="7"/>
  <c r="H138" i="7"/>
  <c r="H140" i="7"/>
  <c r="H142" i="7"/>
  <c r="H143" i="7"/>
  <c r="H144" i="7"/>
  <c r="H145" i="7"/>
  <c r="H146" i="7"/>
  <c r="H147" i="7"/>
  <c r="H148" i="7"/>
  <c r="H149" i="7"/>
  <c r="H150" i="7"/>
  <c r="H151" i="7"/>
  <c r="H152" i="7"/>
  <c r="H154" i="7"/>
  <c r="H155" i="7"/>
  <c r="H156" i="7"/>
  <c r="H157" i="7"/>
  <c r="H133" i="7"/>
  <c r="H127" i="7"/>
  <c r="H128" i="7"/>
  <c r="H129" i="7"/>
  <c r="H126" i="7"/>
  <c r="H113" i="7"/>
  <c r="H118" i="7"/>
  <c r="H119" i="7"/>
  <c r="H120" i="7"/>
  <c r="H121" i="7"/>
  <c r="H97" i="7"/>
  <c r="H102" i="7"/>
  <c r="H103" i="7"/>
  <c r="H104" i="7"/>
  <c r="H106" i="7"/>
  <c r="H107" i="7"/>
  <c r="H108" i="7"/>
  <c r="H109" i="7"/>
  <c r="H95" i="7"/>
  <c r="H60" i="7"/>
  <c r="H61" i="7"/>
  <c r="H62" i="7"/>
  <c r="H63" i="7"/>
  <c r="H64" i="7"/>
  <c r="H78" i="7"/>
  <c r="H66" i="7"/>
  <c r="H67" i="7"/>
  <c r="H68" i="7"/>
  <c r="H70" i="7"/>
  <c r="H71" i="7"/>
  <c r="H72" i="7"/>
  <c r="H73" i="7"/>
  <c r="H59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50" i="7"/>
  <c r="H51" i="7"/>
  <c r="H52" i="7"/>
  <c r="H53" i="7"/>
  <c r="H54" i="7"/>
  <c r="H55" i="7"/>
  <c r="H25" i="7"/>
  <c r="H5" i="7"/>
  <c r="H74" i="7"/>
  <c r="H76" i="7"/>
  <c r="H77" i="7"/>
  <c r="H79" i="7"/>
  <c r="H81" i="7"/>
  <c r="H82" i="7"/>
  <c r="H83" i="7"/>
  <c r="H84" i="7"/>
  <c r="H85" i="7"/>
  <c r="H86" i="7"/>
  <c r="H87" i="7"/>
  <c r="H88" i="7"/>
  <c r="H75" i="7"/>
  <c r="H90" i="7"/>
  <c r="S104" i="7"/>
  <c r="R104" i="7"/>
  <c r="O85" i="7" l="1"/>
  <c r="Q85" i="7"/>
  <c r="O77" i="7"/>
  <c r="Q77" i="7"/>
  <c r="O54" i="7"/>
  <c r="Q54" i="7"/>
  <c r="O52" i="7"/>
  <c r="Q52" i="7"/>
  <c r="O50" i="7"/>
  <c r="Q50" i="7"/>
  <c r="O47" i="7"/>
  <c r="Q47" i="7"/>
  <c r="O45" i="7"/>
  <c r="Q45" i="7"/>
  <c r="O43" i="7"/>
  <c r="Q43" i="7"/>
  <c r="O41" i="7"/>
  <c r="Q41" i="7"/>
  <c r="O39" i="7"/>
  <c r="Q39" i="7"/>
  <c r="O37" i="7"/>
  <c r="Q37" i="7"/>
  <c r="O35" i="7"/>
  <c r="Q35" i="7"/>
  <c r="O32" i="7"/>
  <c r="Q32" i="7"/>
  <c r="O29" i="7"/>
  <c r="Q29" i="7"/>
  <c r="O27" i="7"/>
  <c r="Q27" i="7"/>
  <c r="O72" i="7"/>
  <c r="Q72" i="7"/>
  <c r="O70" i="7"/>
  <c r="Q70" i="7"/>
  <c r="O67" i="7"/>
  <c r="Q67" i="7"/>
  <c r="O78" i="7"/>
  <c r="Q78" i="7"/>
  <c r="O63" i="7"/>
  <c r="Q63" i="7"/>
  <c r="O61" i="7"/>
  <c r="Q61" i="7"/>
  <c r="O108" i="7"/>
  <c r="Q108" i="7"/>
  <c r="O106" i="7"/>
  <c r="Q106" i="7"/>
  <c r="O103" i="7"/>
  <c r="Q103" i="7"/>
  <c r="O97" i="7"/>
  <c r="Q97" i="7"/>
  <c r="O120" i="7"/>
  <c r="Q120" i="7"/>
  <c r="O118" i="7"/>
  <c r="Q118" i="7"/>
  <c r="O126" i="7"/>
  <c r="Q126" i="7"/>
  <c r="O128" i="7"/>
  <c r="Q128" i="7"/>
  <c r="O156" i="7"/>
  <c r="Q156" i="7"/>
  <c r="O154" i="7"/>
  <c r="Q154" i="7"/>
  <c r="O151" i="7"/>
  <c r="Q151" i="7"/>
  <c r="O149" i="7"/>
  <c r="Q149" i="7"/>
  <c r="O147" i="7"/>
  <c r="Q147" i="7"/>
  <c r="O145" i="7"/>
  <c r="Q145" i="7"/>
  <c r="O143" i="7"/>
  <c r="Q143" i="7"/>
  <c r="O140" i="7"/>
  <c r="Q140" i="7"/>
  <c r="O137" i="7"/>
  <c r="Q137" i="7"/>
  <c r="O135" i="7"/>
  <c r="Q135" i="7"/>
  <c r="O182" i="7"/>
  <c r="Q182" i="7"/>
  <c r="O176" i="7"/>
  <c r="Q176" i="7"/>
  <c r="O174" i="7"/>
  <c r="Q174" i="7"/>
  <c r="O105" i="7"/>
  <c r="Q105" i="7"/>
  <c r="O75" i="7"/>
  <c r="Q75" i="7"/>
  <c r="O87" i="7"/>
  <c r="Q87" i="7"/>
  <c r="O83" i="7"/>
  <c r="Q83" i="7"/>
  <c r="O81" i="7"/>
  <c r="Q81" i="7"/>
  <c r="O74" i="7"/>
  <c r="Q74" i="7"/>
  <c r="O90" i="7"/>
  <c r="Q90" i="7"/>
  <c r="O88" i="7"/>
  <c r="Q88" i="7"/>
  <c r="O86" i="7"/>
  <c r="Q86" i="7"/>
  <c r="O84" i="7"/>
  <c r="Q84" i="7"/>
  <c r="O82" i="7"/>
  <c r="Q82" i="7"/>
  <c r="O79" i="7"/>
  <c r="Q79" i="7"/>
  <c r="O76" i="7"/>
  <c r="Q76" i="7"/>
  <c r="O55" i="7"/>
  <c r="Q55" i="7"/>
  <c r="O53" i="7"/>
  <c r="Q53" i="7"/>
  <c r="O51" i="7"/>
  <c r="Q51" i="7"/>
  <c r="O48" i="7"/>
  <c r="Q48" i="7"/>
  <c r="O46" i="7"/>
  <c r="Q46" i="7"/>
  <c r="O44" i="7"/>
  <c r="Q44" i="7"/>
  <c r="O42" i="7"/>
  <c r="Q42" i="7"/>
  <c r="O40" i="7"/>
  <c r="Q40" i="7"/>
  <c r="O38" i="7"/>
  <c r="Q38" i="7"/>
  <c r="O36" i="7"/>
  <c r="Q36" i="7"/>
  <c r="O33" i="7"/>
  <c r="Q33" i="7"/>
  <c r="O30" i="7"/>
  <c r="Q30" i="7"/>
  <c r="O28" i="7"/>
  <c r="Q28" i="7"/>
  <c r="O26" i="7"/>
  <c r="Q26" i="7"/>
  <c r="O73" i="7"/>
  <c r="Q73" i="7"/>
  <c r="O71" i="7"/>
  <c r="Q71" i="7"/>
  <c r="O68" i="7"/>
  <c r="Q68" i="7"/>
  <c r="O66" i="7"/>
  <c r="Q66" i="7"/>
  <c r="O64" i="7"/>
  <c r="Q64" i="7"/>
  <c r="O62" i="7"/>
  <c r="Q62" i="7"/>
  <c r="O60" i="7"/>
  <c r="Q60" i="7"/>
  <c r="O109" i="7"/>
  <c r="Q109" i="7"/>
  <c r="O107" i="7"/>
  <c r="Q107" i="7"/>
  <c r="O104" i="7"/>
  <c r="Q104" i="7"/>
  <c r="O102" i="7"/>
  <c r="Q102" i="7"/>
  <c r="O121" i="7"/>
  <c r="Q121" i="7"/>
  <c r="O119" i="7"/>
  <c r="Q119" i="7"/>
  <c r="O113" i="7"/>
  <c r="Q113" i="7"/>
  <c r="O129" i="7"/>
  <c r="Q129" i="7"/>
  <c r="O127" i="7"/>
  <c r="Q127" i="7"/>
  <c r="O157" i="7"/>
  <c r="Q157" i="7"/>
  <c r="O155" i="7"/>
  <c r="Q155" i="7"/>
  <c r="O152" i="7"/>
  <c r="Q152" i="7"/>
  <c r="O150" i="7"/>
  <c r="Q150" i="7"/>
  <c r="O148" i="7"/>
  <c r="Q148" i="7"/>
  <c r="O146" i="7"/>
  <c r="Q146" i="7"/>
  <c r="O144" i="7"/>
  <c r="Q144" i="7"/>
  <c r="O142" i="7"/>
  <c r="Q142" i="7"/>
  <c r="O138" i="7"/>
  <c r="Q138" i="7"/>
  <c r="O136" i="7"/>
  <c r="Q136" i="7"/>
  <c r="O170" i="7"/>
  <c r="Q170" i="7"/>
  <c r="O183" i="7"/>
  <c r="Q183" i="7"/>
  <c r="O181" i="7"/>
  <c r="Q181" i="7"/>
  <c r="O175" i="7"/>
  <c r="Q175" i="7"/>
  <c r="P105" i="7"/>
  <c r="M105" i="7"/>
  <c r="S103" i="7"/>
  <c r="R103" i="7"/>
  <c r="S114" i="7" l="1"/>
  <c r="R114" i="7"/>
  <c r="K114" i="7"/>
  <c r="G114" i="7"/>
  <c r="N114" i="7" s="1"/>
  <c r="E114" i="7"/>
  <c r="D114" i="7"/>
  <c r="S112" i="7"/>
  <c r="R112" i="7"/>
  <c r="K112" i="7"/>
  <c r="E112" i="7"/>
  <c r="H112" i="7" s="1"/>
  <c r="D112" i="7"/>
  <c r="P114" i="7" l="1"/>
  <c r="M114" i="7"/>
  <c r="H114" i="7"/>
  <c r="S95" i="7"/>
  <c r="R95" i="7"/>
  <c r="O114" i="7" l="1"/>
  <c r="Q114" i="7"/>
  <c r="T184" i="7"/>
  <c r="B13" i="6" s="1"/>
  <c r="K184" i="7"/>
  <c r="I184" i="7"/>
  <c r="Q173" i="7"/>
  <c r="P173" i="7"/>
  <c r="O173" i="7"/>
  <c r="N173" i="7"/>
  <c r="M173" i="7"/>
  <c r="J173" i="7"/>
  <c r="Q169" i="7"/>
  <c r="P169" i="7"/>
  <c r="O169" i="7"/>
  <c r="N169" i="7"/>
  <c r="M169" i="7"/>
  <c r="J169" i="7"/>
  <c r="T165" i="7"/>
  <c r="B12" i="6" s="1"/>
  <c r="K165" i="7"/>
  <c r="I165" i="7"/>
  <c r="K159" i="7"/>
  <c r="I159" i="7"/>
  <c r="J133" i="7" s="1"/>
  <c r="T159" i="7"/>
  <c r="B11" i="6" s="1"/>
  <c r="Q133" i="7"/>
  <c r="P133" i="7"/>
  <c r="O133" i="7"/>
  <c r="N133" i="7"/>
  <c r="M133" i="7"/>
  <c r="T130" i="7"/>
  <c r="B10" i="6" s="1"/>
  <c r="I130" i="7"/>
  <c r="T122" i="7"/>
  <c r="B9" i="6" s="1"/>
  <c r="K122" i="7"/>
  <c r="P112" i="7"/>
  <c r="N112" i="7"/>
  <c r="M112" i="7"/>
  <c r="Q95" i="7"/>
  <c r="P95" i="7"/>
  <c r="O95" i="7"/>
  <c r="N95" i="7"/>
  <c r="M95" i="7"/>
  <c r="T91" i="7"/>
  <c r="B8" i="6" s="1"/>
  <c r="K91" i="7"/>
  <c r="I91" i="7"/>
  <c r="Q59" i="7"/>
  <c r="P59" i="7"/>
  <c r="O59" i="7"/>
  <c r="N59" i="7"/>
  <c r="M59" i="7"/>
  <c r="T56" i="7"/>
  <c r="B7" i="6" s="1"/>
  <c r="K56" i="7"/>
  <c r="I56" i="7"/>
  <c r="Q25" i="7"/>
  <c r="P25" i="7"/>
  <c r="O25" i="7"/>
  <c r="N25" i="7"/>
  <c r="M25" i="7"/>
  <c r="T22" i="7"/>
  <c r="B6" i="6" s="1"/>
  <c r="K22" i="7"/>
  <c r="I22" i="7"/>
  <c r="Q5" i="7"/>
  <c r="P5" i="7"/>
  <c r="O5" i="7"/>
  <c r="N5" i="7"/>
  <c r="M5" i="7"/>
  <c r="B3" i="3" l="1"/>
  <c r="C5" i="2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M22" i="7"/>
  <c r="C6" i="2"/>
  <c r="B8" i="3"/>
  <c r="L38" i="7"/>
  <c r="L26" i="7"/>
  <c r="L27" i="7"/>
  <c r="L28" i="7"/>
  <c r="L29" i="7"/>
  <c r="L30" i="7"/>
  <c r="L31" i="7"/>
  <c r="L32" i="7"/>
  <c r="L33" i="7"/>
  <c r="L34" i="7"/>
  <c r="L35" i="7"/>
  <c r="L36" i="7"/>
  <c r="L37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B9" i="3"/>
  <c r="C8" i="2"/>
  <c r="L103" i="7"/>
  <c r="L104" i="7"/>
  <c r="L108" i="7"/>
  <c r="L100" i="7"/>
  <c r="L101" i="7"/>
  <c r="L96" i="7"/>
  <c r="L116" i="7"/>
  <c r="L99" i="7"/>
  <c r="L98" i="7"/>
  <c r="L117" i="7"/>
  <c r="L109" i="7"/>
  <c r="L115" i="7"/>
  <c r="L121" i="7"/>
  <c r="L120" i="7"/>
  <c r="L97" i="7"/>
  <c r="L118" i="7"/>
  <c r="L113" i="7"/>
  <c r="L119" i="7"/>
  <c r="L107" i="7"/>
  <c r="L106" i="7"/>
  <c r="L102" i="7"/>
  <c r="L105" i="7"/>
  <c r="L114" i="7"/>
  <c r="J126" i="7"/>
  <c r="J128" i="7"/>
  <c r="J125" i="7"/>
  <c r="J127" i="7"/>
  <c r="J129" i="7"/>
  <c r="B4" i="3"/>
  <c r="C10" i="2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J163" i="7"/>
  <c r="J162" i="7"/>
  <c r="J164" i="7"/>
  <c r="J7" i="7"/>
  <c r="J9" i="7"/>
  <c r="J11" i="7"/>
  <c r="J13" i="7"/>
  <c r="J15" i="7"/>
  <c r="J17" i="7"/>
  <c r="J19" i="7"/>
  <c r="J21" i="7"/>
  <c r="J6" i="7"/>
  <c r="J8" i="7"/>
  <c r="J10" i="7"/>
  <c r="J12" i="7"/>
  <c r="J14" i="7"/>
  <c r="J16" i="7"/>
  <c r="J18" i="7"/>
  <c r="J20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26" i="7"/>
  <c r="J28" i="7"/>
  <c r="J30" i="7"/>
  <c r="J32" i="7"/>
  <c r="J34" i="7"/>
  <c r="J36" i="7"/>
  <c r="J38" i="7"/>
  <c r="J40" i="7"/>
  <c r="J42" i="7"/>
  <c r="J44" i="7"/>
  <c r="J46" i="7"/>
  <c r="J48" i="7"/>
  <c r="J50" i="7"/>
  <c r="J52" i="7"/>
  <c r="J54" i="7"/>
  <c r="J60" i="7"/>
  <c r="J62" i="7"/>
  <c r="J64" i="7"/>
  <c r="J66" i="7"/>
  <c r="J68" i="7"/>
  <c r="J70" i="7"/>
  <c r="J72" i="7"/>
  <c r="J74" i="7"/>
  <c r="J76" i="7"/>
  <c r="J78" i="7"/>
  <c r="J80" i="7"/>
  <c r="J82" i="7"/>
  <c r="J84" i="7"/>
  <c r="J86" i="7"/>
  <c r="J88" i="7"/>
  <c r="J90" i="7"/>
  <c r="J61" i="7"/>
  <c r="J63" i="7"/>
  <c r="J65" i="7"/>
  <c r="J67" i="7"/>
  <c r="J69" i="7"/>
  <c r="J71" i="7"/>
  <c r="J73" i="7"/>
  <c r="J75" i="7"/>
  <c r="J77" i="7"/>
  <c r="J79" i="7"/>
  <c r="J81" i="7"/>
  <c r="J83" i="7"/>
  <c r="J85" i="7"/>
  <c r="J87" i="7"/>
  <c r="J89" i="7"/>
  <c r="J135" i="7"/>
  <c r="J137" i="7"/>
  <c r="J139" i="7"/>
  <c r="J141" i="7"/>
  <c r="J143" i="7"/>
  <c r="J145" i="7"/>
  <c r="J147" i="7"/>
  <c r="J149" i="7"/>
  <c r="J151" i="7"/>
  <c r="J153" i="7"/>
  <c r="J155" i="7"/>
  <c r="J157" i="7"/>
  <c r="J134" i="7"/>
  <c r="J136" i="7"/>
  <c r="J138" i="7"/>
  <c r="J140" i="7"/>
  <c r="J142" i="7"/>
  <c r="J144" i="7"/>
  <c r="J146" i="7"/>
  <c r="J148" i="7"/>
  <c r="J150" i="7"/>
  <c r="J152" i="7"/>
  <c r="J154" i="7"/>
  <c r="J156" i="7"/>
  <c r="J158" i="7"/>
  <c r="L164" i="7"/>
  <c r="L163" i="7"/>
  <c r="L162" i="7"/>
  <c r="C11" i="2"/>
  <c r="B2" i="3"/>
  <c r="J175" i="7"/>
  <c r="J177" i="7"/>
  <c r="J179" i="7"/>
  <c r="J181" i="7"/>
  <c r="J183" i="7"/>
  <c r="J174" i="7"/>
  <c r="J176" i="7"/>
  <c r="J178" i="7"/>
  <c r="J180" i="7"/>
  <c r="J182" i="7"/>
  <c r="J170" i="7"/>
  <c r="M184" i="7"/>
  <c r="L170" i="7"/>
  <c r="B5" i="3"/>
  <c r="C12" i="2"/>
  <c r="B7" i="3"/>
  <c r="C7" i="2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59" i="7"/>
  <c r="I122" i="7"/>
  <c r="J112" i="7" s="1"/>
  <c r="J59" i="7"/>
  <c r="M130" i="7"/>
  <c r="J5" i="7"/>
  <c r="H115" i="7"/>
  <c r="H117" i="7"/>
  <c r="M159" i="7"/>
  <c r="L169" i="7"/>
  <c r="L173" i="7"/>
  <c r="L5" i="7"/>
  <c r="T185" i="7"/>
  <c r="L133" i="7"/>
  <c r="L25" i="7"/>
  <c r="M91" i="7"/>
  <c r="L95" i="7"/>
  <c r="Q112" i="7"/>
  <c r="O112" i="7"/>
  <c r="L112" i="7"/>
  <c r="M56" i="7"/>
  <c r="K185" i="7"/>
  <c r="L56" i="7" s="1"/>
  <c r="J25" i="7"/>
  <c r="I185" i="7" l="1"/>
  <c r="J165" i="7" s="1"/>
  <c r="O117" i="7"/>
  <c r="Q117" i="7"/>
  <c r="O115" i="7"/>
  <c r="Q115" i="7"/>
  <c r="J104" i="7"/>
  <c r="J108" i="7"/>
  <c r="J103" i="7"/>
  <c r="J120" i="7"/>
  <c r="J96" i="7"/>
  <c r="J100" i="7"/>
  <c r="J106" i="7"/>
  <c r="J113" i="7"/>
  <c r="J117" i="7"/>
  <c r="J97" i="7"/>
  <c r="J101" i="7"/>
  <c r="J107" i="7"/>
  <c r="J116" i="7"/>
  <c r="J121" i="7"/>
  <c r="J98" i="7"/>
  <c r="J102" i="7"/>
  <c r="J109" i="7"/>
  <c r="J115" i="7"/>
  <c r="J119" i="7"/>
  <c r="J99" i="7"/>
  <c r="J105" i="7"/>
  <c r="J114" i="7"/>
  <c r="J118" i="7"/>
  <c r="L165" i="7"/>
  <c r="J95" i="7"/>
  <c r="M122" i="7"/>
  <c r="J122" i="7"/>
  <c r="L91" i="7"/>
  <c r="J184" i="7"/>
  <c r="J159" i="7"/>
  <c r="J130" i="7"/>
  <c r="J22" i="7"/>
  <c r="L184" i="7"/>
  <c r="L159" i="7"/>
  <c r="L130" i="7"/>
  <c r="L22" i="7"/>
  <c r="L122" i="7"/>
  <c r="J91" i="7"/>
  <c r="J56" i="7"/>
</calcChain>
</file>

<file path=xl/sharedStrings.xml><?xml version="1.0" encoding="utf-8"?>
<sst xmlns="http://schemas.openxmlformats.org/spreadsheetml/2006/main" count="385" uniqueCount="257">
  <si>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</si>
  <si>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</si>
  <si>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</si>
  <si>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</si>
  <si>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</si>
  <si>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</si>
  <si>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</si>
  <si>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</si>
  <si>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</si>
  <si>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</si>
  <si>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</si>
  <si>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</si>
  <si>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</si>
  <si>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</si>
  <si>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</si>
  <si>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</si>
  <si>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</si>
  <si>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</si>
  <si>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</si>
  <si>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</si>
  <si>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</si>
  <si>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</si>
  <si>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</si>
  <si>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</si>
  <si>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</si>
  <si>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</si>
  <si>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</si>
  <si>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</si>
  <si>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</si>
  <si>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</si>
  <si>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</si>
  <si>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</si>
  <si>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</si>
  <si>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</si>
  <si>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</si>
  <si>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</si>
  <si>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</si>
  <si>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</si>
  <si>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</si>
  <si>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</si>
  <si>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</si>
  <si>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</si>
  <si>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</si>
  <si>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</si>
  <si>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</si>
  <si>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</si>
  <si>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</si>
  <si>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</si>
  <si>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</si>
  <si>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</si>
  <si>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</si>
  <si>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</si>
  <si>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</si>
  <si>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</si>
  <si>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</si>
  <si>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</si>
  <si>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</si>
  <si>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</si>
  <si>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</si>
  <si>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</si>
  <si>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</si>
  <si>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</si>
  <si>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</si>
  <si>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</si>
  <si>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</si>
  <si>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</si>
  <si>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</si>
  <si>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</si>
  <si>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</si>
  <si>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</si>
  <si>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</si>
  <si>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</si>
  <si>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</si>
  <si>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</si>
  <si>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</si>
  <si>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</si>
  <si>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</si>
  <si>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</si>
  <si>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</si>
  <si>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</si>
  <si>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</si>
  <si>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</si>
  <si>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</si>
  <si>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</si>
  <si>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</si>
  <si>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</si>
  <si>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</si>
  <si>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</si>
  <si>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</si>
  <si>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</si>
  <si>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</si>
  <si>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</si>
  <si>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</si>
  <si>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</si>
  <si>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</si>
  <si>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</si>
  <si>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</si>
  <si>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</si>
  <si>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</si>
  <si>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</si>
  <si>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</si>
  <si>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</si>
  <si>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</si>
  <si>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</si>
  <si>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</si>
  <si>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</si>
  <si>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</si>
  <si>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</si>
  <si>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</si>
  <si>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</si>
  <si>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</si>
  <si>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</si>
  <si>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</si>
  <si>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</si>
  <si>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</si>
  <si>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</si>
  <si>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</si>
  <si>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</si>
  <si>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</si>
  <si>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</si>
  <si>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</si>
  <si>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</si>
  <si>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</si>
  <si>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</si>
  <si>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</si>
  <si>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</si>
  <si>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</si>
  <si>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</si>
  <si>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</si>
  <si>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</si>
  <si>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</si>
  <si>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</si>
  <si>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</si>
  <si>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</si>
  <si>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</si>
  <si>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</si>
  <si>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</si>
  <si>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</si>
  <si>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</si>
  <si>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</si>
  <si>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</si>
  <si>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</si>
  <si>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</si>
  <si>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</si>
  <si>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</si>
  <si>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</si>
  <si>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</si>
  <si>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</si>
  <si>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</si>
  <si>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</si>
  <si>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</si>
  <si>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</si>
  <si>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</si>
  <si>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</si>
  <si>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</si>
  <si>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</si>
  <si>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</si>
  <si>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</si>
  <si>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</si>
  <si>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</si>
  <si>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</si>
  <si>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</si>
  <si>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</si>
  <si>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</si>
  <si>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</si>
  <si>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</si>
  <si>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</si>
  <si>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</si>
  <si>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</si>
  <si>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</si>
  <si>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</si>
  <si>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</si>
  <si>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</si>
  <si>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</si>
  <si>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</si>
  <si>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</si>
  <si>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</si>
  <si>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</si>
  <si>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</si>
  <si>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</si>
  <si>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</si>
  <si>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</si>
  <si>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</si>
  <si>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</si>
  <si>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</si>
  <si>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</si>
  <si>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</si>
  <si>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</si>
  <si>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</si>
  <si>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</si>
  <si>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</si>
  <si>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</si>
  <si>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</si>
  <si>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</si>
  <si>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</si>
  <si>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</si>
  <si>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</si>
  <si>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</si>
  <si>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</si>
  <si>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</si>
  <si>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</si>
  <si>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</si>
  <si>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</si>
  <si>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</si>
  <si>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</si>
  <si>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</si>
  <si>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</si>
  <si>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</si>
  <si>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</si>
  <si>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</si>
  <si>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</si>
  <si>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</si>
  <si>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</si>
  <si>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</si>
  <si>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MONTHLY UPDATE ON REGISTERED MUTUAL FUNDS AS AT 30TH APRIL, 2024</t>
  </si>
  <si>
    <t>Cowry Balanced Fund</t>
  </si>
  <si>
    <t>The Nigeria Football Fund</t>
  </si>
  <si>
    <t>GTI Asset Management &amp; Trust Limited</t>
  </si>
  <si>
    <t>Cowry Fixed Income Fund</t>
  </si>
  <si>
    <t>Norrenberger Investment &amp; Capital Mgt Ltd</t>
  </si>
  <si>
    <t>FSDH Halal Fund</t>
  </si>
  <si>
    <t>Marble Halal Commodities Fund</t>
  </si>
  <si>
    <t xml:space="preserve">Marble Capital Limited </t>
  </si>
  <si>
    <t>Marble Halal Fixed Income Fund</t>
  </si>
  <si>
    <r>
      <t>US$/NG</t>
    </r>
    <r>
      <rPr>
        <strike/>
        <sz val="10"/>
        <color rgb="FFFFFFFF"/>
        <rFont val="Times New Roman"/>
        <family val="1"/>
      </rPr>
      <t>N</t>
    </r>
    <r>
      <rPr>
        <sz val="10"/>
        <color rgb="FFFFFFFF"/>
        <rFont val="Times New Roman"/>
        <family val="1"/>
      </rPr>
      <t xml:space="preserve"> I&amp;E as at 30th April, 2024 = 1,330.205</t>
    </r>
  </si>
  <si>
    <t>AIICO Eurobond Fund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</si>
  <si>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</si>
  <si>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</si>
  <si>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</si>
  <si>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</si>
  <si>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</si>
  <si>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Lead Dollar Fixed Income Fund</t>
  </si>
  <si>
    <t>Lead Asset Management Limited</t>
  </si>
  <si>
    <t>CardinalStone Equity Fund</t>
  </si>
  <si>
    <t>Cowry Equity Fund</t>
  </si>
  <si>
    <t>Alpha Morgan Balanced Fund</t>
  </si>
  <si>
    <t>Alpha Morgan Capital Managers Limited</t>
  </si>
  <si>
    <t>Housing Solution Fund</t>
  </si>
  <si>
    <t>FUNDCO Capital Managers Limited</t>
  </si>
  <si>
    <t>21,220,000</t>
  </si>
  <si>
    <t>Comercio Partners Money Market Fund</t>
  </si>
  <si>
    <t>Nigeria Bond Fund</t>
  </si>
  <si>
    <t>Comercio Partners Fixed Income Fund</t>
  </si>
  <si>
    <t>Guaranty Trust Fixed Income Fund</t>
  </si>
  <si>
    <t>Utica Custodian Assured Fixed Income Fund</t>
  </si>
  <si>
    <t>Utica Capital Limited</t>
  </si>
  <si>
    <t>16,450,226.89</t>
  </si>
  <si>
    <t>UNREALIZED CAPITAL GAINS/LOSS (N)</t>
  </si>
  <si>
    <t>% OF TOTAL</t>
  </si>
  <si>
    <t>NET ASSET VALUE (N) PREVIOUS - MARCH</t>
  </si>
  <si>
    <t>Page Money Market Fund</t>
  </si>
  <si>
    <t>Page Asset Management Limited</t>
  </si>
  <si>
    <t>Norrenberger Turbo Fixed Income Fund</t>
  </si>
  <si>
    <t>Norrenberger Investment &amp; Capital Mgt. Ltd.</t>
  </si>
  <si>
    <t>April 2024</t>
  </si>
  <si>
    <t>March 2024</t>
  </si>
  <si>
    <t>The chart above shows that the Dollar Fund (Eurobonds and Fixed Income) has the highest share of the Aggregate Net Asset Value (NAV) at 46.55% followed by Money Market Fund  with 34.94%, Bond/Fixed Income Fund at 9.93%, Real Estate Investment Trust at 3.72%.  Next is Balanced Fund at 1.78%, Shari'ah Compliant Fund at 1.93%, Equity Fund at 0.99%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</si>
</sst>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FFFF"/>
      <name val="Times New Roman"/>
      <family val="1"/>
    </font>
    <font>
      <strike/>
      <sz val="10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32"/>
      <color indexed="9"/>
      <name val="Segoe UI Black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b/>
      <sz val="8"/>
      <color rgb="FF00B050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b/>
      <sz val="8"/>
      <color rgb="FFFF0000"/>
      <name val="Century Gothic"/>
      <family val="2"/>
    </font>
    <font>
      <sz val="8"/>
      <color rgb="FF000000"/>
      <name val="Century Gothic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Century Gothic"/>
      <family val="2"/>
    </font>
    <font>
      <b/>
      <sz val="9"/>
      <name val="Century Gothic"/>
      <family val="2"/>
    </font>
    <font>
      <b/>
      <sz val="10"/>
      <color rgb="FFFF0000"/>
      <name val="Century Gothic"/>
      <family val="2"/>
    </font>
    <font>
      <sz val="10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3" tint="0.79989013336588644"/>
      </left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3" tint="0.79989013336588644"/>
      </top>
      <bottom style="thin">
        <color theme="4" tint="0.59999389629810485"/>
      </bottom>
      <diagonal/>
    </border>
  </borders>
  <cellStyleXfs count="464">
    <xf numFmtId="0" fontId="0" fillId="0" borderId="0"/>
    <xf numFmtId="164" fontId="23" fillId="0" borderId="0" applyFon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165" fontId="1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6" fillId="11" borderId="0" applyNumberFormat="0" applyBorder="0" applyAlignment="0" applyProtection="0"/>
    <xf numFmtId="17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49" fontId="11" fillId="0" borderId="0"/>
    <xf numFmtId="49" fontId="11" fillId="0" borderId="0"/>
    <xf numFmtId="49" fontId="11" fillId="0" borderId="0"/>
    <xf numFmtId="49" fontId="11" fillId="0" borderId="0"/>
    <xf numFmtId="0" fontId="11" fillId="0" borderId="0"/>
    <xf numFmtId="37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0" fontId="23" fillId="10" borderId="4" applyNumberFormat="0" applyFont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16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5" fillId="0" borderId="0" xfId="0" applyFont="1"/>
    <xf numFmtId="0" fontId="6" fillId="4" borderId="0" xfId="0" applyFont="1" applyFill="1"/>
    <xf numFmtId="0" fontId="6" fillId="0" borderId="0" xfId="0" applyFont="1"/>
    <xf numFmtId="49" fontId="7" fillId="6" borderId="3" xfId="0" applyNumberFormat="1" applyFont="1" applyFill="1" applyBorder="1" applyAlignment="1">
      <alignment horizontal="center" vertical="top" wrapText="1"/>
    </xf>
    <xf numFmtId="164" fontId="7" fillId="6" borderId="3" xfId="1" applyFont="1" applyFill="1" applyBorder="1" applyAlignment="1">
      <alignment horizontal="center" vertical="top" wrapText="1"/>
    </xf>
    <xf numFmtId="0" fontId="8" fillId="0" borderId="0" xfId="0" applyFont="1"/>
    <xf numFmtId="0" fontId="6" fillId="2" borderId="0" xfId="0" applyFont="1" applyFill="1"/>
    <xf numFmtId="0" fontId="12" fillId="2" borderId="0" xfId="0" applyFont="1" applyFill="1"/>
    <xf numFmtId="164" fontId="6" fillId="2" borderId="0" xfId="1" applyFont="1" applyFill="1" applyBorder="1" applyAlignment="1"/>
    <xf numFmtId="0" fontId="13" fillId="9" borderId="0" xfId="0" applyFont="1" applyFill="1" applyAlignment="1">
      <alignment horizontal="right" vertical="center"/>
    </xf>
    <xf numFmtId="172" fontId="10" fillId="2" borderId="0" xfId="0" applyNumberFormat="1" applyFont="1" applyFill="1"/>
    <xf numFmtId="175" fontId="10" fillId="2" borderId="0" xfId="0" applyNumberFormat="1" applyFont="1" applyFill="1"/>
    <xf numFmtId="0" fontId="24" fillId="0" borderId="0" xfId="0" applyFont="1"/>
    <xf numFmtId="164" fontId="25" fillId="2" borderId="2" xfId="1" applyFont="1" applyFill="1" applyBorder="1"/>
    <xf numFmtId="164" fontId="26" fillId="2" borderId="2" xfId="1" applyFont="1" applyFill="1" applyBorder="1"/>
    <xf numFmtId="10" fontId="26" fillId="2" borderId="2" xfId="0" applyNumberFormat="1" applyFont="1" applyFill="1" applyBorder="1" applyAlignment="1">
      <alignment horizontal="center"/>
    </xf>
    <xf numFmtId="10" fontId="27" fillId="30" borderId="2" xfId="0" applyNumberFormat="1" applyFont="1" applyFill="1" applyBorder="1" applyAlignment="1">
      <alignment horizontal="center" vertical="center"/>
    </xf>
    <xf numFmtId="10" fontId="26" fillId="30" borderId="2" xfId="0" applyNumberFormat="1" applyFont="1" applyFill="1" applyBorder="1" applyAlignment="1">
      <alignment horizontal="center" vertical="center"/>
    </xf>
    <xf numFmtId="172" fontId="26" fillId="30" borderId="2" xfId="0" applyNumberFormat="1" applyFont="1" applyFill="1" applyBorder="1" applyAlignment="1">
      <alignment horizontal="right" vertical="center"/>
    </xf>
    <xf numFmtId="0" fontId="21" fillId="9" borderId="0" xfId="0" applyFont="1" applyFill="1" applyAlignment="1">
      <alignment horizontal="left"/>
    </xf>
    <xf numFmtId="164" fontId="26" fillId="2" borderId="2" xfId="1" applyFont="1" applyFill="1" applyBorder="1" applyAlignment="1"/>
    <xf numFmtId="164" fontId="26" fillId="2" borderId="2" xfId="1" applyFont="1" applyFill="1" applyBorder="1" applyAlignment="1">
      <alignment horizontal="left"/>
    </xf>
    <xf numFmtId="164" fontId="26" fillId="0" borderId="2" xfId="1" applyFont="1" applyBorder="1"/>
    <xf numFmtId="164" fontId="26" fillId="2" borderId="2" xfId="1" applyFont="1" applyFill="1" applyBorder="1" applyAlignment="1">
      <alignment horizontal="right" vertical="top" wrapText="1"/>
    </xf>
    <xf numFmtId="164" fontId="26" fillId="2" borderId="2" xfId="1" applyFont="1" applyFill="1" applyBorder="1" applyAlignment="1">
      <alignment horizontal="center" vertical="top" wrapText="1"/>
    </xf>
    <xf numFmtId="49" fontId="26" fillId="2" borderId="2" xfId="0" applyNumberFormat="1" applyFont="1" applyFill="1" applyBorder="1" applyAlignment="1">
      <alignment wrapText="1"/>
    </xf>
    <xf numFmtId="164" fontId="26" fillId="2" borderId="2" xfId="1" applyFont="1" applyFill="1" applyBorder="1" applyAlignment="1">
      <alignment horizontal="right"/>
    </xf>
    <xf numFmtId="173" fontId="26" fillId="2" borderId="2" xfId="0" applyNumberFormat="1" applyFont="1" applyFill="1" applyBorder="1" applyAlignment="1">
      <alignment horizontal="center" wrapText="1"/>
    </xf>
    <xf numFmtId="164" fontId="29" fillId="2" borderId="2" xfId="1" applyFont="1" applyFill="1" applyBorder="1" applyAlignment="1"/>
    <xf numFmtId="10" fontId="29" fillId="2" borderId="2" xfId="0" applyNumberFormat="1" applyFont="1" applyFill="1" applyBorder="1" applyAlignment="1">
      <alignment horizontal="center"/>
    </xf>
    <xf numFmtId="10" fontId="30" fillId="7" borderId="2" xfId="0" applyNumberFormat="1" applyFont="1" applyFill="1" applyBorder="1" applyAlignment="1">
      <alignment horizontal="center" vertical="center"/>
    </xf>
    <xf numFmtId="10" fontId="29" fillId="7" borderId="2" xfId="0" applyNumberFormat="1" applyFont="1" applyFill="1" applyBorder="1" applyAlignment="1">
      <alignment horizontal="center" vertical="center"/>
    </xf>
    <xf numFmtId="172" fontId="29" fillId="7" borderId="2" xfId="0" applyNumberFormat="1" applyFont="1" applyFill="1" applyBorder="1" applyAlignment="1">
      <alignment horizontal="right" vertical="center"/>
    </xf>
    <xf numFmtId="164" fontId="29" fillId="2" borderId="2" xfId="1" applyFont="1" applyFill="1" applyBorder="1"/>
    <xf numFmtId="49" fontId="26" fillId="2" borderId="2" xfId="0" applyNumberFormat="1" applyFont="1" applyFill="1" applyBorder="1"/>
    <xf numFmtId="49" fontId="26" fillId="2" borderId="2" xfId="0" applyNumberFormat="1" applyFont="1" applyFill="1" applyBorder="1" applyAlignment="1">
      <alignment vertical="center" wrapText="1"/>
    </xf>
    <xf numFmtId="172" fontId="26" fillId="2" borderId="2" xfId="0" applyNumberFormat="1" applyFont="1" applyFill="1" applyBorder="1"/>
    <xf numFmtId="10" fontId="31" fillId="2" borderId="2" xfId="0" applyNumberFormat="1" applyFont="1" applyFill="1" applyBorder="1" applyAlignment="1">
      <alignment horizontal="center"/>
    </xf>
    <xf numFmtId="10" fontId="31" fillId="7" borderId="2" xfId="0" applyNumberFormat="1" applyFont="1" applyFill="1" applyBorder="1" applyAlignment="1">
      <alignment horizontal="center" vertical="center"/>
    </xf>
    <xf numFmtId="172" fontId="31" fillId="7" borderId="2" xfId="0" applyNumberFormat="1" applyFont="1" applyFill="1" applyBorder="1" applyAlignment="1">
      <alignment horizontal="right" vertical="center"/>
    </xf>
    <xf numFmtId="164" fontId="30" fillId="2" borderId="2" xfId="1" applyFont="1" applyFill="1" applyBorder="1"/>
    <xf numFmtId="164" fontId="31" fillId="2" borderId="2" xfId="1" applyFont="1" applyFill="1" applyBorder="1"/>
    <xf numFmtId="172" fontId="29" fillId="7" borderId="2" xfId="0" applyNumberFormat="1" applyFont="1" applyFill="1" applyBorder="1" applyAlignment="1">
      <alignment horizontal="center" vertical="center"/>
    </xf>
    <xf numFmtId="164" fontId="32" fillId="2" borderId="2" xfId="1" applyFont="1" applyFill="1" applyBorder="1"/>
    <xf numFmtId="49" fontId="26" fillId="2" borderId="2" xfId="0" applyNumberFormat="1" applyFont="1" applyFill="1" applyBorder="1" applyAlignment="1">
      <alignment vertical="top" wrapText="1"/>
    </xf>
    <xf numFmtId="172" fontId="33" fillId="2" borderId="2" xfId="0" applyNumberFormat="1" applyFont="1" applyFill="1" applyBorder="1"/>
    <xf numFmtId="10" fontId="33" fillId="2" borderId="2" xfId="0" applyNumberFormat="1" applyFont="1" applyFill="1" applyBorder="1" applyAlignment="1">
      <alignment horizontal="center"/>
    </xf>
    <xf numFmtId="10" fontId="34" fillId="7" borderId="2" xfId="0" applyNumberFormat="1" applyFont="1" applyFill="1" applyBorder="1" applyAlignment="1">
      <alignment horizontal="center" vertical="center"/>
    </xf>
    <xf numFmtId="10" fontId="33" fillId="7" borderId="2" xfId="0" applyNumberFormat="1" applyFont="1" applyFill="1" applyBorder="1" applyAlignment="1">
      <alignment horizontal="center" vertical="center"/>
    </xf>
    <xf numFmtId="172" fontId="33" fillId="7" borderId="2" xfId="0" applyNumberFormat="1" applyFont="1" applyFill="1" applyBorder="1" applyAlignment="1">
      <alignment horizontal="center" vertical="center"/>
    </xf>
    <xf numFmtId="164" fontId="33" fillId="2" borderId="2" xfId="1" applyFont="1" applyFill="1" applyBorder="1"/>
    <xf numFmtId="10" fontId="27" fillId="7" borderId="2" xfId="0" applyNumberFormat="1" applyFont="1" applyFill="1" applyBorder="1" applyAlignment="1">
      <alignment horizontal="center" vertical="center"/>
    </xf>
    <xf numFmtId="172" fontId="27" fillId="2" borderId="2" xfId="0" applyNumberFormat="1" applyFont="1" applyFill="1" applyBorder="1"/>
    <xf numFmtId="173" fontId="26" fillId="2" borderId="2" xfId="0" applyNumberFormat="1" applyFont="1" applyFill="1" applyBorder="1" applyAlignment="1">
      <alignment horizontal="right" wrapText="1"/>
    </xf>
    <xf numFmtId="4" fontId="26" fillId="2" borderId="2" xfId="0" applyNumberFormat="1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172" fontId="33" fillId="7" borderId="2" xfId="0" applyNumberFormat="1" applyFont="1" applyFill="1" applyBorder="1" applyAlignment="1">
      <alignment horizontal="right" vertical="center"/>
    </xf>
    <xf numFmtId="164" fontId="33" fillId="2" borderId="2" xfId="1" applyFont="1" applyFill="1" applyBorder="1" applyAlignment="1"/>
    <xf numFmtId="164" fontId="29" fillId="2" borderId="2" xfId="1" applyFont="1" applyFill="1" applyBorder="1" applyAlignment="1">
      <alignment horizontal="right"/>
    </xf>
    <xf numFmtId="164" fontId="33" fillId="2" borderId="2" xfId="1" applyFont="1" applyFill="1" applyBorder="1" applyAlignment="1">
      <alignment wrapText="1"/>
    </xf>
    <xf numFmtId="164" fontId="29" fillId="2" borderId="2" xfId="1" applyFont="1" applyFill="1" applyBorder="1" applyAlignment="1">
      <alignment horizontal="left"/>
    </xf>
    <xf numFmtId="164" fontId="35" fillId="0" borderId="2" xfId="1" applyFont="1" applyBorder="1"/>
    <xf numFmtId="164" fontId="26" fillId="2" borderId="2" xfId="1" applyFont="1" applyFill="1" applyBorder="1" applyAlignment="1">
      <alignment wrapText="1"/>
    </xf>
    <xf numFmtId="174" fontId="26" fillId="2" borderId="2" xfId="1" applyNumberFormat="1" applyFont="1" applyFill="1" applyBorder="1" applyAlignment="1">
      <alignment horizontal="center" wrapText="1"/>
    </xf>
    <xf numFmtId="164" fontId="26" fillId="2" borderId="2" xfId="1" applyFont="1" applyFill="1" applyBorder="1" applyAlignment="1">
      <alignment horizontal="left" vertical="top" wrapText="1"/>
    </xf>
    <xf numFmtId="0" fontId="26" fillId="2" borderId="2" xfId="0" applyFont="1" applyFill="1" applyBorder="1"/>
    <xf numFmtId="4" fontId="26" fillId="2" borderId="2" xfId="463" applyNumberFormat="1" applyFont="1" applyFill="1" applyBorder="1" applyAlignment="1">
      <alignment wrapText="1"/>
    </xf>
    <xf numFmtId="0" fontId="26" fillId="2" borderId="2" xfId="463" applyFont="1" applyFill="1" applyBorder="1" applyAlignment="1">
      <alignment wrapText="1"/>
    </xf>
    <xf numFmtId="164" fontId="38" fillId="2" borderId="2" xfId="1" applyFont="1" applyFill="1" applyBorder="1"/>
    <xf numFmtId="164" fontId="38" fillId="2" borderId="2" xfId="1" applyFont="1" applyFill="1" applyBorder="1" applyAlignment="1">
      <alignment horizontal="right" vertical="top" wrapText="1"/>
    </xf>
    <xf numFmtId="43" fontId="5" fillId="0" borderId="0" xfId="200" applyFont="1"/>
    <xf numFmtId="4" fontId="38" fillId="2" borderId="2" xfId="0" applyNumberFormat="1" applyFont="1" applyFill="1" applyBorder="1"/>
    <xf numFmtId="4" fontId="38" fillId="2" borderId="2" xfId="0" applyNumberFormat="1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4" fontId="39" fillId="2" borderId="1" xfId="0" applyNumberFormat="1" applyFont="1" applyFill="1" applyBorder="1" applyAlignment="1">
      <alignment horizontal="right"/>
    </xf>
    <xf numFmtId="4" fontId="39" fillId="2" borderId="0" xfId="0" applyNumberFormat="1" applyFont="1" applyFill="1" applyAlignment="1">
      <alignment horizontal="right"/>
    </xf>
    <xf numFmtId="164" fontId="35" fillId="0" borderId="2" xfId="1" applyFont="1" applyBorder="1" applyAlignment="1">
      <alignment horizontal="right"/>
    </xf>
    <xf numFmtId="164" fontId="35" fillId="2" borderId="2" xfId="1" applyFont="1" applyFill="1" applyBorder="1"/>
    <xf numFmtId="164" fontId="35" fillId="0" borderId="2" xfId="1" applyFont="1" applyBorder="1" applyAlignment="1"/>
    <xf numFmtId="164" fontId="35" fillId="29" borderId="2" xfId="1" applyFont="1" applyFill="1" applyBorder="1" applyAlignment="1">
      <alignment horizontal="left"/>
    </xf>
    <xf numFmtId="164" fontId="30" fillId="2" borderId="2" xfId="1" applyFont="1" applyFill="1" applyBorder="1" applyAlignment="1">
      <alignment horizontal="left"/>
    </xf>
    <xf numFmtId="164" fontId="32" fillId="0" borderId="2" xfId="1" applyFont="1" applyBorder="1"/>
    <xf numFmtId="164" fontId="29" fillId="0" borderId="2" xfId="1" applyFont="1" applyFill="1" applyBorder="1"/>
    <xf numFmtId="164" fontId="35" fillId="0" borderId="2" xfId="1" applyFont="1" applyBorder="1" applyAlignment="1">
      <alignment vertical="center"/>
    </xf>
    <xf numFmtId="164" fontId="29" fillId="0" borderId="2" xfId="1" applyFont="1" applyFill="1" applyBorder="1" applyAlignment="1"/>
    <xf numFmtId="164" fontId="35" fillId="29" borderId="2" xfId="1" applyFont="1" applyFill="1" applyBorder="1"/>
    <xf numFmtId="164" fontId="29" fillId="2" borderId="2" xfId="1" applyFont="1" applyFill="1" applyBorder="1" applyAlignment="1">
      <alignment horizontal="center"/>
    </xf>
    <xf numFmtId="164" fontId="35" fillId="2" borderId="2" xfId="1" applyFont="1" applyFill="1" applyBorder="1" applyAlignment="1">
      <alignment horizontal="right"/>
    </xf>
    <xf numFmtId="164" fontId="35" fillId="2" borderId="2" xfId="1" applyFont="1" applyFill="1" applyBorder="1" applyAlignment="1"/>
    <xf numFmtId="164" fontId="32" fillId="2" borderId="2" xfId="1" applyFont="1" applyFill="1" applyBorder="1" applyAlignment="1">
      <alignment horizontal="right"/>
    </xf>
    <xf numFmtId="164" fontId="32" fillId="2" borderId="2" xfId="1" applyFont="1" applyFill="1" applyBorder="1" applyAlignment="1">
      <alignment vertical="center"/>
    </xf>
    <xf numFmtId="164" fontId="32" fillId="2" borderId="2" xfId="1" applyFont="1" applyFill="1" applyBorder="1" applyAlignment="1"/>
    <xf numFmtId="164" fontId="27" fillId="2" borderId="2" xfId="1" applyFont="1" applyFill="1" applyBorder="1" applyAlignment="1">
      <alignment horizontal="center" wrapText="1"/>
    </xf>
    <xf numFmtId="164" fontId="32" fillId="0" borderId="2" xfId="1" applyFont="1" applyBorder="1" applyAlignment="1">
      <alignment vertical="center"/>
    </xf>
    <xf numFmtId="164" fontId="32" fillId="0" borderId="2" xfId="1" applyFont="1" applyBorder="1" applyAlignment="1">
      <alignment horizontal="right"/>
    </xf>
    <xf numFmtId="164" fontId="32" fillId="0" borderId="2" xfId="1" applyFont="1" applyBorder="1" applyAlignment="1">
      <alignment horizontal="right" vertical="center"/>
    </xf>
    <xf numFmtId="164" fontId="29" fillId="2" borderId="2" xfId="1" applyFont="1" applyFill="1" applyBorder="1" applyAlignment="1">
      <alignment horizontal="right" wrapText="1"/>
    </xf>
    <xf numFmtId="164" fontId="26" fillId="2" borderId="2" xfId="1" applyFont="1" applyFill="1" applyBorder="1" applyAlignment="1" applyProtection="1"/>
    <xf numFmtId="164" fontId="26" fillId="29" borderId="2" xfId="1" applyFont="1" applyFill="1" applyBorder="1" applyAlignment="1">
      <alignment horizontal="left"/>
    </xf>
    <xf numFmtId="164" fontId="26" fillId="29" borderId="2" xfId="1" applyFont="1" applyFill="1" applyBorder="1"/>
    <xf numFmtId="164" fontId="26" fillId="2" borderId="2" xfId="1" applyFont="1" applyFill="1" applyBorder="1" applyAlignment="1">
      <alignment horizontal="center"/>
    </xf>
    <xf numFmtId="164" fontId="26" fillId="2" borderId="2" xfId="1" applyFont="1" applyFill="1" applyBorder="1" applyAlignment="1">
      <alignment vertical="center"/>
    </xf>
    <xf numFmtId="0" fontId="36" fillId="0" borderId="0" xfId="0" applyFont="1" applyAlignment="1">
      <alignment horizontal="right"/>
    </xf>
    <xf numFmtId="164" fontId="5" fillId="0" borderId="0" xfId="1" applyFont="1" applyBorder="1"/>
    <xf numFmtId="4" fontId="39" fillId="2" borderId="0" xfId="0" applyNumberFormat="1" applyFont="1" applyFill="1"/>
    <xf numFmtId="172" fontId="26" fillId="2" borderId="0" xfId="0" applyNumberFormat="1" applyFont="1" applyFill="1"/>
    <xf numFmtId="4" fontId="38" fillId="2" borderId="0" xfId="0" applyNumberFormat="1" applyFont="1" applyFill="1" applyAlignment="1">
      <alignment horizontal="right"/>
    </xf>
    <xf numFmtId="4" fontId="38" fillId="2" borderId="0" xfId="0" applyNumberFormat="1" applyFont="1" applyFill="1"/>
    <xf numFmtId="164" fontId="39" fillId="2" borderId="0" xfId="1" applyFont="1" applyFill="1" applyBorder="1" applyAlignment="1">
      <alignment horizontal="right" vertical="top" wrapText="1"/>
    </xf>
    <xf numFmtId="164" fontId="38" fillId="2" borderId="0" xfId="1" applyFont="1" applyFill="1" applyBorder="1" applyAlignment="1">
      <alignment horizontal="right" vertical="top" wrapText="1"/>
    </xf>
    <xf numFmtId="10" fontId="29" fillId="30" borderId="2" xfId="0" applyNumberFormat="1" applyFont="1" applyFill="1" applyBorder="1" applyAlignment="1">
      <alignment horizontal="center" vertical="center"/>
    </xf>
    <xf numFmtId="172" fontId="29" fillId="30" borderId="2" xfId="0" applyNumberFormat="1" applyFont="1" applyFill="1" applyBorder="1" applyAlignment="1">
      <alignment horizontal="center" vertical="center"/>
    </xf>
    <xf numFmtId="10" fontId="34" fillId="30" borderId="2" xfId="0" applyNumberFormat="1" applyFont="1" applyFill="1" applyBorder="1" applyAlignment="1">
      <alignment horizontal="center" vertical="center"/>
    </xf>
    <xf numFmtId="10" fontId="33" fillId="30" borderId="2" xfId="0" applyNumberFormat="1" applyFont="1" applyFill="1" applyBorder="1" applyAlignment="1">
      <alignment horizontal="center" vertical="center"/>
    </xf>
    <xf numFmtId="172" fontId="33" fillId="30" borderId="2" xfId="0" applyNumberFormat="1" applyFont="1" applyFill="1" applyBorder="1" applyAlignment="1">
      <alignment horizontal="center" vertical="center"/>
    </xf>
    <xf numFmtId="164" fontId="26" fillId="2" borderId="2" xfId="1" applyFont="1" applyFill="1" applyBorder="1" applyAlignment="1">
      <alignment horizontal="center" wrapText="1"/>
    </xf>
    <xf numFmtId="164" fontId="27" fillId="7" borderId="2" xfId="1" applyFont="1" applyFill="1" applyBorder="1" applyAlignment="1">
      <alignment horizontal="center" vertical="center"/>
    </xf>
    <xf numFmtId="164" fontId="33" fillId="7" borderId="2" xfId="1" applyFont="1" applyFill="1" applyBorder="1" applyAlignment="1">
      <alignment horizontal="right" vertical="center"/>
    </xf>
    <xf numFmtId="0" fontId="40" fillId="0" borderId="0" xfId="0" applyFont="1" applyBorder="1"/>
    <xf numFmtId="0" fontId="41" fillId="0" borderId="0" xfId="0" applyFont="1" applyBorder="1" applyAlignment="1">
      <alignment horizontal="right"/>
    </xf>
    <xf numFmtId="171" fontId="40" fillId="0" borderId="0" xfId="200" applyNumberFormat="1" applyFont="1" applyBorder="1"/>
    <xf numFmtId="0" fontId="41" fillId="0" borderId="2" xfId="0" applyFont="1" applyBorder="1" applyAlignment="1">
      <alignment horizontal="right"/>
    </xf>
    <xf numFmtId="16" fontId="41" fillId="2" borderId="2" xfId="0" quotePrefix="1" applyNumberFormat="1" applyFont="1" applyFill="1" applyBorder="1" applyAlignment="1">
      <alignment horizontal="right"/>
    </xf>
    <xf numFmtId="164" fontId="40" fillId="2" borderId="2" xfId="1" applyFont="1" applyFill="1" applyBorder="1" applyAlignment="1">
      <alignment horizontal="right" vertical="top" wrapText="1"/>
    </xf>
    <xf numFmtId="164" fontId="40" fillId="2" borderId="2" xfId="1" applyFont="1" applyFill="1" applyBorder="1"/>
    <xf numFmtId="4" fontId="40" fillId="2" borderId="2" xfId="0" applyNumberFormat="1" applyFont="1" applyFill="1" applyBorder="1"/>
    <xf numFmtId="4" fontId="40" fillId="2" borderId="2" xfId="0" applyNumberFormat="1" applyFont="1" applyFill="1" applyBorder="1" applyAlignment="1">
      <alignment horizontal="right"/>
    </xf>
    <xf numFmtId="172" fontId="40" fillId="2" borderId="2" xfId="0" applyNumberFormat="1" applyFont="1" applyFill="1" applyBorder="1"/>
    <xf numFmtId="172" fontId="7" fillId="6" borderId="2" xfId="0" applyNumberFormat="1" applyFont="1" applyFill="1" applyBorder="1"/>
    <xf numFmtId="10" fontId="7" fillId="6" borderId="2" xfId="0" applyNumberFormat="1" applyFont="1" applyFill="1" applyBorder="1"/>
    <xf numFmtId="164" fontId="7" fillId="6" borderId="2" xfId="1" applyFont="1" applyFill="1" applyBorder="1"/>
    <xf numFmtId="10" fontId="44" fillId="6" borderId="2" xfId="0" applyNumberFormat="1" applyFont="1" applyFill="1" applyBorder="1" applyAlignment="1">
      <alignment horizontal="right" vertical="center"/>
    </xf>
    <xf numFmtId="10" fontId="7" fillId="6" borderId="2" xfId="0" applyNumberFormat="1" applyFont="1" applyFill="1" applyBorder="1" applyAlignment="1">
      <alignment horizontal="right" vertical="center"/>
    </xf>
    <xf numFmtId="172" fontId="7" fillId="6" borderId="2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center" vertical="top" wrapText="1"/>
    </xf>
    <xf numFmtId="49" fontId="27" fillId="2" borderId="2" xfId="0" applyNumberFormat="1" applyFont="1" applyFill="1" applyBorder="1" applyAlignment="1">
      <alignment horizontal="right"/>
    </xf>
    <xf numFmtId="173" fontId="27" fillId="2" borderId="2" xfId="0" applyNumberFormat="1" applyFont="1" applyFill="1" applyBorder="1" applyAlignment="1">
      <alignment horizontal="center"/>
    </xf>
    <xf numFmtId="49" fontId="28" fillId="5" borderId="5" xfId="0" applyNumberFormat="1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2" fillId="2" borderId="2" xfId="0" applyNumberFormat="1" applyFont="1" applyFill="1" applyBorder="1" applyAlignment="1">
      <alignment horizontal="center" vertical="top" wrapText="1"/>
    </xf>
    <xf numFmtId="49" fontId="34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vertical="top" wrapText="1"/>
    </xf>
    <xf numFmtId="172" fontId="43" fillId="2" borderId="2" xfId="0" applyNumberFormat="1" applyFont="1" applyFill="1" applyBorder="1" applyAlignment="1">
      <alignment horizontal="center" wrapText="1"/>
    </xf>
    <xf numFmtId="173" fontId="25" fillId="2" borderId="2" xfId="0" applyNumberFormat="1" applyFont="1" applyFill="1" applyBorder="1" applyAlignment="1">
      <alignment horizontal="center" wrapText="1"/>
    </xf>
    <xf numFmtId="173" fontId="34" fillId="2" borderId="2" xfId="0" applyNumberFormat="1" applyFont="1" applyFill="1" applyBorder="1" applyAlignment="1">
      <alignment horizontal="center" wrapText="1"/>
    </xf>
    <xf numFmtId="164" fontId="27" fillId="2" borderId="2" xfId="1" applyFont="1" applyFill="1" applyBorder="1" applyAlignment="1">
      <alignment horizontal="right"/>
    </xf>
    <xf numFmtId="49" fontId="33" fillId="2" borderId="2" xfId="0" applyNumberFormat="1" applyFont="1" applyFill="1" applyBorder="1" applyAlignment="1">
      <alignment horizontal="right"/>
    </xf>
    <xf numFmtId="49" fontId="7" fillId="6" borderId="2" xfId="0" applyNumberFormat="1" applyFont="1" applyFill="1" applyBorder="1" applyAlignment="1">
      <alignment horizontal="right"/>
    </xf>
    <xf numFmtId="0" fontId="43" fillId="2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1" fillId="0" borderId="0" xfId="0" applyFont="1" applyAlignment="1">
      <alignment horizontal="right"/>
    </xf>
    <xf numFmtId="16" fontId="41" fillId="2" borderId="0" xfId="0" quotePrefix="1" applyNumberFormat="1" applyFont="1" applyFill="1" applyAlignment="1">
      <alignment horizontal="right" wrapText="1"/>
    </xf>
    <xf numFmtId="0" fontId="41" fillId="0" borderId="0" xfId="0" applyFont="1" applyAlignment="1">
      <alignment horizontal="right" wrapText="1"/>
    </xf>
    <xf numFmtId="43" fontId="45" fillId="0" borderId="0" xfId="200" applyFont="1" applyBorder="1"/>
    <xf numFmtId="16" fontId="46" fillId="2" borderId="0" xfId="0" applyNumberFormat="1" applyFont="1" applyFill="1"/>
    <xf numFmtId="164" fontId="47" fillId="2" borderId="0" xfId="1" applyFont="1" applyFill="1" applyBorder="1"/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March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29.297637748509999</c:v>
                </c:pt>
                <c:pt idx="1">
                  <c:v>915.75584160342009</c:v>
                </c:pt>
                <c:pt idx="2">
                  <c:v>276.33373600948005</c:v>
                </c:pt>
                <c:pt idx="3">
                  <c:v>1226.7907003653677</c:v>
                </c:pt>
                <c:pt idx="4">
                  <c:v>96.56167960194999</c:v>
                </c:pt>
                <c:pt idx="5">
                  <c:v>50.315976593890007</c:v>
                </c:pt>
                <c:pt idx="6">
                  <c:v>5.2130188426900004</c:v>
                </c:pt>
                <c:pt idx="7">
                  <c:v>49.36467417734999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April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26.446817562529997</c:v>
                </c:pt>
                <c:pt idx="1">
                  <c:v>937.44782176622016</c:v>
                </c:pt>
                <c:pt idx="2">
                  <c:v>266.46510591255998</c:v>
                </c:pt>
                <c:pt idx="3">
                  <c:v>1249.1517902703031</c:v>
                </c:pt>
                <c:pt idx="4">
                  <c:v>99.856457548350008</c:v>
                </c:pt>
                <c:pt idx="5">
                  <c:v>47.633109913879998</c:v>
                </c:pt>
                <c:pt idx="6">
                  <c:v>4.6398494677399995</c:v>
                </c:pt>
                <c:pt idx="7">
                  <c:v>51.754753232900001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April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4639849467.7399998</c:v>
                </c:pt>
                <c:pt idx="1">
                  <c:v>26446817562.529999</c:v>
                </c:pt>
                <c:pt idx="2" formatCode="#,##0.00">
                  <c:v>47633109913.879997</c:v>
                </c:pt>
                <c:pt idx="3" formatCode="#,##0.00">
                  <c:v>51754753232.900002</c:v>
                </c:pt>
                <c:pt idx="4" formatCode="#,##0.00">
                  <c:v>99856457548.350006</c:v>
                </c:pt>
                <c:pt idx="5" formatCode="#,##0.00">
                  <c:v>266465105912.56</c:v>
                </c:pt>
                <c:pt idx="6" formatCode="#,##0.00">
                  <c:v>937447821766.22021</c:v>
                </c:pt>
                <c:pt idx="7" formatCode="&quot; &quot;* #,##0.00&quot; &quot;;&quot;-&quot;* #,##0.00&quot; &quot;;&quot; &quot;* &quot;-&quot;??&quot; &quot;">
                  <c:v>1249151790270.303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48791</c:v>
                </c:pt>
                <c:pt idx="1">
                  <c:v>282879</c:v>
                </c:pt>
                <c:pt idx="2">
                  <c:v>45128.797899999998</c:v>
                </c:pt>
                <c:pt idx="3">
                  <c:v>15629</c:v>
                </c:pt>
                <c:pt idx="4">
                  <c:v>217017</c:v>
                </c:pt>
                <c:pt idx="5">
                  <c:v>68860</c:v>
                </c:pt>
                <c:pt idx="6">
                  <c:v>13099</c:v>
                </c:pt>
                <c:pt idx="7">
                  <c:v>27179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7"/>
  <sheetViews>
    <sheetView tabSelected="1" view="pageBreakPreview" zoomScaleNormal="70" zoomScaleSheetLayoutView="100" workbookViewId="0">
      <pane ySplit="1" topLeftCell="A2" activePane="bottomLeft" state="frozen"/>
      <selection activeCell="L1" sqref="L1"/>
      <selection pane="bottomLeft" activeCell="A2" sqref="A2"/>
    </sheetView>
  </sheetViews>
  <sheetFormatPr defaultColWidth="9" defaultRowHeight="12.75"/>
  <cols>
    <col min="1" max="1" width="6.7109375" style="5" customWidth="1"/>
    <col min="2" max="2" width="53.7109375" style="5" customWidth="1"/>
    <col min="3" max="3" width="52" style="5" customWidth="1"/>
    <col min="4" max="4" width="21.5703125" style="5" customWidth="1"/>
    <col min="5" max="6" width="19.28515625" style="5" customWidth="1"/>
    <col min="7" max="7" width="19.7109375" style="5" customWidth="1"/>
    <col min="8" max="8" width="20" style="5" customWidth="1"/>
    <col min="9" max="9" width="22" style="5" customWidth="1"/>
    <col min="10" max="10" width="9" style="5"/>
    <col min="11" max="11" width="23" style="5" customWidth="1"/>
    <col min="12" max="12" width="9" style="5"/>
    <col min="13" max="13" width="11.5703125" style="5" customWidth="1"/>
    <col min="14" max="14" width="12.140625" style="5" customWidth="1"/>
    <col min="15" max="15" width="12.5703125" style="5" customWidth="1"/>
    <col min="16" max="16" width="12.85546875" style="5" customWidth="1"/>
    <col min="17" max="17" width="12.7109375" style="5" customWidth="1"/>
    <col min="18" max="19" width="14.42578125" style="5" customWidth="1"/>
    <col min="20" max="20" width="15.5703125" style="5" customWidth="1"/>
    <col min="21" max="22" width="20.140625" style="5" customWidth="1"/>
    <col min="23" max="16384" width="9" style="5"/>
  </cols>
  <sheetData>
    <row r="1" spans="1:23" ht="48" customHeight="1">
      <c r="A1" s="141" t="s">
        <v>214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3" ht="40.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247</v>
      </c>
      <c r="G2" s="6" t="s">
        <v>5</v>
      </c>
      <c r="H2" s="7" t="s">
        <v>6</v>
      </c>
      <c r="I2" s="6" t="s">
        <v>249</v>
      </c>
      <c r="J2" s="6" t="s">
        <v>248</v>
      </c>
      <c r="K2" s="6" t="s">
        <v>7</v>
      </c>
      <c r="L2" s="6" t="s">
        <v>248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</row>
    <row r="3" spans="1:23" ht="5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3" ht="15" customHeight="1">
      <c r="A4" s="138" t="s">
        <v>18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15" customHeight="1">
      <c r="A5" s="30">
        <v>1</v>
      </c>
      <c r="B5" s="28" t="s">
        <v>19</v>
      </c>
      <c r="C5" s="28" t="s">
        <v>20</v>
      </c>
      <c r="D5" s="36">
        <v>1075573726.46</v>
      </c>
      <c r="E5" s="36">
        <v>9943673.8499999996</v>
      </c>
      <c r="F5" s="36">
        <v>285580126.93000001</v>
      </c>
      <c r="G5" s="36">
        <v>2143703.7400000002</v>
      </c>
      <c r="H5" s="31">
        <f>(E5+F5)-G5</f>
        <v>293380097.04000002</v>
      </c>
      <c r="I5" s="24">
        <v>1318136675.1199999</v>
      </c>
      <c r="J5" s="32">
        <f>(I5/$I$22)</f>
        <v>4.4991227157453573E-2</v>
      </c>
      <c r="K5" s="63">
        <v>1068228033.58</v>
      </c>
      <c r="L5" s="32">
        <f>(K5/$K$22)</f>
        <v>4.0391553012165501E-2</v>
      </c>
      <c r="M5" s="32">
        <f>((K5-I5)/I5)</f>
        <v>-0.18959235886312684</v>
      </c>
      <c r="N5" s="33">
        <f>(G5/K5)</f>
        <v>2.0067847618787074E-3</v>
      </c>
      <c r="O5" s="34">
        <f>H5/K5</f>
        <v>0.27464182535706566</v>
      </c>
      <c r="P5" s="35">
        <f>K5/V5</f>
        <v>315.17995393737243</v>
      </c>
      <c r="Q5" s="35">
        <f>H5/V5</f>
        <v>86.561597865315832</v>
      </c>
      <c r="R5" s="36">
        <v>315.18</v>
      </c>
      <c r="S5" s="36">
        <v>318.90679999999998</v>
      </c>
      <c r="T5" s="36">
        <v>1740</v>
      </c>
      <c r="U5" s="36">
        <v>3619746.77</v>
      </c>
      <c r="V5" s="36">
        <v>3389263.88</v>
      </c>
    </row>
    <row r="6" spans="1:23" ht="14.25">
      <c r="A6" s="30">
        <v>2</v>
      </c>
      <c r="B6" s="28" t="s">
        <v>21</v>
      </c>
      <c r="C6" s="28" t="s">
        <v>22</v>
      </c>
      <c r="D6" s="36">
        <v>573602324.25999999</v>
      </c>
      <c r="E6" s="36">
        <v>4437453.3899999997</v>
      </c>
      <c r="F6" s="36"/>
      <c r="G6" s="36">
        <v>6206449.46</v>
      </c>
      <c r="H6" s="31">
        <f t="shared" ref="H6:H21" si="0">(E6+F6)-G6</f>
        <v>-1768996.0700000003</v>
      </c>
      <c r="I6" s="24">
        <v>628982609.78999996</v>
      </c>
      <c r="J6" s="32">
        <f t="shared" ref="J6:J21" si="1">(I6/$I$22)</f>
        <v>2.1468714139657501E-2</v>
      </c>
      <c r="K6" s="63">
        <v>568890232.39999998</v>
      </c>
      <c r="L6" s="32">
        <f t="shared" ref="L6:L21" si="2">(K6/$K$22)</f>
        <v>2.1510725479726787E-2</v>
      </c>
      <c r="M6" s="32">
        <f t="shared" ref="M6:M21" si="3">((K6-I6)/I6)</f>
        <v>-9.5539012453878788E-2</v>
      </c>
      <c r="N6" s="33">
        <f t="shared" ref="N6:N21" si="4">(G6/K6)</f>
        <v>1.0909748676500568E-2</v>
      </c>
      <c r="O6" s="34">
        <f t="shared" ref="O6:O21" si="5">H6/K6</f>
        <v>-3.1095560606429571E-3</v>
      </c>
      <c r="P6" s="35">
        <f t="shared" ref="P6:P21" si="6">K6/V6</f>
        <v>210.96019139539013</v>
      </c>
      <c r="Q6" s="35">
        <f t="shared" ref="Q6:Q21" si="7">H6/V6</f>
        <v>-0.65599254170793364</v>
      </c>
      <c r="R6" s="36">
        <v>211.89</v>
      </c>
      <c r="S6" s="36">
        <v>214.38</v>
      </c>
      <c r="T6" s="36">
        <v>305</v>
      </c>
      <c r="U6" s="36">
        <v>2733362.97</v>
      </c>
      <c r="V6" s="36">
        <v>2696671.01</v>
      </c>
    </row>
    <row r="7" spans="1:23" ht="14.25">
      <c r="A7" s="30">
        <v>3</v>
      </c>
      <c r="B7" s="28" t="s">
        <v>23</v>
      </c>
      <c r="C7" s="37" t="s">
        <v>24</v>
      </c>
      <c r="D7" s="36">
        <v>3637508892.9299998</v>
      </c>
      <c r="E7" s="36">
        <v>76452409.549999997</v>
      </c>
      <c r="F7" s="36">
        <v>-238475359.84</v>
      </c>
      <c r="G7" s="36">
        <v>7761924.1500000004</v>
      </c>
      <c r="H7" s="31">
        <f t="shared" si="0"/>
        <v>-169784874.44000003</v>
      </c>
      <c r="I7" s="24">
        <v>4049328126</v>
      </c>
      <c r="J7" s="32">
        <f t="shared" si="1"/>
        <v>0.13821346829253967</v>
      </c>
      <c r="K7" s="63">
        <v>3848151949</v>
      </c>
      <c r="L7" s="32">
        <f t="shared" si="2"/>
        <v>0.14550529340256363</v>
      </c>
      <c r="M7" s="32">
        <f t="shared" si="3"/>
        <v>-4.968137200546538E-2</v>
      </c>
      <c r="N7" s="33">
        <f t="shared" si="4"/>
        <v>2.0170524066797967E-3</v>
      </c>
      <c r="O7" s="34">
        <f t="shared" si="5"/>
        <v>-4.4121146121613303E-2</v>
      </c>
      <c r="P7" s="35">
        <f t="shared" si="6"/>
        <v>36.059328568829713</v>
      </c>
      <c r="Q7" s="35">
        <f t="shared" si="7"/>
        <v>-1.5909789048326011</v>
      </c>
      <c r="R7" s="36">
        <v>35.878999999999998</v>
      </c>
      <c r="S7" s="36">
        <v>36.960799999999999</v>
      </c>
      <c r="T7" s="36">
        <v>6414</v>
      </c>
      <c r="U7" s="36">
        <v>106944256</v>
      </c>
      <c r="V7" s="36">
        <v>106717238</v>
      </c>
    </row>
    <row r="8" spans="1:23" ht="14.25">
      <c r="A8" s="30">
        <v>4</v>
      </c>
      <c r="B8" s="38" t="s">
        <v>25</v>
      </c>
      <c r="C8" s="38" t="s">
        <v>26</v>
      </c>
      <c r="D8" s="64">
        <v>552554908.47000003</v>
      </c>
      <c r="E8" s="36">
        <v>14000852.699999999</v>
      </c>
      <c r="F8" s="36">
        <v>52988474.649999999</v>
      </c>
      <c r="G8" s="36">
        <v>1085520.42</v>
      </c>
      <c r="H8" s="31">
        <f t="shared" si="0"/>
        <v>65903806.929999992</v>
      </c>
      <c r="I8" s="17">
        <v>712006962.46000004</v>
      </c>
      <c r="J8" s="32">
        <f t="shared" si="1"/>
        <v>2.4302538265093092E-2</v>
      </c>
      <c r="K8" s="64">
        <v>678583454.77999997</v>
      </c>
      <c r="L8" s="32">
        <f t="shared" si="2"/>
        <v>2.5658416298126579E-2</v>
      </c>
      <c r="M8" s="32">
        <f t="shared" si="3"/>
        <v>-4.694266972407278E-2</v>
      </c>
      <c r="N8" s="33">
        <f t="shared" si="4"/>
        <v>1.599685952189817E-3</v>
      </c>
      <c r="O8" s="34">
        <f t="shared" si="5"/>
        <v>9.7119678450407143E-2</v>
      </c>
      <c r="P8" s="35">
        <f t="shared" si="6"/>
        <v>226.20834666499886</v>
      </c>
      <c r="Q8" s="35">
        <f t="shared" si="7"/>
        <v>21.96928189090292</v>
      </c>
      <c r="R8" s="64">
        <v>228.2</v>
      </c>
      <c r="S8" s="64">
        <v>228.2</v>
      </c>
      <c r="T8" s="36">
        <v>1781</v>
      </c>
      <c r="U8" s="36">
        <v>2968210.53</v>
      </c>
      <c r="V8" s="36">
        <v>2999816.1641000002</v>
      </c>
    </row>
    <row r="9" spans="1:23" ht="14.25">
      <c r="A9" s="30">
        <v>5</v>
      </c>
      <c r="B9" s="65" t="s">
        <v>233</v>
      </c>
      <c r="C9" s="65" t="s">
        <v>105</v>
      </c>
      <c r="D9" s="17">
        <v>570808525.54999995</v>
      </c>
      <c r="E9" s="17">
        <v>8940053.3499999996</v>
      </c>
      <c r="F9" s="17">
        <v>-111552446.40000001</v>
      </c>
      <c r="G9" s="17">
        <v>1061028</v>
      </c>
      <c r="H9" s="23">
        <f>(E9+F9)-G9</f>
        <v>-103673421.05000001</v>
      </c>
      <c r="I9" s="17">
        <v>682739350.97000003</v>
      </c>
      <c r="J9" s="32">
        <f t="shared" si="1"/>
        <v>2.3303563134700934E-2</v>
      </c>
      <c r="K9" s="17">
        <v>580844329.51999998</v>
      </c>
      <c r="L9" s="32">
        <f t="shared" si="2"/>
        <v>2.1962730606307185E-2</v>
      </c>
      <c r="M9" s="32">
        <f t="shared" si="3"/>
        <v>-0.14924439510514953</v>
      </c>
      <c r="N9" s="33">
        <f t="shared" si="4"/>
        <v>1.8266994202677605E-3</v>
      </c>
      <c r="O9" s="34">
        <f t="shared" si="5"/>
        <v>-0.17848744625892102</v>
      </c>
      <c r="P9" s="35">
        <f t="shared" si="6"/>
        <v>0.85149679607032069</v>
      </c>
      <c r="Q9" s="35">
        <f t="shared" si="7"/>
        <v>-0.15198148862824482</v>
      </c>
      <c r="R9" s="17">
        <v>0.8407</v>
      </c>
      <c r="S9" s="17">
        <v>0.8478</v>
      </c>
      <c r="T9" s="17">
        <v>559</v>
      </c>
      <c r="U9" s="17">
        <v>680722072.23000002</v>
      </c>
      <c r="V9" s="17">
        <v>682145055.86000001</v>
      </c>
    </row>
    <row r="10" spans="1:23" ht="14.25">
      <c r="A10" s="30">
        <v>6</v>
      </c>
      <c r="B10" s="57" t="s">
        <v>234</v>
      </c>
      <c r="C10" s="58" t="s">
        <v>46</v>
      </c>
      <c r="D10" s="36">
        <f>83562566.58+2504781.4</f>
        <v>86067347.980000004</v>
      </c>
      <c r="E10" s="17">
        <v>1912605.91</v>
      </c>
      <c r="F10" s="17"/>
      <c r="G10" s="17">
        <v>2367118</v>
      </c>
      <c r="H10" s="31">
        <f>(E10+F10)-G10</f>
        <v>-454512.09000000008</v>
      </c>
      <c r="I10" s="17">
        <v>88546782</v>
      </c>
      <c r="J10" s="32">
        <f t="shared" si="1"/>
        <v>3.0223181390964964E-3</v>
      </c>
      <c r="K10" s="36">
        <v>85482643.269999996</v>
      </c>
      <c r="L10" s="32">
        <f t="shared" si="2"/>
        <v>3.2322468693213313E-3</v>
      </c>
      <c r="M10" s="32">
        <f t="shared" si="3"/>
        <v>-3.4604744077543145E-2</v>
      </c>
      <c r="N10" s="33">
        <f t="shared" si="4"/>
        <v>2.7691212033808699E-2</v>
      </c>
      <c r="O10" s="34">
        <f t="shared" si="5"/>
        <v>-5.3170102445757013E-3</v>
      </c>
      <c r="P10" s="35">
        <f t="shared" si="6"/>
        <v>151.72812380362265</v>
      </c>
      <c r="Q10" s="35">
        <f t="shared" si="7"/>
        <v>-0.80673998865411189</v>
      </c>
      <c r="R10" s="17">
        <v>151.42189999999999</v>
      </c>
      <c r="S10" s="17">
        <v>151.42189999999999</v>
      </c>
      <c r="T10" s="17">
        <v>88</v>
      </c>
      <c r="U10" s="17">
        <v>570162.43999999994</v>
      </c>
      <c r="V10" s="17">
        <v>563393.53</v>
      </c>
    </row>
    <row r="11" spans="1:23" ht="14.25">
      <c r="A11" s="30">
        <v>7</v>
      </c>
      <c r="B11" s="28" t="s">
        <v>27</v>
      </c>
      <c r="C11" s="28" t="s">
        <v>28</v>
      </c>
      <c r="D11" s="80">
        <v>977443782.61000001</v>
      </c>
      <c r="E11" s="64">
        <v>11912377.359999999</v>
      </c>
      <c r="F11" s="64">
        <v>-121874737.73999999</v>
      </c>
      <c r="G11" s="64">
        <v>1760038.49</v>
      </c>
      <c r="H11" s="31">
        <f t="shared" si="0"/>
        <v>-111722398.86999999</v>
      </c>
      <c r="I11" s="29">
        <v>1075610657.1600001</v>
      </c>
      <c r="J11" s="32">
        <f t="shared" si="1"/>
        <v>3.6713221263536953E-2</v>
      </c>
      <c r="K11" s="61">
        <v>963250213.16999996</v>
      </c>
      <c r="L11" s="32">
        <f t="shared" si="2"/>
        <v>3.6422159713263132E-2</v>
      </c>
      <c r="M11" s="32">
        <f t="shared" si="3"/>
        <v>-0.10446200327418864</v>
      </c>
      <c r="N11" s="33">
        <f t="shared" si="4"/>
        <v>1.8271872312468187E-3</v>
      </c>
      <c r="O11" s="34">
        <f t="shared" si="5"/>
        <v>-0.11598481613861068</v>
      </c>
      <c r="P11" s="35">
        <f t="shared" si="6"/>
        <v>260.50595699712221</v>
      </c>
      <c r="Q11" s="35">
        <f t="shared" si="7"/>
        <v>-30.214735525324038</v>
      </c>
      <c r="R11" s="64">
        <v>260.51</v>
      </c>
      <c r="S11" s="64">
        <v>264.04000000000002</v>
      </c>
      <c r="T11" s="64">
        <v>1620</v>
      </c>
      <c r="U11" s="80">
        <v>3792670</v>
      </c>
      <c r="V11" s="80">
        <v>3697613</v>
      </c>
    </row>
    <row r="12" spans="1:23" ht="14.25">
      <c r="A12" s="30">
        <v>8</v>
      </c>
      <c r="B12" s="28" t="s">
        <v>29</v>
      </c>
      <c r="C12" s="37" t="s">
        <v>30</v>
      </c>
      <c r="D12" s="36">
        <v>328851389.81</v>
      </c>
      <c r="E12" s="36">
        <v>18859626.280000001</v>
      </c>
      <c r="F12" s="36">
        <v>-25902816.399999999</v>
      </c>
      <c r="G12" s="36">
        <v>918306.83</v>
      </c>
      <c r="H12" s="31">
        <f t="shared" si="0"/>
        <v>-7961496.9499999974</v>
      </c>
      <c r="I12" s="24">
        <v>341036914.66000003</v>
      </c>
      <c r="J12" s="32">
        <f t="shared" si="1"/>
        <v>1.164042362689614E-2</v>
      </c>
      <c r="K12" s="63">
        <v>312867466.23000002</v>
      </c>
      <c r="L12" s="32">
        <f t="shared" si="2"/>
        <v>1.1830061045729465E-2</v>
      </c>
      <c r="M12" s="32">
        <f t="shared" si="3"/>
        <v>-8.2599411439327045E-2</v>
      </c>
      <c r="N12" s="33">
        <f t="shared" si="4"/>
        <v>2.9351304597612583E-3</v>
      </c>
      <c r="O12" s="34">
        <f t="shared" si="5"/>
        <v>-2.5446867473741159E-2</v>
      </c>
      <c r="P12" s="35">
        <f t="shared" si="6"/>
        <v>157.16407456952459</v>
      </c>
      <c r="Q12" s="35">
        <f t="shared" si="7"/>
        <v>-3.9993333772038651</v>
      </c>
      <c r="R12" s="36">
        <v>157.16</v>
      </c>
      <c r="S12" s="36">
        <v>159.38999999999999</v>
      </c>
      <c r="T12" s="36">
        <v>2470</v>
      </c>
      <c r="U12" s="36">
        <v>1988037</v>
      </c>
      <c r="V12" s="36">
        <v>1990706</v>
      </c>
    </row>
    <row r="13" spans="1:23" ht="14.25">
      <c r="A13" s="30">
        <v>9</v>
      </c>
      <c r="B13" s="28" t="s">
        <v>31</v>
      </c>
      <c r="C13" s="28" t="s">
        <v>32</v>
      </c>
      <c r="D13" s="36">
        <v>49241146.649999999</v>
      </c>
      <c r="E13" s="16"/>
      <c r="F13" s="36">
        <v>1457174.41</v>
      </c>
      <c r="G13" s="36">
        <v>1599870.66</v>
      </c>
      <c r="H13" s="31">
        <f t="shared" si="0"/>
        <v>-142696.25</v>
      </c>
      <c r="I13" s="24">
        <v>51256413.170000002</v>
      </c>
      <c r="J13" s="32">
        <f t="shared" si="1"/>
        <v>1.7495066875351331E-3</v>
      </c>
      <c r="K13" s="63">
        <v>48276401.420000002</v>
      </c>
      <c r="L13" s="32">
        <f t="shared" si="2"/>
        <v>1.8254143927093247E-3</v>
      </c>
      <c r="M13" s="32">
        <f t="shared" si="3"/>
        <v>-5.8139295469550704E-2</v>
      </c>
      <c r="N13" s="33">
        <f t="shared" si="4"/>
        <v>3.3139807710216025E-2</v>
      </c>
      <c r="O13" s="34">
        <f t="shared" si="5"/>
        <v>-2.9558178696576097E-3</v>
      </c>
      <c r="P13" s="35">
        <f t="shared" si="6"/>
        <v>177.86327116042662</v>
      </c>
      <c r="Q13" s="35">
        <f t="shared" si="7"/>
        <v>-0.52573143525174604</v>
      </c>
      <c r="R13" s="36">
        <v>172.63</v>
      </c>
      <c r="S13" s="36">
        <v>177.34</v>
      </c>
      <c r="T13" s="36">
        <v>13</v>
      </c>
      <c r="U13" s="36">
        <v>253000</v>
      </c>
      <c r="V13" s="36">
        <v>271424.23</v>
      </c>
      <c r="W13" s="9"/>
    </row>
    <row r="14" spans="1:23" ht="14.25">
      <c r="A14" s="30">
        <v>10</v>
      </c>
      <c r="B14" s="37" t="s">
        <v>33</v>
      </c>
      <c r="C14" s="37" t="s">
        <v>34</v>
      </c>
      <c r="D14" s="25">
        <v>463025265.72000003</v>
      </c>
      <c r="E14" s="64">
        <v>1824650.49</v>
      </c>
      <c r="F14" s="64">
        <v>-53884387.82</v>
      </c>
      <c r="G14" s="64">
        <v>958850.67</v>
      </c>
      <c r="H14" s="31">
        <f t="shared" si="0"/>
        <v>-53018588</v>
      </c>
      <c r="I14" s="17">
        <v>499761495.32999998</v>
      </c>
      <c r="J14" s="32">
        <f t="shared" si="1"/>
        <v>1.7058081597565541E-2</v>
      </c>
      <c r="K14" s="64">
        <v>450791996.88999999</v>
      </c>
      <c r="L14" s="32">
        <f t="shared" si="2"/>
        <v>1.7045226550384068E-2</v>
      </c>
      <c r="M14" s="32">
        <f t="shared" si="3"/>
        <v>-9.7985736991731839E-2</v>
      </c>
      <c r="N14" s="33">
        <f t="shared" si="4"/>
        <v>2.1270356985374208E-3</v>
      </c>
      <c r="O14" s="34">
        <f t="shared" si="5"/>
        <v>-0.11761208798242559</v>
      </c>
      <c r="P14" s="35">
        <f t="shared" si="6"/>
        <v>1.4597184413325974</v>
      </c>
      <c r="Q14" s="35">
        <f t="shared" si="7"/>
        <v>-0.17168053375157857</v>
      </c>
      <c r="R14" s="85">
        <v>1.44</v>
      </c>
      <c r="S14" s="36">
        <v>1.48</v>
      </c>
      <c r="T14" s="36">
        <v>553</v>
      </c>
      <c r="U14" s="64">
        <v>308253238.72000003</v>
      </c>
      <c r="V14" s="64">
        <v>308821197.38</v>
      </c>
    </row>
    <row r="15" spans="1:23" ht="14.25">
      <c r="A15" s="30">
        <v>11</v>
      </c>
      <c r="B15" s="28" t="s">
        <v>35</v>
      </c>
      <c r="C15" s="37" t="s">
        <v>36</v>
      </c>
      <c r="D15" s="36">
        <v>1527795300.71</v>
      </c>
      <c r="E15" s="31">
        <v>13897987.939999999</v>
      </c>
      <c r="F15" s="31"/>
      <c r="G15" s="36">
        <v>2438214.67</v>
      </c>
      <c r="H15" s="31">
        <f t="shared" si="0"/>
        <v>11459773.27</v>
      </c>
      <c r="I15" s="24">
        <v>1669662690.6900001</v>
      </c>
      <c r="J15" s="32">
        <f t="shared" si="1"/>
        <v>5.6989669441008591E-2</v>
      </c>
      <c r="K15" s="63">
        <v>1521894817.75</v>
      </c>
      <c r="L15" s="32">
        <f t="shared" si="2"/>
        <v>5.754548025113726E-2</v>
      </c>
      <c r="M15" s="32">
        <f t="shared" si="3"/>
        <v>-8.8501631954735677E-2</v>
      </c>
      <c r="N15" s="33">
        <f t="shared" si="4"/>
        <v>1.6020914465066027E-3</v>
      </c>
      <c r="O15" s="34">
        <f t="shared" si="5"/>
        <v>7.5299377699060439E-3</v>
      </c>
      <c r="P15" s="35">
        <f t="shared" si="6"/>
        <v>3.1226221809749535</v>
      </c>
      <c r="Q15" s="35">
        <f t="shared" si="7"/>
        <v>2.3513150701669688E-2</v>
      </c>
      <c r="R15" s="64">
        <v>3.09</v>
      </c>
      <c r="S15" s="36">
        <v>3.14</v>
      </c>
      <c r="T15" s="36">
        <v>3669</v>
      </c>
      <c r="U15" s="36">
        <v>487374019</v>
      </c>
      <c r="V15" s="36">
        <v>487377188</v>
      </c>
    </row>
    <row r="16" spans="1:23" ht="14.25">
      <c r="A16" s="30">
        <v>12</v>
      </c>
      <c r="B16" s="28" t="s">
        <v>37</v>
      </c>
      <c r="C16" s="28" t="s">
        <v>38</v>
      </c>
      <c r="D16" s="64">
        <v>559852417.5</v>
      </c>
      <c r="E16" s="64">
        <v>11246388.109999999</v>
      </c>
      <c r="F16" s="64">
        <v>-68571899.349999994</v>
      </c>
      <c r="G16" s="64">
        <v>940706.41</v>
      </c>
      <c r="H16" s="31">
        <f t="shared" si="0"/>
        <v>-58266217.649999991</v>
      </c>
      <c r="I16" s="102">
        <v>660955614.38999999</v>
      </c>
      <c r="J16" s="32">
        <f t="shared" si="1"/>
        <v>2.2560030950741564E-2</v>
      </c>
      <c r="K16" s="83">
        <v>557434377.86000001</v>
      </c>
      <c r="L16" s="32">
        <f t="shared" si="2"/>
        <v>2.1077559768468181E-2</v>
      </c>
      <c r="M16" s="32">
        <f t="shared" si="3"/>
        <v>-0.15662358300041124</v>
      </c>
      <c r="N16" s="33">
        <f t="shared" si="4"/>
        <v>1.687564397465739E-3</v>
      </c>
      <c r="O16" s="34">
        <f t="shared" si="5"/>
        <v>-0.10452569838567363</v>
      </c>
      <c r="P16" s="35">
        <f t="shared" si="6"/>
        <v>18.355341321972535</v>
      </c>
      <c r="Q16" s="35">
        <f t="shared" si="7"/>
        <v>-1.9186048707865933</v>
      </c>
      <c r="R16" s="86">
        <v>18.579999999999998</v>
      </c>
      <c r="S16" s="86">
        <v>18.75</v>
      </c>
      <c r="T16" s="86">
        <v>326</v>
      </c>
      <c r="U16" s="86">
        <v>2639756.2200000002</v>
      </c>
      <c r="V16" s="86">
        <v>30369055.420000002</v>
      </c>
    </row>
    <row r="17" spans="1:23" ht="14.25">
      <c r="A17" s="30">
        <v>13</v>
      </c>
      <c r="B17" s="38" t="s">
        <v>39</v>
      </c>
      <c r="C17" s="38" t="s">
        <v>40</v>
      </c>
      <c r="D17" s="36">
        <v>316128489.97000003</v>
      </c>
      <c r="E17" s="36">
        <v>3117705.38</v>
      </c>
      <c r="F17" s="36">
        <v>105665123.51000001</v>
      </c>
      <c r="G17" s="36">
        <v>498959.21</v>
      </c>
      <c r="H17" s="31">
        <f t="shared" si="0"/>
        <v>108283869.68000001</v>
      </c>
      <c r="I17" s="24">
        <v>380686187.80000001</v>
      </c>
      <c r="J17" s="32">
        <f t="shared" si="1"/>
        <v>1.2993750249347687E-2</v>
      </c>
      <c r="K17" s="63">
        <v>323198630.58999997</v>
      </c>
      <c r="L17" s="32">
        <f t="shared" si="2"/>
        <v>1.2220700272380206E-2</v>
      </c>
      <c r="M17" s="32">
        <f t="shared" si="3"/>
        <v>-0.15101035722420827</v>
      </c>
      <c r="N17" s="33">
        <f t="shared" si="4"/>
        <v>1.5438159780848967E-3</v>
      </c>
      <c r="O17" s="34">
        <f t="shared" si="5"/>
        <v>0.33503814506369506</v>
      </c>
      <c r="P17" s="35">
        <f t="shared" si="6"/>
        <v>2.3240699202941699</v>
      </c>
      <c r="Q17" s="35">
        <f t="shared" si="7"/>
        <v>0.77865207509368828</v>
      </c>
      <c r="R17" s="36">
        <v>2.29</v>
      </c>
      <c r="S17" s="36">
        <v>2.33</v>
      </c>
      <c r="T17" s="36">
        <v>22</v>
      </c>
      <c r="U17" s="36">
        <v>139096025.78</v>
      </c>
      <c r="V17" s="36">
        <v>139065794.78</v>
      </c>
    </row>
    <row r="18" spans="1:23" ht="14.25">
      <c r="A18" s="30">
        <v>14</v>
      </c>
      <c r="B18" s="28" t="s">
        <v>41</v>
      </c>
      <c r="C18" s="28" t="s">
        <v>42</v>
      </c>
      <c r="D18" s="36">
        <v>1317810187.96</v>
      </c>
      <c r="E18" s="36">
        <v>29606674.460000001</v>
      </c>
      <c r="F18" s="36">
        <v>8599123.5999999996</v>
      </c>
      <c r="G18" s="36">
        <v>2059993.93</v>
      </c>
      <c r="H18" s="31">
        <f t="shared" si="0"/>
        <v>36145804.130000003</v>
      </c>
      <c r="I18" s="24">
        <v>1283600101.8900001</v>
      </c>
      <c r="J18" s="32">
        <f t="shared" si="1"/>
        <v>4.3812409481896901E-2</v>
      </c>
      <c r="K18" s="63">
        <v>1314784145.02</v>
      </c>
      <c r="L18" s="32">
        <f t="shared" si="2"/>
        <v>4.971426682667459E-2</v>
      </c>
      <c r="M18" s="32">
        <f t="shared" si="3"/>
        <v>2.4294204311828761E-2</v>
      </c>
      <c r="N18" s="33">
        <f t="shared" si="4"/>
        <v>1.5667924942680718E-3</v>
      </c>
      <c r="O18" s="34">
        <f t="shared" si="5"/>
        <v>2.7491816255093469E-2</v>
      </c>
      <c r="P18" s="35">
        <f t="shared" si="6"/>
        <v>24.287190083968227</v>
      </c>
      <c r="Q18" s="35">
        <f t="shared" si="7"/>
        <v>0.66769896714098254</v>
      </c>
      <c r="R18" s="36">
        <v>24.29</v>
      </c>
      <c r="S18" s="36">
        <v>24.34</v>
      </c>
      <c r="T18" s="36">
        <v>8936</v>
      </c>
      <c r="U18" s="36">
        <v>46189060</v>
      </c>
      <c r="V18" s="36">
        <v>54134881</v>
      </c>
    </row>
    <row r="19" spans="1:23" ht="14.25">
      <c r="A19" s="30">
        <v>15</v>
      </c>
      <c r="B19" s="37" t="s">
        <v>43</v>
      </c>
      <c r="C19" s="28" t="s">
        <v>44</v>
      </c>
      <c r="D19" s="64">
        <v>577214340.08000004</v>
      </c>
      <c r="E19" s="64">
        <v>13746000.67</v>
      </c>
      <c r="F19" s="64">
        <v>-68945854.329999998</v>
      </c>
      <c r="G19" s="64">
        <v>744807.37</v>
      </c>
      <c r="H19" s="31">
        <f t="shared" si="0"/>
        <v>-55944661.029999994</v>
      </c>
      <c r="I19" s="17">
        <v>634011391.83000004</v>
      </c>
      <c r="J19" s="32">
        <f t="shared" si="1"/>
        <v>2.1640358764496097E-2</v>
      </c>
      <c r="K19" s="64">
        <v>577236608.75999999</v>
      </c>
      <c r="L19" s="32">
        <f t="shared" si="2"/>
        <v>2.1826316432788196E-2</v>
      </c>
      <c r="M19" s="32">
        <f t="shared" si="3"/>
        <v>-8.9548522000726605E-2</v>
      </c>
      <c r="N19" s="33">
        <f t="shared" si="4"/>
        <v>1.2902982220756403E-3</v>
      </c>
      <c r="O19" s="34">
        <f t="shared" si="5"/>
        <v>-9.6918075154967059E-2</v>
      </c>
      <c r="P19" s="35">
        <f t="shared" si="6"/>
        <v>5580.3814349042705</v>
      </c>
      <c r="Q19" s="35">
        <f t="shared" si="7"/>
        <v>-540.83982730143498</v>
      </c>
      <c r="R19" s="64">
        <v>5542.04</v>
      </c>
      <c r="S19" s="64">
        <v>5606.66</v>
      </c>
      <c r="T19" s="17">
        <v>22</v>
      </c>
      <c r="U19" s="64">
        <v>103440.35</v>
      </c>
      <c r="V19" s="64">
        <v>103440.35</v>
      </c>
    </row>
    <row r="20" spans="1:23" ht="14.25">
      <c r="A20" s="30">
        <v>16</v>
      </c>
      <c r="B20" s="28" t="s">
        <v>45</v>
      </c>
      <c r="C20" s="28" t="s">
        <v>44</v>
      </c>
      <c r="D20" s="64">
        <v>10379103317.379999</v>
      </c>
      <c r="E20" s="81">
        <v>288978896.83999997</v>
      </c>
      <c r="F20" s="81">
        <v>-1502937206.77</v>
      </c>
      <c r="G20" s="81">
        <v>43315782.340000004</v>
      </c>
      <c r="H20" s="31">
        <f t="shared" si="0"/>
        <v>-1257274092.27</v>
      </c>
      <c r="I20" s="17">
        <v>11803018336.25</v>
      </c>
      <c r="J20" s="32">
        <f t="shared" si="1"/>
        <v>0.40286587053764328</v>
      </c>
      <c r="K20" s="64">
        <v>10389106053.290001</v>
      </c>
      <c r="L20" s="32">
        <f t="shared" si="2"/>
        <v>0.39283010247740907</v>
      </c>
      <c r="M20" s="32">
        <f t="shared" si="3"/>
        <v>-0.11979243297602304</v>
      </c>
      <c r="N20" s="33">
        <f t="shared" si="4"/>
        <v>4.1693464401860499E-3</v>
      </c>
      <c r="O20" s="34">
        <f t="shared" si="5"/>
        <v>-0.12101850590617938</v>
      </c>
      <c r="P20" s="35">
        <f t="shared" si="6"/>
        <v>17674.182106676693</v>
      </c>
      <c r="Q20" s="35">
        <f t="shared" si="7"/>
        <v>-2138.9031116637434</v>
      </c>
      <c r="R20" s="64">
        <v>17542.419999999998</v>
      </c>
      <c r="S20" s="64">
        <v>17764.490000000002</v>
      </c>
      <c r="T20" s="64">
        <v>17380</v>
      </c>
      <c r="U20" s="64">
        <v>596497.79</v>
      </c>
      <c r="V20" s="64">
        <v>587812.55000000005</v>
      </c>
    </row>
    <row r="21" spans="1:23" ht="14.25">
      <c r="A21" s="30">
        <v>17</v>
      </c>
      <c r="B21" s="28" t="s">
        <v>47</v>
      </c>
      <c r="C21" s="28" t="s">
        <v>48</v>
      </c>
      <c r="D21" s="64">
        <v>2359616447</v>
      </c>
      <c r="E21" s="64">
        <v>32891099</v>
      </c>
      <c r="F21" s="64">
        <v>-251434580</v>
      </c>
      <c r="G21" s="82">
        <v>4927932</v>
      </c>
      <c r="H21" s="31">
        <f t="shared" si="0"/>
        <v>-223471413</v>
      </c>
      <c r="I21" s="23">
        <v>3418297439</v>
      </c>
      <c r="J21" s="32">
        <f t="shared" si="1"/>
        <v>0.1166748482707909</v>
      </c>
      <c r="K21" s="82">
        <v>3157796209</v>
      </c>
      <c r="L21" s="32">
        <f t="shared" si="2"/>
        <v>0.1194017466008456</v>
      </c>
      <c r="M21" s="32">
        <f t="shared" si="3"/>
        <v>-7.62078884733354E-2</v>
      </c>
      <c r="N21" s="33">
        <f t="shared" si="4"/>
        <v>1.5605604902415664E-3</v>
      </c>
      <c r="O21" s="34">
        <f t="shared" si="5"/>
        <v>-7.0768155450654666E-2</v>
      </c>
      <c r="P21" s="35">
        <f t="shared" si="6"/>
        <v>1.552775159307114</v>
      </c>
      <c r="Q21" s="35">
        <f t="shared" si="7"/>
        <v>-0.1098870338537609</v>
      </c>
      <c r="R21" s="86">
        <v>1.55</v>
      </c>
      <c r="S21" s="86">
        <v>1.5</v>
      </c>
      <c r="T21" s="86">
        <v>2893</v>
      </c>
      <c r="U21" s="87">
        <v>2060803785</v>
      </c>
      <c r="V21" s="87">
        <v>2033646784</v>
      </c>
    </row>
    <row r="22" spans="1:23" ht="14.25">
      <c r="A22" s="139" t="s">
        <v>49</v>
      </c>
      <c r="B22" s="139"/>
      <c r="C22" s="139"/>
      <c r="D22" s="139"/>
      <c r="E22" s="139"/>
      <c r="F22" s="139"/>
      <c r="G22" s="139"/>
      <c r="H22" s="139"/>
      <c r="I22" s="84">
        <f>SUM(I5:I21)</f>
        <v>29297637748.509998</v>
      </c>
      <c r="J22" s="40">
        <f>(I22/$I$185)</f>
        <v>1.1057242576226502E-2</v>
      </c>
      <c r="K22" s="84">
        <f>SUM(K5:K21)</f>
        <v>26446817562.529999</v>
      </c>
      <c r="L22" s="40">
        <f>(K22/$K$185)</f>
        <v>9.8557277656082676E-3</v>
      </c>
      <c r="M22" s="32">
        <f t="shared" ref="M22" si="8">((K22-I22)/I22)</f>
        <v>-9.7305462319226904E-2</v>
      </c>
      <c r="N22" s="41"/>
      <c r="O22" s="41"/>
      <c r="P22" s="42"/>
      <c r="Q22" s="42"/>
      <c r="R22" s="44"/>
      <c r="S22" s="44"/>
      <c r="T22" s="43">
        <f>SUM(T5:T21)</f>
        <v>48791</v>
      </c>
      <c r="U22" s="44"/>
      <c r="V22" s="44"/>
    </row>
    <row r="23" spans="1:23" ht="6" customHeight="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5"/>
    </row>
    <row r="24" spans="1:23">
      <c r="A24" s="144" t="s">
        <v>50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pans="1:23" ht="12.95" customHeight="1">
      <c r="A25" s="30">
        <v>18</v>
      </c>
      <c r="B25" s="28" t="s">
        <v>51</v>
      </c>
      <c r="C25" s="28" t="s">
        <v>20</v>
      </c>
      <c r="D25" s="86">
        <v>948351104.99000001</v>
      </c>
      <c r="E25" s="86">
        <v>12395354.4</v>
      </c>
      <c r="F25" s="86"/>
      <c r="G25" s="86">
        <v>1829612.01</v>
      </c>
      <c r="H25" s="31">
        <f t="shared" ref="H25:H55" si="9">(E25+F25)-G25</f>
        <v>10565742.390000001</v>
      </c>
      <c r="I25" s="103">
        <v>876354395.42999995</v>
      </c>
      <c r="J25" s="32">
        <f t="shared" ref="J25:J55" si="10">(I25/$I$56)</f>
        <v>9.5697385221760515E-4</v>
      </c>
      <c r="K25" s="89">
        <v>926933423.46000004</v>
      </c>
      <c r="L25" s="32">
        <f t="shared" ref="L25" si="11">(K25/$K$56)</f>
        <v>9.8878401756120112E-4</v>
      </c>
      <c r="M25" s="32">
        <f t="shared" ref="M25:M56" si="12">((K25-I25)/I25)</f>
        <v>5.7715267126814067E-2</v>
      </c>
      <c r="N25" s="33">
        <f t="shared" ref="N25" si="13">(G25/K25)</f>
        <v>1.9738332480994554E-3</v>
      </c>
      <c r="O25" s="34">
        <f t="shared" ref="O25" si="14">H25/K25</f>
        <v>1.1398598995989212E-2</v>
      </c>
      <c r="P25" s="45">
        <f t="shared" ref="P25" si="15">K25/V25</f>
        <v>101.13619162265962</v>
      </c>
      <c r="Q25" s="45">
        <f t="shared" ref="Q25" si="16">H25/V25</f>
        <v>1.1528108922882208</v>
      </c>
      <c r="R25" s="36">
        <v>100</v>
      </c>
      <c r="S25" s="36">
        <v>100</v>
      </c>
      <c r="T25" s="36">
        <v>784</v>
      </c>
      <c r="U25" s="88">
        <v>8656025</v>
      </c>
      <c r="V25" s="86">
        <v>9165200</v>
      </c>
    </row>
    <row r="26" spans="1:23" ht="15" customHeight="1">
      <c r="A26" s="30">
        <v>19</v>
      </c>
      <c r="B26" s="28" t="s">
        <v>52</v>
      </c>
      <c r="C26" s="28" t="s">
        <v>53</v>
      </c>
      <c r="D26" s="36">
        <v>5139796005.6999998</v>
      </c>
      <c r="E26" s="36">
        <v>74415185.359999999</v>
      </c>
      <c r="F26" s="36"/>
      <c r="G26" s="36">
        <v>8617532.0099999998</v>
      </c>
      <c r="H26" s="31">
        <f t="shared" si="9"/>
        <v>65797653.350000001</v>
      </c>
      <c r="I26" s="17">
        <v>5279510013.1300001</v>
      </c>
      <c r="J26" s="32">
        <f t="shared" si="10"/>
        <v>5.7651939231815027E-3</v>
      </c>
      <c r="K26" s="36">
        <v>5130783662.0799999</v>
      </c>
      <c r="L26" s="32">
        <f t="shared" ref="L26:L55" si="17">(K26/$K$56)</f>
        <v>5.4731405236114672E-3</v>
      </c>
      <c r="M26" s="32">
        <f t="shared" ref="M26:M55" si="18">((K26-I26)/I26)</f>
        <v>-2.8170483753250156E-2</v>
      </c>
      <c r="N26" s="33">
        <f t="shared" ref="N26:N55" si="19">(G26/K26)</f>
        <v>1.6795742283365902E-3</v>
      </c>
      <c r="O26" s="34">
        <f t="shared" ref="O26:O55" si="20">H26/K26</f>
        <v>1.2824094267760626E-2</v>
      </c>
      <c r="P26" s="45">
        <f t="shared" ref="P26:P55" si="21">K26/V26</f>
        <v>101.47114055180599</v>
      </c>
      <c r="Q26" s="45">
        <f t="shared" ref="Q26:Q55" si="22">H26/V26</f>
        <v>1.301275471893548</v>
      </c>
      <c r="R26" s="36">
        <v>100</v>
      </c>
      <c r="S26" s="36">
        <v>100</v>
      </c>
      <c r="T26" s="46">
        <v>1403</v>
      </c>
      <c r="U26" s="36">
        <v>51020479.170000002</v>
      </c>
      <c r="V26" s="36">
        <v>50563969.560000002</v>
      </c>
    </row>
    <row r="27" spans="1:23" ht="14.25">
      <c r="A27" s="30">
        <v>20</v>
      </c>
      <c r="B27" s="28" t="s">
        <v>54</v>
      </c>
      <c r="C27" s="28" t="s">
        <v>22</v>
      </c>
      <c r="D27" s="36">
        <v>337405912.77999997</v>
      </c>
      <c r="E27" s="36">
        <v>13799601.84</v>
      </c>
      <c r="F27" s="36"/>
      <c r="G27" s="36">
        <v>501580.49</v>
      </c>
      <c r="H27" s="31">
        <f t="shared" si="9"/>
        <v>13298021.35</v>
      </c>
      <c r="I27" s="17">
        <v>334570770.63</v>
      </c>
      <c r="J27" s="32">
        <f t="shared" si="10"/>
        <v>3.6534931630268565E-4</v>
      </c>
      <c r="K27" s="36">
        <v>339935351.02999997</v>
      </c>
      <c r="L27" s="32">
        <f t="shared" si="17"/>
        <v>3.626178899104346E-4</v>
      </c>
      <c r="M27" s="32">
        <f t="shared" si="18"/>
        <v>1.603421718489759E-2</v>
      </c>
      <c r="N27" s="33">
        <f t="shared" si="19"/>
        <v>1.4755172960982646E-3</v>
      </c>
      <c r="O27" s="34">
        <f t="shared" si="20"/>
        <v>3.9119265794825858E-2</v>
      </c>
      <c r="P27" s="45">
        <f t="shared" si="21"/>
        <v>83.340883908037469</v>
      </c>
      <c r="Q27" s="45">
        <f t="shared" si="22"/>
        <v>3.260234189174243</v>
      </c>
      <c r="R27" s="36">
        <v>100</v>
      </c>
      <c r="S27" s="36">
        <v>100</v>
      </c>
      <c r="T27" s="36">
        <v>1020</v>
      </c>
      <c r="U27" s="36">
        <v>3967782.06</v>
      </c>
      <c r="V27" s="36">
        <v>4078854.64</v>
      </c>
    </row>
    <row r="28" spans="1:23" ht="14.25">
      <c r="A28" s="30">
        <v>21</v>
      </c>
      <c r="B28" s="28" t="s">
        <v>55</v>
      </c>
      <c r="C28" s="37" t="s">
        <v>56</v>
      </c>
      <c r="D28" s="81">
        <v>27809792067.360001</v>
      </c>
      <c r="E28" s="81">
        <v>1020930419.3200001</v>
      </c>
      <c r="F28" s="81"/>
      <c r="G28" s="81">
        <v>136748586.44999999</v>
      </c>
      <c r="H28" s="31">
        <f t="shared" si="9"/>
        <v>884181832.87000012</v>
      </c>
      <c r="I28" s="17">
        <v>84102313240</v>
      </c>
      <c r="J28" s="32">
        <f t="shared" si="10"/>
        <v>9.1839232052009778E-2</v>
      </c>
      <c r="K28" s="64">
        <v>85629507757</v>
      </c>
      <c r="L28" s="32">
        <f t="shared" si="17"/>
        <v>9.1343225477518039E-2</v>
      </c>
      <c r="M28" s="32">
        <f t="shared" si="18"/>
        <v>1.8158769457885127E-2</v>
      </c>
      <c r="N28" s="33">
        <f t="shared" si="19"/>
        <v>1.596979709822297E-3</v>
      </c>
      <c r="O28" s="34">
        <f t="shared" si="20"/>
        <v>1.0325667588550635E-2</v>
      </c>
      <c r="P28" s="45">
        <f t="shared" si="21"/>
        <v>1</v>
      </c>
      <c r="Q28" s="45">
        <f t="shared" si="22"/>
        <v>1.0325667588550635E-2</v>
      </c>
      <c r="R28" s="36">
        <v>1</v>
      </c>
      <c r="S28" s="36">
        <v>1</v>
      </c>
      <c r="T28" s="36">
        <v>57618</v>
      </c>
      <c r="U28" s="64">
        <v>84102313240</v>
      </c>
      <c r="V28" s="64">
        <v>85629507757</v>
      </c>
    </row>
    <row r="29" spans="1:23" ht="15" customHeight="1">
      <c r="A29" s="30">
        <v>22</v>
      </c>
      <c r="B29" s="28" t="s">
        <v>57</v>
      </c>
      <c r="C29" s="28" t="s">
        <v>26</v>
      </c>
      <c r="D29" s="36">
        <v>19042499699.91</v>
      </c>
      <c r="E29" s="36">
        <v>709049437.63</v>
      </c>
      <c r="F29" s="36"/>
      <c r="G29" s="36">
        <v>76786749.390000001</v>
      </c>
      <c r="H29" s="31">
        <f t="shared" si="9"/>
        <v>632262688.24000001</v>
      </c>
      <c r="I29" s="17">
        <v>48926017884.989998</v>
      </c>
      <c r="J29" s="32">
        <f t="shared" si="10"/>
        <v>5.3426924145331352E-2</v>
      </c>
      <c r="K29" s="64">
        <v>49785036216.739998</v>
      </c>
      <c r="L29" s="32">
        <f t="shared" si="17"/>
        <v>5.3106994395636174E-2</v>
      </c>
      <c r="M29" s="32">
        <f t="shared" si="18"/>
        <v>1.7557495354910909E-2</v>
      </c>
      <c r="N29" s="33">
        <f t="shared" si="19"/>
        <v>1.54236604460239E-3</v>
      </c>
      <c r="O29" s="34">
        <f t="shared" si="20"/>
        <v>1.269985393778632E-2</v>
      </c>
      <c r="P29" s="45">
        <f t="shared" si="21"/>
        <v>1.0128540779404642</v>
      </c>
      <c r="Q29" s="45">
        <f t="shared" si="22"/>
        <v>1.2863098850135138E-2</v>
      </c>
      <c r="R29" s="36">
        <v>1</v>
      </c>
      <c r="S29" s="36">
        <v>1</v>
      </c>
      <c r="T29" s="36">
        <v>27440</v>
      </c>
      <c r="U29" s="36">
        <v>47532787378.120003</v>
      </c>
      <c r="V29" s="36">
        <v>49153216935.230003</v>
      </c>
    </row>
    <row r="30" spans="1:23" ht="14.25">
      <c r="A30" s="30">
        <v>23</v>
      </c>
      <c r="B30" s="37" t="s">
        <v>58</v>
      </c>
      <c r="C30" s="37" t="s">
        <v>42</v>
      </c>
      <c r="D30" s="36">
        <v>9071210595.5900002</v>
      </c>
      <c r="E30" s="36">
        <v>118833613.44</v>
      </c>
      <c r="F30" s="36"/>
      <c r="G30" s="36">
        <v>14010694.52</v>
      </c>
      <c r="H30" s="31">
        <f t="shared" si="9"/>
        <v>104822918.92</v>
      </c>
      <c r="I30" s="17">
        <v>8286260450.5500002</v>
      </c>
      <c r="J30" s="32">
        <f t="shared" si="10"/>
        <v>9.0485477395823959E-3</v>
      </c>
      <c r="K30" s="36">
        <v>8952403605.2299995</v>
      </c>
      <c r="L30" s="32">
        <f t="shared" si="17"/>
        <v>9.5497620212749729E-3</v>
      </c>
      <c r="M30" s="32">
        <f t="shared" si="18"/>
        <v>8.0391288525788987E-2</v>
      </c>
      <c r="N30" s="33">
        <f t="shared" si="19"/>
        <v>1.5650204277893529E-3</v>
      </c>
      <c r="O30" s="34">
        <f t="shared" si="20"/>
        <v>1.1708913442950939E-2</v>
      </c>
      <c r="P30" s="45">
        <f t="shared" si="21"/>
        <v>100.00000000256914</v>
      </c>
      <c r="Q30" s="45">
        <f t="shared" si="22"/>
        <v>1.1708913443251758</v>
      </c>
      <c r="R30" s="36">
        <v>100</v>
      </c>
      <c r="S30" s="36">
        <v>100</v>
      </c>
      <c r="T30" s="36">
        <v>1931</v>
      </c>
      <c r="U30" s="85">
        <v>85142402.189999998</v>
      </c>
      <c r="V30" s="36">
        <v>89524036.049999997</v>
      </c>
    </row>
    <row r="31" spans="1:23" ht="14.25">
      <c r="A31" s="30">
        <v>24</v>
      </c>
      <c r="B31" s="65" t="s">
        <v>240</v>
      </c>
      <c r="C31" s="65" t="s">
        <v>228</v>
      </c>
      <c r="D31" s="17">
        <v>190253932.12</v>
      </c>
      <c r="E31" s="17">
        <v>5006976.42</v>
      </c>
      <c r="F31" s="17"/>
      <c r="G31" s="17">
        <v>186624.17</v>
      </c>
      <c r="H31" s="23">
        <f t="shared" si="9"/>
        <v>4820352.25</v>
      </c>
      <c r="I31" s="17">
        <v>170355256.08000001</v>
      </c>
      <c r="J31" s="32">
        <f t="shared" si="10"/>
        <v>1.8602693899470049E-4</v>
      </c>
      <c r="K31" s="17">
        <v>190253932.12</v>
      </c>
      <c r="L31" s="32">
        <f t="shared" si="17"/>
        <v>2.0294882307321136E-4</v>
      </c>
      <c r="M31" s="32">
        <f t="shared" si="18"/>
        <v>0.11680693920389186</v>
      </c>
      <c r="N31" s="33">
        <f t="shared" si="19"/>
        <v>9.8092148698555892E-4</v>
      </c>
      <c r="O31" s="34">
        <f t="shared" si="20"/>
        <v>2.5336413267714384E-2</v>
      </c>
      <c r="P31" s="45">
        <f t="shared" si="21"/>
        <v>1.0266547637195951</v>
      </c>
      <c r="Q31" s="45">
        <f t="shared" si="22"/>
        <v>2.6011749376867326E-2</v>
      </c>
      <c r="R31" s="17">
        <v>1</v>
      </c>
      <c r="S31" s="17">
        <v>1</v>
      </c>
      <c r="T31" s="17">
        <v>49</v>
      </c>
      <c r="U31" s="17">
        <f>V31-100000</f>
        <v>185214420.03999999</v>
      </c>
      <c r="V31" s="17">
        <v>185314420.03999999</v>
      </c>
    </row>
    <row r="32" spans="1:23" ht="14.25">
      <c r="A32" s="30">
        <v>25</v>
      </c>
      <c r="B32" s="28" t="s">
        <v>59</v>
      </c>
      <c r="C32" s="28" t="s">
        <v>60</v>
      </c>
      <c r="D32" s="46">
        <v>15977801174.059999</v>
      </c>
      <c r="E32" s="36">
        <v>248910148.94</v>
      </c>
      <c r="F32" s="36"/>
      <c r="G32" s="36">
        <v>25311979.620000001</v>
      </c>
      <c r="H32" s="31">
        <f t="shared" si="9"/>
        <v>223598169.31999999</v>
      </c>
      <c r="I32" s="17">
        <v>14515095077.73</v>
      </c>
      <c r="J32" s="32">
        <f t="shared" si="10"/>
        <v>1.585039856509695E-2</v>
      </c>
      <c r="K32" s="36">
        <v>15639656048.34</v>
      </c>
      <c r="L32" s="32">
        <f t="shared" si="17"/>
        <v>1.6683228319709299E-2</v>
      </c>
      <c r="M32" s="32">
        <f t="shared" si="18"/>
        <v>7.7475274160303295E-2</v>
      </c>
      <c r="N32" s="33">
        <f t="shared" si="19"/>
        <v>1.6184486117702458E-3</v>
      </c>
      <c r="O32" s="34">
        <f t="shared" si="20"/>
        <v>1.4296872554542707E-2</v>
      </c>
      <c r="P32" s="45">
        <f t="shared" si="21"/>
        <v>100.00000000217396</v>
      </c>
      <c r="Q32" s="45">
        <f t="shared" si="22"/>
        <v>1.4296872554853517</v>
      </c>
      <c r="R32" s="36">
        <v>100</v>
      </c>
      <c r="S32" s="36">
        <v>100</v>
      </c>
      <c r="T32" s="36">
        <v>2173</v>
      </c>
      <c r="U32" s="36">
        <v>145150950.78</v>
      </c>
      <c r="V32" s="36">
        <v>156396560.47999999</v>
      </c>
    </row>
    <row r="33" spans="1:22" ht="14.25">
      <c r="A33" s="30">
        <v>26</v>
      </c>
      <c r="B33" s="28" t="s">
        <v>61</v>
      </c>
      <c r="C33" s="28" t="s">
        <v>62</v>
      </c>
      <c r="D33" s="36">
        <v>2885730902.2600002</v>
      </c>
      <c r="E33" s="46">
        <v>85070598.950000003</v>
      </c>
      <c r="F33" s="46"/>
      <c r="G33" s="36">
        <v>8445289.0899999999</v>
      </c>
      <c r="H33" s="31">
        <f t="shared" si="9"/>
        <v>76625309.859999999</v>
      </c>
      <c r="I33" s="17">
        <v>5614226367.3000002</v>
      </c>
      <c r="J33" s="32">
        <f t="shared" si="10"/>
        <v>6.13070221585473E-3</v>
      </c>
      <c r="K33" s="64">
        <v>6015466500</v>
      </c>
      <c r="L33" s="32">
        <f t="shared" si="17"/>
        <v>6.4168547414899541E-3</v>
      </c>
      <c r="M33" s="32">
        <f t="shared" si="18"/>
        <v>7.1468463586901051E-2</v>
      </c>
      <c r="N33" s="33">
        <f t="shared" si="19"/>
        <v>1.4039292031632128E-3</v>
      </c>
      <c r="O33" s="34">
        <f t="shared" si="20"/>
        <v>1.2738049469646287E-2</v>
      </c>
      <c r="P33" s="45">
        <f t="shared" si="21"/>
        <v>100</v>
      </c>
      <c r="Q33" s="45">
        <f t="shared" si="22"/>
        <v>1.2738049469646286</v>
      </c>
      <c r="R33" s="36">
        <v>100</v>
      </c>
      <c r="S33" s="36">
        <v>100</v>
      </c>
      <c r="T33" s="36">
        <v>5923</v>
      </c>
      <c r="U33" s="36">
        <v>56142264</v>
      </c>
      <c r="V33" s="36">
        <v>60154665</v>
      </c>
    </row>
    <row r="34" spans="1:22" ht="14.25">
      <c r="A34" s="30">
        <v>27</v>
      </c>
      <c r="B34" s="28" t="s">
        <v>63</v>
      </c>
      <c r="C34" s="37" t="s">
        <v>64</v>
      </c>
      <c r="D34" s="17">
        <v>39263942.280000001</v>
      </c>
      <c r="E34" s="17">
        <v>275433.01</v>
      </c>
      <c r="F34" s="17"/>
      <c r="G34" s="17">
        <v>41437.480000000003</v>
      </c>
      <c r="H34" s="23">
        <f t="shared" si="9"/>
        <v>233995.53</v>
      </c>
      <c r="I34" s="17">
        <v>39203248.560000002</v>
      </c>
      <c r="J34" s="32">
        <f t="shared" si="10"/>
        <v>4.2809717152727133E-5</v>
      </c>
      <c r="K34" s="17">
        <v>39203248.560000002</v>
      </c>
      <c r="L34" s="32">
        <f t="shared" si="17"/>
        <v>4.181912598200742E-5</v>
      </c>
      <c r="M34" s="32">
        <f t="shared" si="18"/>
        <v>0</v>
      </c>
      <c r="N34" s="33">
        <f t="shared" si="19"/>
        <v>1.056990977076314E-3</v>
      </c>
      <c r="O34" s="34">
        <f t="shared" si="20"/>
        <v>5.9687790832403404E-3</v>
      </c>
      <c r="P34" s="45">
        <f t="shared" si="21"/>
        <v>101.87107246798604</v>
      </c>
      <c r="Q34" s="45">
        <f t="shared" si="22"/>
        <v>0.608045926534176</v>
      </c>
      <c r="R34" s="17">
        <v>10</v>
      </c>
      <c r="S34" s="17">
        <v>10</v>
      </c>
      <c r="T34" s="17">
        <v>86</v>
      </c>
      <c r="U34" s="17">
        <v>384832</v>
      </c>
      <c r="V34" s="17">
        <v>384832</v>
      </c>
    </row>
    <row r="35" spans="1:22" ht="14.25">
      <c r="A35" s="30">
        <v>28</v>
      </c>
      <c r="B35" s="28" t="s">
        <v>65</v>
      </c>
      <c r="C35" s="28" t="s">
        <v>66</v>
      </c>
      <c r="D35" s="81">
        <v>5054382834.6899996</v>
      </c>
      <c r="E35" s="61">
        <v>72761306.730000004</v>
      </c>
      <c r="F35" s="61"/>
      <c r="G35" s="36">
        <v>6438589.1600000001</v>
      </c>
      <c r="H35" s="31">
        <f t="shared" si="9"/>
        <v>66322717.570000008</v>
      </c>
      <c r="I35" s="29">
        <v>5222236195.1899996</v>
      </c>
      <c r="J35" s="32">
        <f t="shared" si="10"/>
        <v>5.7026512504099935E-3</v>
      </c>
      <c r="K35" s="61">
        <v>5134111115.8500004</v>
      </c>
      <c r="L35" s="32">
        <f t="shared" si="17"/>
        <v>5.4766900051855258E-3</v>
      </c>
      <c r="M35" s="32">
        <f t="shared" si="18"/>
        <v>-1.6874970040835727E-2</v>
      </c>
      <c r="N35" s="33">
        <f t="shared" si="19"/>
        <v>1.2540806022142414E-3</v>
      </c>
      <c r="O35" s="34">
        <f t="shared" si="20"/>
        <v>1.2918052623607788E-2</v>
      </c>
      <c r="P35" s="45">
        <f t="shared" si="21"/>
        <v>1.0133283288238282</v>
      </c>
      <c r="Q35" s="45">
        <f t="shared" si="22"/>
        <v>1.3090228676738749E-2</v>
      </c>
      <c r="R35" s="36">
        <v>1</v>
      </c>
      <c r="S35" s="36">
        <v>1</v>
      </c>
      <c r="T35" s="86">
        <v>2218</v>
      </c>
      <c r="U35" s="64">
        <v>5071535216.4899998</v>
      </c>
      <c r="V35" s="64">
        <v>5066582044.3500004</v>
      </c>
    </row>
    <row r="36" spans="1:22" ht="14.25">
      <c r="A36" s="30">
        <v>29</v>
      </c>
      <c r="B36" s="28" t="s">
        <v>67</v>
      </c>
      <c r="C36" s="28" t="s">
        <v>68</v>
      </c>
      <c r="D36" s="36">
        <v>7184429511.4899998</v>
      </c>
      <c r="E36" s="36">
        <v>155063657.44999999</v>
      </c>
      <c r="F36" s="36"/>
      <c r="G36" s="36">
        <v>19580849.91</v>
      </c>
      <c r="H36" s="31">
        <f t="shared" si="9"/>
        <v>135482807.53999999</v>
      </c>
      <c r="I36" s="17">
        <v>12694610178.440001</v>
      </c>
      <c r="J36" s="32">
        <f t="shared" si="10"/>
        <v>1.3862439748364245E-2</v>
      </c>
      <c r="K36" s="85">
        <v>12929949946.33</v>
      </c>
      <c r="L36" s="32">
        <f t="shared" si="17"/>
        <v>1.3792714267519476E-2</v>
      </c>
      <c r="M36" s="32">
        <f t="shared" si="18"/>
        <v>1.8538558063775027E-2</v>
      </c>
      <c r="N36" s="33">
        <f t="shared" si="19"/>
        <v>1.5143794052781907E-3</v>
      </c>
      <c r="O36" s="34">
        <f t="shared" si="20"/>
        <v>1.0478215932959202E-2</v>
      </c>
      <c r="P36" s="45">
        <f t="shared" si="21"/>
        <v>101.85385563339314</v>
      </c>
      <c r="Q36" s="45">
        <f t="shared" si="22"/>
        <v>1.0672466929311464</v>
      </c>
      <c r="R36" s="36">
        <v>100</v>
      </c>
      <c r="S36" s="36">
        <v>100</v>
      </c>
      <c r="T36" s="36">
        <v>5454</v>
      </c>
      <c r="U36" s="36">
        <v>134864811</v>
      </c>
      <c r="V36" s="36">
        <v>126946102</v>
      </c>
    </row>
    <row r="37" spans="1:22" ht="14.25">
      <c r="A37" s="30">
        <v>30</v>
      </c>
      <c r="B37" s="28" t="s">
        <v>69</v>
      </c>
      <c r="C37" s="28" t="s">
        <v>68</v>
      </c>
      <c r="D37" s="17">
        <v>593939588.11000001</v>
      </c>
      <c r="E37" s="36">
        <v>7004931.2199999997</v>
      </c>
      <c r="F37" s="36"/>
      <c r="G37" s="36">
        <v>784229</v>
      </c>
      <c r="H37" s="31">
        <f t="shared" si="9"/>
        <v>6220702.2199999997</v>
      </c>
      <c r="I37" s="17">
        <v>914553270.52999997</v>
      </c>
      <c r="J37" s="32">
        <f t="shared" si="10"/>
        <v>9.9868679945157171E-4</v>
      </c>
      <c r="K37" s="36">
        <v>589171563.76999998</v>
      </c>
      <c r="L37" s="32">
        <f t="shared" si="17"/>
        <v>6.2848464745478597E-4</v>
      </c>
      <c r="M37" s="32">
        <f t="shared" si="18"/>
        <v>-0.35578212581475488</v>
      </c>
      <c r="N37" s="33">
        <f t="shared" si="19"/>
        <v>1.3310706901430605E-3</v>
      </c>
      <c r="O37" s="34">
        <f t="shared" si="20"/>
        <v>1.0558388426275829E-2</v>
      </c>
      <c r="P37" s="45">
        <f t="shared" si="21"/>
        <v>644607.83782275708</v>
      </c>
      <c r="Q37" s="45">
        <f t="shared" si="22"/>
        <v>6806.0199343544855</v>
      </c>
      <c r="R37" s="36">
        <v>1000000</v>
      </c>
      <c r="S37" s="36">
        <v>1000000</v>
      </c>
      <c r="T37" s="36">
        <v>20</v>
      </c>
      <c r="U37" s="36">
        <v>1157</v>
      </c>
      <c r="V37" s="36">
        <v>914</v>
      </c>
    </row>
    <row r="38" spans="1:22" ht="14.25">
      <c r="A38" s="30">
        <v>31</v>
      </c>
      <c r="B38" s="37" t="s">
        <v>70</v>
      </c>
      <c r="C38" s="37" t="s">
        <v>71</v>
      </c>
      <c r="D38" s="81">
        <v>3595736402.8400002</v>
      </c>
      <c r="E38" s="81">
        <v>56198949.189999998</v>
      </c>
      <c r="F38" s="81"/>
      <c r="G38" s="91">
        <v>5840861.54</v>
      </c>
      <c r="H38" s="31">
        <f t="shared" si="9"/>
        <v>50358087.649999999</v>
      </c>
      <c r="I38" s="29">
        <v>3419726389.4200001</v>
      </c>
      <c r="J38" s="32">
        <f t="shared" si="10"/>
        <v>3.7343211302177607E-3</v>
      </c>
      <c r="K38" s="80">
        <v>3505697158.0300002</v>
      </c>
      <c r="L38" s="32">
        <f t="shared" si="17"/>
        <v>3.7396184370293915E-3</v>
      </c>
      <c r="M38" s="32">
        <f t="shared" si="18"/>
        <v>2.5139662891153446E-2</v>
      </c>
      <c r="N38" s="33">
        <f t="shared" si="19"/>
        <v>1.6661055638023871E-3</v>
      </c>
      <c r="O38" s="34">
        <f t="shared" si="20"/>
        <v>1.4364642859880783E-2</v>
      </c>
      <c r="P38" s="45">
        <f t="shared" si="21"/>
        <v>1.0086469206170656</v>
      </c>
      <c r="Q38" s="45">
        <f t="shared" si="22"/>
        <v>1.4488852786382671E-2</v>
      </c>
      <c r="R38" s="36">
        <v>1</v>
      </c>
      <c r="S38" s="36">
        <v>1</v>
      </c>
      <c r="T38" s="86">
        <v>497</v>
      </c>
      <c r="U38" s="64">
        <v>3418457894.96</v>
      </c>
      <c r="V38" s="64">
        <v>3475643544.21</v>
      </c>
    </row>
    <row r="39" spans="1:22" ht="14.25">
      <c r="A39" s="30">
        <v>32</v>
      </c>
      <c r="B39" s="28" t="s">
        <v>72</v>
      </c>
      <c r="C39" s="28" t="s">
        <v>73</v>
      </c>
      <c r="D39" s="61">
        <v>274159141.75</v>
      </c>
      <c r="E39" s="81">
        <v>4124500.07</v>
      </c>
      <c r="F39" s="61"/>
      <c r="G39" s="61">
        <v>657225.76</v>
      </c>
      <c r="H39" s="31">
        <f t="shared" si="9"/>
        <v>3467274.3099999996</v>
      </c>
      <c r="I39" s="29">
        <v>299882432.02999997</v>
      </c>
      <c r="J39" s="32">
        <f t="shared" si="10"/>
        <v>3.2746985430628348E-4</v>
      </c>
      <c r="K39" s="61">
        <v>345018657.63999999</v>
      </c>
      <c r="L39" s="32">
        <f t="shared" si="17"/>
        <v>3.6804038542642258E-4</v>
      </c>
      <c r="M39" s="32">
        <f t="shared" si="18"/>
        <v>0.15051307042049275</v>
      </c>
      <c r="N39" s="33">
        <f t="shared" si="19"/>
        <v>1.9048991857297287E-3</v>
      </c>
      <c r="O39" s="34">
        <f t="shared" si="20"/>
        <v>1.0049526984183647E-2</v>
      </c>
      <c r="P39" s="45">
        <f t="shared" si="21"/>
        <v>1.1666477662140231</v>
      </c>
      <c r="Q39" s="45">
        <f t="shared" si="22"/>
        <v>1.1724258207605401E-2</v>
      </c>
      <c r="R39" s="36">
        <v>1</v>
      </c>
      <c r="S39" s="36">
        <v>1</v>
      </c>
      <c r="T39" s="86">
        <v>497</v>
      </c>
      <c r="U39" s="64">
        <v>281582426</v>
      </c>
      <c r="V39" s="64">
        <v>295735069</v>
      </c>
    </row>
    <row r="40" spans="1:22" ht="14.25">
      <c r="A40" s="30">
        <v>33</v>
      </c>
      <c r="B40" s="28" t="s">
        <v>74</v>
      </c>
      <c r="C40" s="28" t="s">
        <v>75</v>
      </c>
      <c r="D40" s="81">
        <v>212945398378.01001</v>
      </c>
      <c r="E40" s="81">
        <v>3050361743.4499998</v>
      </c>
      <c r="F40" s="81"/>
      <c r="G40" s="46">
        <v>286508149.38</v>
      </c>
      <c r="H40" s="31">
        <f t="shared" si="9"/>
        <v>2763853594.0699997</v>
      </c>
      <c r="I40" s="17">
        <v>207484389327.59</v>
      </c>
      <c r="J40" s="32">
        <f t="shared" si="10"/>
        <v>0.22657173440935996</v>
      </c>
      <c r="K40" s="64">
        <v>209197265019.70001</v>
      </c>
      <c r="L40" s="32">
        <f t="shared" si="17"/>
        <v>0.22315616950878084</v>
      </c>
      <c r="M40" s="32">
        <f t="shared" si="18"/>
        <v>8.2554436874073215E-3</v>
      </c>
      <c r="N40" s="33">
        <f t="shared" si="19"/>
        <v>1.3695597280060981E-3</v>
      </c>
      <c r="O40" s="34">
        <f t="shared" si="20"/>
        <v>1.3211709980098109E-2</v>
      </c>
      <c r="P40" s="45">
        <f t="shared" si="21"/>
        <v>100.04827814332256</v>
      </c>
      <c r="Q40" s="45">
        <f t="shared" si="22"/>
        <v>1.3218088348377661</v>
      </c>
      <c r="R40" s="36">
        <v>100</v>
      </c>
      <c r="S40" s="36">
        <v>100</v>
      </c>
      <c r="T40" s="86">
        <v>26652</v>
      </c>
      <c r="U40" s="64">
        <v>2073883509</v>
      </c>
      <c r="V40" s="64">
        <v>2090963172</v>
      </c>
    </row>
    <row r="41" spans="1:22" ht="15" customHeight="1">
      <c r="A41" s="30">
        <v>34</v>
      </c>
      <c r="B41" s="28" t="s">
        <v>76</v>
      </c>
      <c r="C41" s="28" t="s">
        <v>77</v>
      </c>
      <c r="D41" s="36">
        <v>766410208.71000004</v>
      </c>
      <c r="E41" s="36">
        <v>7843629.4000000004</v>
      </c>
      <c r="F41" s="36"/>
      <c r="G41" s="36">
        <v>1704908.05</v>
      </c>
      <c r="H41" s="31">
        <f t="shared" si="9"/>
        <v>6138721.3500000006</v>
      </c>
      <c r="I41" s="17">
        <v>711339621.91999996</v>
      </c>
      <c r="J41" s="32">
        <f t="shared" si="10"/>
        <v>7.7677868882004343E-4</v>
      </c>
      <c r="K41" s="36">
        <v>607363646.47000003</v>
      </c>
      <c r="L41" s="32">
        <f t="shared" si="17"/>
        <v>6.4789061574187939E-4</v>
      </c>
      <c r="M41" s="32">
        <f t="shared" si="18"/>
        <v>-0.14616924496537251</v>
      </c>
      <c r="N41" s="33">
        <f t="shared" si="19"/>
        <v>2.8070630501330338E-3</v>
      </c>
      <c r="O41" s="34">
        <f t="shared" si="20"/>
        <v>1.0107159665676855E-2</v>
      </c>
      <c r="P41" s="45">
        <f t="shared" si="21"/>
        <v>9.4066453125308787</v>
      </c>
      <c r="Q41" s="45">
        <f t="shared" si="22"/>
        <v>9.5074466092140347E-2</v>
      </c>
      <c r="R41" s="36">
        <v>10</v>
      </c>
      <c r="S41" s="36">
        <v>10</v>
      </c>
      <c r="T41" s="36">
        <v>358</v>
      </c>
      <c r="U41" s="36">
        <v>74317300</v>
      </c>
      <c r="V41" s="36">
        <v>64567508</v>
      </c>
    </row>
    <row r="42" spans="1:22" ht="14.25">
      <c r="A42" s="30">
        <v>35</v>
      </c>
      <c r="B42" s="28" t="s">
        <v>78</v>
      </c>
      <c r="C42" s="28" t="s">
        <v>79</v>
      </c>
      <c r="D42" s="36">
        <v>1690818102.6800001</v>
      </c>
      <c r="E42" s="36">
        <v>38929282.939999998</v>
      </c>
      <c r="F42" s="36"/>
      <c r="G42" s="36">
        <v>6507854.6799999997</v>
      </c>
      <c r="H42" s="31">
        <f t="shared" si="9"/>
        <v>32421428.259999998</v>
      </c>
      <c r="I42" s="17">
        <v>3328218325.1900001</v>
      </c>
      <c r="J42" s="32">
        <f t="shared" si="10"/>
        <v>3.6343948615850906E-3</v>
      </c>
      <c r="K42" s="36">
        <v>3112192103.6399999</v>
      </c>
      <c r="L42" s="32">
        <f t="shared" si="17"/>
        <v>3.3198563497394474E-3</v>
      </c>
      <c r="M42" s="32">
        <f t="shared" si="18"/>
        <v>-6.4907467131882876E-2</v>
      </c>
      <c r="N42" s="33">
        <f t="shared" si="19"/>
        <v>2.0910838609186286E-3</v>
      </c>
      <c r="O42" s="34">
        <f t="shared" si="20"/>
        <v>1.0417553666459118E-2</v>
      </c>
      <c r="P42" s="45">
        <f t="shared" si="21"/>
        <v>100.2753213675614</v>
      </c>
      <c r="Q42" s="45">
        <f t="shared" si="22"/>
        <v>1.0446235417680056</v>
      </c>
      <c r="R42" s="36">
        <v>100</v>
      </c>
      <c r="S42" s="36">
        <v>100</v>
      </c>
      <c r="T42" s="36">
        <v>1531</v>
      </c>
      <c r="U42" s="64">
        <v>32155762</v>
      </c>
      <c r="V42" s="64">
        <v>31036471</v>
      </c>
    </row>
    <row r="43" spans="1:22" ht="14.25">
      <c r="A43" s="30">
        <v>36</v>
      </c>
      <c r="B43" s="37" t="s">
        <v>80</v>
      </c>
      <c r="C43" s="37" t="s">
        <v>34</v>
      </c>
      <c r="D43" s="81">
        <v>21784871877.549999</v>
      </c>
      <c r="E43" s="81">
        <v>320346484.93000001</v>
      </c>
      <c r="F43" s="81"/>
      <c r="G43" s="81">
        <v>24740273.940000001</v>
      </c>
      <c r="H43" s="31">
        <f t="shared" si="9"/>
        <v>295606210.99000001</v>
      </c>
      <c r="I43" s="17">
        <v>21025810336.279999</v>
      </c>
      <c r="J43" s="32">
        <f t="shared" si="10"/>
        <v>2.2960061384337309E-2</v>
      </c>
      <c r="K43" s="64">
        <v>21744981633.77</v>
      </c>
      <c r="L43" s="32">
        <f t="shared" si="17"/>
        <v>2.3195938087306946E-2</v>
      </c>
      <c r="M43" s="32">
        <f t="shared" si="18"/>
        <v>3.4204213107024602E-2</v>
      </c>
      <c r="N43" s="33">
        <f t="shared" si="19"/>
        <v>1.1377463709409763E-3</v>
      </c>
      <c r="O43" s="34">
        <f t="shared" si="20"/>
        <v>1.3594226749353651E-2</v>
      </c>
      <c r="P43" s="45">
        <f t="shared" si="21"/>
        <v>100.00000000354105</v>
      </c>
      <c r="Q43" s="45">
        <f t="shared" si="22"/>
        <v>1.359422674983503</v>
      </c>
      <c r="R43" s="36">
        <v>100</v>
      </c>
      <c r="S43" s="36">
        <v>100</v>
      </c>
      <c r="T43" s="36">
        <v>11870</v>
      </c>
      <c r="U43" s="85">
        <v>210258103.36000001</v>
      </c>
      <c r="V43" s="85">
        <v>217449816.33000001</v>
      </c>
    </row>
    <row r="44" spans="1:22" ht="14.25">
      <c r="A44" s="30">
        <v>37</v>
      </c>
      <c r="B44" s="28" t="s">
        <v>81</v>
      </c>
      <c r="C44" s="28" t="s">
        <v>36</v>
      </c>
      <c r="D44" s="36">
        <v>3274633835.2600002</v>
      </c>
      <c r="E44" s="36">
        <v>48472486.020000003</v>
      </c>
      <c r="F44" s="36"/>
      <c r="G44" s="36">
        <v>3827609.84</v>
      </c>
      <c r="H44" s="31">
        <f t="shared" si="9"/>
        <v>44644876.180000007</v>
      </c>
      <c r="I44" s="17">
        <v>3389405701.8899999</v>
      </c>
      <c r="J44" s="32">
        <f t="shared" si="10"/>
        <v>3.7012111175347829E-3</v>
      </c>
      <c r="K44" s="36">
        <v>3261381810.5900002</v>
      </c>
      <c r="L44" s="32">
        <f t="shared" si="17"/>
        <v>3.4790008946261335E-3</v>
      </c>
      <c r="M44" s="32">
        <f t="shared" si="18"/>
        <v>-3.777178141542957E-2</v>
      </c>
      <c r="N44" s="33">
        <f t="shared" si="19"/>
        <v>1.1736159892630192E-3</v>
      </c>
      <c r="O44" s="34">
        <f t="shared" si="20"/>
        <v>1.3688944984924512E-2</v>
      </c>
      <c r="P44" s="45">
        <f t="shared" si="21"/>
        <v>0.9822842980418125</v>
      </c>
      <c r="Q44" s="45">
        <f t="shared" si="22"/>
        <v>1.3446435715449564E-2</v>
      </c>
      <c r="R44" s="36">
        <v>1</v>
      </c>
      <c r="S44" s="46">
        <v>1</v>
      </c>
      <c r="T44" s="36">
        <v>887</v>
      </c>
      <c r="U44" s="36">
        <v>3447772366</v>
      </c>
      <c r="V44" s="36">
        <v>3320201511</v>
      </c>
    </row>
    <row r="45" spans="1:22" ht="14.25">
      <c r="A45" s="30">
        <v>38</v>
      </c>
      <c r="B45" s="28" t="s">
        <v>82</v>
      </c>
      <c r="C45" s="28" t="s">
        <v>38</v>
      </c>
      <c r="D45" s="36">
        <v>4524011929.0799999</v>
      </c>
      <c r="E45" s="36">
        <v>60814248.270000003</v>
      </c>
      <c r="F45" s="36"/>
      <c r="G45" s="36">
        <v>6302839.8499999996</v>
      </c>
      <c r="H45" s="31">
        <f t="shared" si="9"/>
        <v>54511408.420000002</v>
      </c>
      <c r="I45" s="17">
        <v>4249060817.6300001</v>
      </c>
      <c r="J45" s="32">
        <f t="shared" si="10"/>
        <v>4.6399494544203095E-3</v>
      </c>
      <c r="K45" s="85">
        <v>4524618592.3299999</v>
      </c>
      <c r="L45" s="32">
        <f t="shared" si="17"/>
        <v>4.8265284608644005E-3</v>
      </c>
      <c r="M45" s="32">
        <f t="shared" si="18"/>
        <v>6.4851454598312333E-2</v>
      </c>
      <c r="N45" s="33">
        <f t="shared" si="19"/>
        <v>1.3930101999501986E-3</v>
      </c>
      <c r="O45" s="34">
        <f t="shared" si="20"/>
        <v>1.2047735584255904E-2</v>
      </c>
      <c r="P45" s="45">
        <f t="shared" si="21"/>
        <v>10.124417133221655</v>
      </c>
      <c r="Q45" s="45">
        <f t="shared" si="22"/>
        <v>0.12197630056576469</v>
      </c>
      <c r="R45" s="36">
        <v>10</v>
      </c>
      <c r="S45" s="36">
        <v>10</v>
      </c>
      <c r="T45" s="36">
        <v>1968</v>
      </c>
      <c r="U45" s="36">
        <v>424937533.13999999</v>
      </c>
      <c r="V45" s="36">
        <v>446901637.18000001</v>
      </c>
    </row>
    <row r="46" spans="1:22" ht="14.1" customHeight="1">
      <c r="A46" s="30">
        <v>39</v>
      </c>
      <c r="B46" s="28" t="s">
        <v>83</v>
      </c>
      <c r="C46" s="28" t="s">
        <v>84</v>
      </c>
      <c r="D46" s="36">
        <v>2438905283</v>
      </c>
      <c r="E46" s="36">
        <v>59384611</v>
      </c>
      <c r="F46" s="36"/>
      <c r="G46" s="36">
        <v>5157070</v>
      </c>
      <c r="H46" s="31">
        <f t="shared" si="9"/>
        <v>54227541</v>
      </c>
      <c r="I46" s="104">
        <v>4123027004</v>
      </c>
      <c r="J46" s="32">
        <f t="shared" si="10"/>
        <v>4.5023212702426096E-3</v>
      </c>
      <c r="K46" s="90">
        <v>4259722498</v>
      </c>
      <c r="L46" s="32">
        <f t="shared" si="17"/>
        <v>4.5439568998884346E-3</v>
      </c>
      <c r="M46" s="32">
        <f t="shared" si="18"/>
        <v>3.3154159278458127E-2</v>
      </c>
      <c r="N46" s="33">
        <f t="shared" si="19"/>
        <v>1.2106586761042105E-3</v>
      </c>
      <c r="O46" s="34">
        <f t="shared" si="20"/>
        <v>1.2730298986720519E-2</v>
      </c>
      <c r="P46" s="45">
        <f t="shared" si="21"/>
        <v>99.999999953048587</v>
      </c>
      <c r="Q46" s="45">
        <f t="shared" si="22"/>
        <v>1.2730298980743464</v>
      </c>
      <c r="R46" s="36">
        <v>100</v>
      </c>
      <c r="S46" s="36">
        <v>100</v>
      </c>
      <c r="T46" s="36">
        <v>2172</v>
      </c>
      <c r="U46" s="85">
        <v>41230270</v>
      </c>
      <c r="V46" s="85">
        <v>42597225</v>
      </c>
    </row>
    <row r="47" spans="1:22" ht="14.25">
      <c r="A47" s="30">
        <v>40</v>
      </c>
      <c r="B47" s="28" t="s">
        <v>85</v>
      </c>
      <c r="C47" s="37" t="s">
        <v>86</v>
      </c>
      <c r="D47" s="36">
        <v>162767782.11000001</v>
      </c>
      <c r="E47" s="36">
        <v>1906439.03</v>
      </c>
      <c r="F47" s="36"/>
      <c r="G47" s="36">
        <v>57607.94</v>
      </c>
      <c r="H47" s="31">
        <f t="shared" si="9"/>
        <v>1848831.09</v>
      </c>
      <c r="I47" s="17">
        <v>152903265.31</v>
      </c>
      <c r="J47" s="32">
        <f t="shared" si="10"/>
        <v>1.6696946758458872E-4</v>
      </c>
      <c r="K47" s="64">
        <v>155751683.41999999</v>
      </c>
      <c r="L47" s="32">
        <f t="shared" si="17"/>
        <v>1.6614437604276731E-4</v>
      </c>
      <c r="M47" s="32">
        <f t="shared" si="18"/>
        <v>1.862888999934062E-2</v>
      </c>
      <c r="N47" s="33">
        <f t="shared" si="19"/>
        <v>3.6987041639000739E-4</v>
      </c>
      <c r="O47" s="34">
        <f t="shared" si="20"/>
        <v>1.187037629002341E-2</v>
      </c>
      <c r="P47" s="45">
        <f t="shared" si="21"/>
        <v>1.0003655319910163</v>
      </c>
      <c r="Q47" s="45">
        <f t="shared" si="22"/>
        <v>1.1874715292302815E-2</v>
      </c>
      <c r="R47" s="36">
        <v>1</v>
      </c>
      <c r="S47" s="36">
        <v>1</v>
      </c>
      <c r="T47" s="36">
        <v>72</v>
      </c>
      <c r="U47" s="36">
        <v>155751683.41999999</v>
      </c>
      <c r="V47" s="64">
        <v>155694772</v>
      </c>
    </row>
    <row r="48" spans="1:22" ht="15" customHeight="1">
      <c r="A48" s="30">
        <v>41</v>
      </c>
      <c r="B48" s="37" t="s">
        <v>87</v>
      </c>
      <c r="C48" s="37" t="s">
        <v>40</v>
      </c>
      <c r="D48" s="36">
        <v>672276608.03999996</v>
      </c>
      <c r="E48" s="36">
        <v>23688338.91</v>
      </c>
      <c r="F48" s="36"/>
      <c r="G48" s="36">
        <v>907655.52</v>
      </c>
      <c r="H48" s="31">
        <f t="shared" si="9"/>
        <v>22780683.390000001</v>
      </c>
      <c r="I48" s="17">
        <v>750852529.87</v>
      </c>
      <c r="J48" s="32">
        <f t="shared" si="10"/>
        <v>8.1992655220775154E-4</v>
      </c>
      <c r="K48" s="36">
        <v>721503676.52999997</v>
      </c>
      <c r="L48" s="32">
        <f t="shared" si="17"/>
        <v>7.696467576943475E-4</v>
      </c>
      <c r="M48" s="32">
        <f t="shared" si="18"/>
        <v>-3.90873735819754E-2</v>
      </c>
      <c r="N48" s="33">
        <f t="shared" si="19"/>
        <v>1.2580053983443007E-3</v>
      </c>
      <c r="O48" s="34">
        <f t="shared" si="20"/>
        <v>3.157389786225543E-2</v>
      </c>
      <c r="P48" s="45">
        <f t="shared" si="21"/>
        <v>10.571894999489256</v>
      </c>
      <c r="Q48" s="45">
        <f t="shared" si="22"/>
        <v>0.33379593292436266</v>
      </c>
      <c r="R48" s="36">
        <v>10</v>
      </c>
      <c r="S48" s="36">
        <v>10</v>
      </c>
      <c r="T48" s="36">
        <v>674</v>
      </c>
      <c r="U48" s="36">
        <v>68631697.700000003</v>
      </c>
      <c r="V48" s="36">
        <v>68247336.599999994</v>
      </c>
    </row>
    <row r="49" spans="1:22" ht="15" customHeight="1">
      <c r="A49" s="30">
        <v>42</v>
      </c>
      <c r="B49" s="17" t="s">
        <v>250</v>
      </c>
      <c r="C49" s="17" t="s">
        <v>251</v>
      </c>
      <c r="D49" s="36">
        <v>295216452.79000002</v>
      </c>
      <c r="E49" s="36">
        <v>8499377.3200000003</v>
      </c>
      <c r="F49" s="36">
        <v>0</v>
      </c>
      <c r="G49" s="36">
        <v>8499377.3200000003</v>
      </c>
      <c r="H49" s="31">
        <f t="shared" si="9"/>
        <v>0</v>
      </c>
      <c r="I49" s="17">
        <v>571804154.84000003</v>
      </c>
      <c r="J49" s="32">
        <f t="shared" si="10"/>
        <v>6.244067783819033E-4</v>
      </c>
      <c r="K49" s="36">
        <v>591213185.99000001</v>
      </c>
      <c r="L49" s="32">
        <f t="shared" si="17"/>
        <v>6.3066249903499815E-4</v>
      </c>
      <c r="M49" s="32">
        <f t="shared" si="18"/>
        <v>3.3943494438984853E-2</v>
      </c>
      <c r="N49" s="33">
        <f t="shared" si="19"/>
        <v>1.4376163322148505E-2</v>
      </c>
      <c r="O49" s="34">
        <f t="shared" si="20"/>
        <v>0</v>
      </c>
      <c r="P49" s="45">
        <f t="shared" si="21"/>
        <v>1.0000084978359958</v>
      </c>
      <c r="Q49" s="45">
        <f t="shared" si="22"/>
        <v>0</v>
      </c>
      <c r="R49" s="36">
        <v>1</v>
      </c>
      <c r="S49" s="36">
        <v>1</v>
      </c>
      <c r="T49" s="36">
        <v>40</v>
      </c>
      <c r="U49" s="36">
        <v>571804146</v>
      </c>
      <c r="V49" s="36">
        <v>591208162</v>
      </c>
    </row>
    <row r="50" spans="1:22" ht="14.25">
      <c r="A50" s="30">
        <v>43</v>
      </c>
      <c r="B50" s="28" t="s">
        <v>88</v>
      </c>
      <c r="C50" s="28" t="s">
        <v>44</v>
      </c>
      <c r="D50" s="81">
        <v>422644747396.77002</v>
      </c>
      <c r="E50" s="81">
        <v>6477401587.0900002</v>
      </c>
      <c r="F50" s="81"/>
      <c r="G50" s="81">
        <v>698372082.04999995</v>
      </c>
      <c r="H50" s="31">
        <f t="shared" si="9"/>
        <v>5779029505.04</v>
      </c>
      <c r="I50" s="17">
        <v>410400657279.29999</v>
      </c>
      <c r="J50" s="32">
        <f t="shared" si="10"/>
        <v>0.4481551071088109</v>
      </c>
      <c r="K50" s="64">
        <v>426480768632.83002</v>
      </c>
      <c r="L50" s="32">
        <f t="shared" si="17"/>
        <v>0.45493814026823282</v>
      </c>
      <c r="M50" s="32">
        <f t="shared" si="18"/>
        <v>3.9181495127544687E-2</v>
      </c>
      <c r="N50" s="33">
        <f t="shared" si="19"/>
        <v>1.6375230336616873E-3</v>
      </c>
      <c r="O50" s="34">
        <f t="shared" si="20"/>
        <v>1.3550504337079119E-2</v>
      </c>
      <c r="P50" s="45">
        <f t="shared" si="21"/>
        <v>1</v>
      </c>
      <c r="Q50" s="45">
        <f t="shared" si="22"/>
        <v>1.3550504337079119E-2</v>
      </c>
      <c r="R50" s="36">
        <v>100</v>
      </c>
      <c r="S50" s="36">
        <v>100</v>
      </c>
      <c r="T50" s="64">
        <v>119286</v>
      </c>
      <c r="U50" s="64">
        <v>410400657279.29999</v>
      </c>
      <c r="V50" s="64">
        <v>426480768632.83002</v>
      </c>
    </row>
    <row r="51" spans="1:22" ht="14.25">
      <c r="A51" s="30">
        <v>44</v>
      </c>
      <c r="B51" s="28" t="s">
        <v>89</v>
      </c>
      <c r="C51" s="28" t="s">
        <v>90</v>
      </c>
      <c r="D51" s="36">
        <v>2946791058.9299998</v>
      </c>
      <c r="E51" s="36">
        <v>41976743.359999999</v>
      </c>
      <c r="F51" s="36"/>
      <c r="G51" s="36">
        <v>4108947.06</v>
      </c>
      <c r="H51" s="31">
        <f t="shared" si="9"/>
        <v>37867796.299999997</v>
      </c>
      <c r="I51" s="17">
        <v>3092042428.9099998</v>
      </c>
      <c r="J51" s="32">
        <f t="shared" si="10"/>
        <v>3.3764921701138861E-3</v>
      </c>
      <c r="K51" s="36">
        <v>2980741094.6700001</v>
      </c>
      <c r="L51" s="32">
        <f t="shared" si="17"/>
        <v>3.1796341358541597E-3</v>
      </c>
      <c r="M51" s="32">
        <f t="shared" si="18"/>
        <v>-3.5996056586854626E-2</v>
      </c>
      <c r="N51" s="33">
        <f t="shared" si="19"/>
        <v>1.3784984772234653E-3</v>
      </c>
      <c r="O51" s="34">
        <f t="shared" si="20"/>
        <v>1.2704154804895045E-2</v>
      </c>
      <c r="P51" s="45">
        <f t="shared" si="21"/>
        <v>1.0129992503833756</v>
      </c>
      <c r="Q51" s="45">
        <f t="shared" si="22"/>
        <v>1.2869299294113038E-2</v>
      </c>
      <c r="R51" s="36">
        <v>1</v>
      </c>
      <c r="S51" s="36">
        <v>1</v>
      </c>
      <c r="T51" s="86">
        <v>331</v>
      </c>
      <c r="U51" s="86">
        <v>3001039564.3600001</v>
      </c>
      <c r="V51" s="86">
        <v>2942490918.4699998</v>
      </c>
    </row>
    <row r="52" spans="1:22" ht="14.25">
      <c r="A52" s="30">
        <v>45</v>
      </c>
      <c r="B52" s="28" t="s">
        <v>91</v>
      </c>
      <c r="C52" s="28" t="s">
        <v>48</v>
      </c>
      <c r="D52" s="92">
        <v>20953440032</v>
      </c>
      <c r="E52" s="92">
        <v>459024752</v>
      </c>
      <c r="F52" s="92"/>
      <c r="G52" s="92">
        <v>41158858</v>
      </c>
      <c r="H52" s="31">
        <f t="shared" si="9"/>
        <v>417865894</v>
      </c>
      <c r="I52" s="105">
        <v>35487501107</v>
      </c>
      <c r="J52" s="32">
        <f t="shared" si="10"/>
        <v>3.875214275986931E-2</v>
      </c>
      <c r="K52" s="87">
        <v>34436488308</v>
      </c>
      <c r="L52" s="32">
        <f t="shared" si="17"/>
        <v>3.6734298708080773E-2</v>
      </c>
      <c r="M52" s="32">
        <f t="shared" si="18"/>
        <v>-2.9616421732007639E-2</v>
      </c>
      <c r="N52" s="33">
        <f t="shared" si="19"/>
        <v>1.1952106623612465E-3</v>
      </c>
      <c r="O52" s="34">
        <f t="shared" si="20"/>
        <v>1.2134393329035379E-2</v>
      </c>
      <c r="P52" s="45">
        <f t="shared" si="21"/>
        <v>0.9682650025033438</v>
      </c>
      <c r="Q52" s="45">
        <f t="shared" si="22"/>
        <v>1.1749308387115E-2</v>
      </c>
      <c r="R52" s="36">
        <v>1</v>
      </c>
      <c r="S52" s="36">
        <v>1</v>
      </c>
      <c r="T52" s="86">
        <v>6225</v>
      </c>
      <c r="U52" s="87">
        <v>39767126726.620003</v>
      </c>
      <c r="V52" s="87">
        <v>35565148197</v>
      </c>
    </row>
    <row r="53" spans="1:22" ht="14.25">
      <c r="A53" s="30">
        <v>46</v>
      </c>
      <c r="B53" s="47" t="s">
        <v>92</v>
      </c>
      <c r="C53" s="28" t="s">
        <v>93</v>
      </c>
      <c r="D53" s="91">
        <v>848652149.22000003</v>
      </c>
      <c r="E53" s="91">
        <v>15827652.93</v>
      </c>
      <c r="F53" s="91"/>
      <c r="G53" s="91">
        <v>1656194.13</v>
      </c>
      <c r="H53" s="31">
        <f t="shared" si="9"/>
        <v>14171458.800000001</v>
      </c>
      <c r="I53" s="17">
        <v>1383383875.3399999</v>
      </c>
      <c r="J53" s="32">
        <f t="shared" si="10"/>
        <v>1.5106470660539802E-3</v>
      </c>
      <c r="K53" s="64">
        <v>1304359118.05</v>
      </c>
      <c r="L53" s="32">
        <f t="shared" si="17"/>
        <v>1.3913938330908828E-3</v>
      </c>
      <c r="M53" s="32">
        <f t="shared" si="18"/>
        <v>-5.7124243457426248E-2</v>
      </c>
      <c r="N53" s="33">
        <f t="shared" si="19"/>
        <v>1.2697378406615416E-3</v>
      </c>
      <c r="O53" s="34">
        <f t="shared" si="20"/>
        <v>1.0864691022504714E-2</v>
      </c>
      <c r="P53" s="45">
        <f t="shared" si="21"/>
        <v>1.0095405269756272</v>
      </c>
      <c r="Q53" s="45">
        <f t="shared" si="22"/>
        <v>1.0968345900286777E-2</v>
      </c>
      <c r="R53" s="36">
        <v>1</v>
      </c>
      <c r="S53" s="36">
        <v>1</v>
      </c>
      <c r="T53" s="86">
        <v>83</v>
      </c>
      <c r="U53" s="64">
        <v>1349620722.99</v>
      </c>
      <c r="V53" s="64">
        <v>1292032447.6300001</v>
      </c>
    </row>
    <row r="54" spans="1:22" ht="14.25">
      <c r="A54" s="30">
        <v>47</v>
      </c>
      <c r="B54" s="28" t="s">
        <v>94</v>
      </c>
      <c r="C54" s="28" t="s">
        <v>95</v>
      </c>
      <c r="D54" s="81">
        <v>947346184.79999995</v>
      </c>
      <c r="E54" s="81">
        <v>11470158.720000001</v>
      </c>
      <c r="F54" s="81"/>
      <c r="G54" s="81">
        <v>1513953.3</v>
      </c>
      <c r="H54" s="31">
        <f t="shared" si="9"/>
        <v>9956205.4199999999</v>
      </c>
      <c r="I54" s="17">
        <v>916595375.38999999</v>
      </c>
      <c r="J54" s="32">
        <f t="shared" si="10"/>
        <v>1.0009167659636327E-3</v>
      </c>
      <c r="K54" s="64">
        <v>904595640.12</v>
      </c>
      <c r="L54" s="32">
        <f t="shared" si="17"/>
        <v>9.6495572245895852E-4</v>
      </c>
      <c r="M54" s="32">
        <f t="shared" si="18"/>
        <v>-1.3091638461403149E-2</v>
      </c>
      <c r="N54" s="33">
        <f t="shared" si="19"/>
        <v>1.6736243608239866E-3</v>
      </c>
      <c r="O54" s="34">
        <f t="shared" si="20"/>
        <v>1.1006249619641379E-2</v>
      </c>
      <c r="P54" s="45">
        <f t="shared" si="21"/>
        <v>1.0112332052742385</v>
      </c>
      <c r="Q54" s="45">
        <f t="shared" si="22"/>
        <v>1.1129885080918321E-2</v>
      </c>
      <c r="R54" s="36">
        <v>1</v>
      </c>
      <c r="S54" s="36">
        <v>1</v>
      </c>
      <c r="T54" s="36">
        <v>212</v>
      </c>
      <c r="U54" s="64">
        <v>894446288.33000004</v>
      </c>
      <c r="V54" s="64">
        <v>894547009.92999995</v>
      </c>
    </row>
    <row r="55" spans="1:22" ht="14.25">
      <c r="A55" s="30">
        <v>48</v>
      </c>
      <c r="B55" s="28" t="s">
        <v>96</v>
      </c>
      <c r="C55" s="28" t="s">
        <v>97</v>
      </c>
      <c r="D55" s="36">
        <v>26722451221.259998</v>
      </c>
      <c r="E55" s="91">
        <v>366685995.31999999</v>
      </c>
      <c r="F55" s="91"/>
      <c r="G55" s="61">
        <v>31717671.530000001</v>
      </c>
      <c r="H55" s="31">
        <f t="shared" si="9"/>
        <v>334968323.78999996</v>
      </c>
      <c r="I55" s="29">
        <v>27993935282.950001</v>
      </c>
      <c r="J55" s="32">
        <f t="shared" si="10"/>
        <v>3.0569212896239584E-2</v>
      </c>
      <c r="K55" s="61">
        <v>28011746935.93</v>
      </c>
      <c r="L55" s="32">
        <f t="shared" si="17"/>
        <v>2.9880859804179632E-2</v>
      </c>
      <c r="M55" s="32">
        <f t="shared" si="18"/>
        <v>6.3626827739535132E-4</v>
      </c>
      <c r="N55" s="33">
        <f t="shared" si="19"/>
        <v>1.1322989459581509E-3</v>
      </c>
      <c r="O55" s="34">
        <f t="shared" si="20"/>
        <v>1.1958137582641947E-2</v>
      </c>
      <c r="P55" s="45">
        <f t="shared" si="21"/>
        <v>1.0121198195599834</v>
      </c>
      <c r="Q55" s="45">
        <f t="shared" si="22"/>
        <v>1.2103068052417025E-2</v>
      </c>
      <c r="R55" s="36">
        <v>1</v>
      </c>
      <c r="S55" s="36">
        <v>1</v>
      </c>
      <c r="T55" s="36">
        <v>3405</v>
      </c>
      <c r="U55" s="61">
        <v>27212740682.27</v>
      </c>
      <c r="V55" s="61">
        <v>27676314992.139999</v>
      </c>
    </row>
    <row r="56" spans="1:22" ht="15" customHeight="1">
      <c r="A56" s="139" t="s">
        <v>49</v>
      </c>
      <c r="B56" s="139"/>
      <c r="C56" s="139"/>
      <c r="D56" s="139"/>
      <c r="E56" s="139"/>
      <c r="F56" s="139"/>
      <c r="G56" s="139"/>
      <c r="H56" s="139"/>
      <c r="I56" s="48">
        <f>SUM(I25:I55)</f>
        <v>915755841603.42004</v>
      </c>
      <c r="J56" s="40">
        <f>(I56/$I$185)</f>
        <v>0.34561607212582995</v>
      </c>
      <c r="K56" s="53">
        <f>SUM(K25:K55)</f>
        <v>937447821766.22021</v>
      </c>
      <c r="L56" s="40">
        <f>(K56/$K$185)</f>
        <v>0.3493513162385376</v>
      </c>
      <c r="M56" s="49">
        <f t="shared" si="12"/>
        <v>2.3687514921902256E-2</v>
      </c>
      <c r="N56" s="50"/>
      <c r="O56" s="51"/>
      <c r="P56" s="52"/>
      <c r="Q56" s="52"/>
      <c r="R56" s="53"/>
      <c r="S56" s="53"/>
      <c r="T56" s="53">
        <f>SUM(T25:T55)</f>
        <v>282879</v>
      </c>
      <c r="U56" s="53"/>
      <c r="V56" s="53"/>
    </row>
    <row r="57" spans="1:22" ht="6.95" customHeight="1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</row>
    <row r="58" spans="1:22">
      <c r="A58" s="146" t="s">
        <v>98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14.25">
      <c r="A59" s="30">
        <v>49</v>
      </c>
      <c r="B59" s="28" t="s">
        <v>99</v>
      </c>
      <c r="C59" s="28" t="s">
        <v>22</v>
      </c>
      <c r="D59" s="36">
        <v>425498286.38</v>
      </c>
      <c r="E59" s="36">
        <v>5899872.1600000001</v>
      </c>
      <c r="F59" s="36"/>
      <c r="G59" s="36">
        <v>614900.86</v>
      </c>
      <c r="H59" s="31">
        <f t="shared" ref="H59:H73" si="23">(E59+F59)-G59</f>
        <v>5284971.3</v>
      </c>
      <c r="I59" s="17">
        <v>435571537.69999999</v>
      </c>
      <c r="J59" s="32">
        <f t="shared" ref="J59:J90" si="24">(I59/$I$91)</f>
        <v>1.5762517598830461E-3</v>
      </c>
      <c r="K59" s="36">
        <v>447057420.60000002</v>
      </c>
      <c r="L59" s="32">
        <f t="shared" ref="L59" si="25">(K59/$K$91)</f>
        <v>1.6777334468202417E-3</v>
      </c>
      <c r="M59" s="32">
        <f t="shared" ref="M59:M91" si="26">((K59-I59)/I59)</f>
        <v>2.636968191413586E-2</v>
      </c>
      <c r="N59" s="19">
        <f t="shared" ref="N59" si="27">(G59/K59)</f>
        <v>1.3754404505236389E-3</v>
      </c>
      <c r="O59" s="114">
        <f t="shared" ref="O59" si="28">H59/K59</f>
        <v>1.1821683426945446E-2</v>
      </c>
      <c r="P59" s="115">
        <f t="shared" ref="P59" si="29">K59/V59</f>
        <v>1.2185023831054003</v>
      </c>
      <c r="Q59" s="115">
        <f t="shared" ref="Q59" si="30">H59/V59</f>
        <v>1.4404749428050641E-2</v>
      </c>
      <c r="R59" s="36">
        <v>1.21</v>
      </c>
      <c r="S59" s="36">
        <v>1.21</v>
      </c>
      <c r="T59" s="46">
        <v>305</v>
      </c>
      <c r="U59" s="36">
        <v>364309101.44</v>
      </c>
      <c r="V59" s="36">
        <v>366890887.37</v>
      </c>
    </row>
    <row r="60" spans="1:22" ht="12.95" customHeight="1">
      <c r="A60" s="30">
        <v>50</v>
      </c>
      <c r="B60" s="28" t="s">
        <v>213</v>
      </c>
      <c r="C60" s="37" t="s">
        <v>24</v>
      </c>
      <c r="D60" s="36">
        <v>1232239789.4000001</v>
      </c>
      <c r="E60" s="36">
        <v>16802934.489999998</v>
      </c>
      <c r="F60" s="36">
        <v>630154.39</v>
      </c>
      <c r="G60" s="36">
        <v>2847334.34</v>
      </c>
      <c r="H60" s="31">
        <f t="shared" si="23"/>
        <v>14585754.539999999</v>
      </c>
      <c r="I60" s="17">
        <v>1378593780</v>
      </c>
      <c r="J60" s="32">
        <f t="shared" si="24"/>
        <v>4.9888725130278894E-3</v>
      </c>
      <c r="K60" s="36">
        <v>1357816676</v>
      </c>
      <c r="L60" s="32">
        <f t="shared" ref="L60:L90" si="31">(K60/$K$91)</f>
        <v>5.0956641071253994E-3</v>
      </c>
      <c r="M60" s="32">
        <f t="shared" ref="M60:M90" si="32">((K60-I60)/I60)</f>
        <v>-1.5071230047186199E-2</v>
      </c>
      <c r="N60" s="19">
        <f t="shared" ref="N60:N90" si="33">(G60/K60)</f>
        <v>2.0969946755905063E-3</v>
      </c>
      <c r="O60" s="114">
        <f t="shared" ref="O60:O90" si="34">H60/K60</f>
        <v>1.0742064667351309E-2</v>
      </c>
      <c r="P60" s="115">
        <f t="shared" ref="P60:P90" si="35">K60/V60</f>
        <v>1.1245350881364462</v>
      </c>
      <c r="Q60" s="115">
        <f t="shared" ref="Q60:Q90" si="36">H60/V60</f>
        <v>1.2079828637467309E-2</v>
      </c>
      <c r="R60" s="36">
        <v>1.1245000000000001</v>
      </c>
      <c r="S60" s="36">
        <v>1.1245000000000001</v>
      </c>
      <c r="T60" s="36">
        <v>622</v>
      </c>
      <c r="U60" s="81">
        <v>1243275037</v>
      </c>
      <c r="V60" s="81">
        <v>1207447140</v>
      </c>
    </row>
    <row r="61" spans="1:22" ht="15" customHeight="1">
      <c r="A61" s="30">
        <v>51</v>
      </c>
      <c r="B61" s="28" t="s">
        <v>100</v>
      </c>
      <c r="C61" s="28" t="s">
        <v>101</v>
      </c>
      <c r="D61" s="36">
        <v>788245041.07000005</v>
      </c>
      <c r="E61" s="36">
        <v>10147190.49</v>
      </c>
      <c r="F61" s="36"/>
      <c r="G61" s="36">
        <v>2039923.99</v>
      </c>
      <c r="H61" s="31">
        <f t="shared" si="23"/>
        <v>8107266.5</v>
      </c>
      <c r="I61" s="17">
        <v>906660682</v>
      </c>
      <c r="J61" s="32">
        <f t="shared" si="24"/>
        <v>3.2810350813224473E-3</v>
      </c>
      <c r="K61" s="36">
        <v>852418887</v>
      </c>
      <c r="L61" s="32">
        <f t="shared" si="31"/>
        <v>3.1989887909740782E-3</v>
      </c>
      <c r="M61" s="32">
        <f t="shared" si="32"/>
        <v>-5.9825904086133072E-2</v>
      </c>
      <c r="N61" s="19">
        <f t="shared" si="33"/>
        <v>2.3931004123797645E-3</v>
      </c>
      <c r="O61" s="114">
        <f t="shared" si="34"/>
        <v>9.5108949644847549E-3</v>
      </c>
      <c r="P61" s="115">
        <f t="shared" si="35"/>
        <v>1.0354154375556237</v>
      </c>
      <c r="Q61" s="115">
        <f t="shared" si="36"/>
        <v>9.8477274711975624E-3</v>
      </c>
      <c r="R61" s="36">
        <v>1.0354000000000001</v>
      </c>
      <c r="S61" s="36">
        <v>1.0354000000000001</v>
      </c>
      <c r="T61" s="36">
        <v>161</v>
      </c>
      <c r="U61" s="36">
        <v>883798999</v>
      </c>
      <c r="V61" s="36">
        <v>823262679</v>
      </c>
    </row>
    <row r="62" spans="1:22" ht="14.25">
      <c r="A62" s="30">
        <v>52</v>
      </c>
      <c r="B62" s="28" t="s">
        <v>102</v>
      </c>
      <c r="C62" s="37" t="s">
        <v>103</v>
      </c>
      <c r="D62" s="61">
        <v>250339288.53</v>
      </c>
      <c r="E62" s="61">
        <v>3656276.43</v>
      </c>
      <c r="F62" s="61"/>
      <c r="G62" s="61">
        <v>409513.27</v>
      </c>
      <c r="H62" s="31">
        <f t="shared" si="23"/>
        <v>3246763.16</v>
      </c>
      <c r="I62" s="29">
        <v>264279845.50999999</v>
      </c>
      <c r="J62" s="32">
        <f t="shared" si="24"/>
        <v>9.5637922942906064E-4</v>
      </c>
      <c r="K62" s="61">
        <v>260354612.34</v>
      </c>
      <c r="L62" s="32">
        <f t="shared" si="31"/>
        <v>9.7706831612479452E-4</v>
      </c>
      <c r="M62" s="32">
        <f t="shared" si="32"/>
        <v>-1.4852563434889178E-2</v>
      </c>
      <c r="N62" s="19">
        <f t="shared" si="33"/>
        <v>1.5729057623346885E-3</v>
      </c>
      <c r="O62" s="114">
        <f t="shared" si="34"/>
        <v>1.2470542122603212E-2</v>
      </c>
      <c r="P62" s="115">
        <f t="shared" si="35"/>
        <v>1045.2650246507146</v>
      </c>
      <c r="Q62" s="115">
        <f t="shared" si="36"/>
        <v>13.035021519190622</v>
      </c>
      <c r="R62" s="36">
        <v>1045.27</v>
      </c>
      <c r="S62" s="36">
        <v>1045.27</v>
      </c>
      <c r="T62" s="36">
        <v>113</v>
      </c>
      <c r="U62" s="36">
        <v>235180</v>
      </c>
      <c r="V62" s="36">
        <v>249080</v>
      </c>
    </row>
    <row r="63" spans="1:22" ht="14.25">
      <c r="A63" s="30">
        <v>53</v>
      </c>
      <c r="B63" s="28" t="s">
        <v>104</v>
      </c>
      <c r="C63" s="37" t="s">
        <v>105</v>
      </c>
      <c r="D63" s="36">
        <v>1690386064.6900001</v>
      </c>
      <c r="E63" s="36">
        <v>18014825.539999999</v>
      </c>
      <c r="F63" s="36"/>
      <c r="G63" s="36">
        <v>2320786.8199999998</v>
      </c>
      <c r="H63" s="31">
        <f t="shared" si="23"/>
        <v>15694038.719999999</v>
      </c>
      <c r="I63" s="17">
        <v>1635840045.1099999</v>
      </c>
      <c r="J63" s="32">
        <f t="shared" si="24"/>
        <v>5.919798533226793E-3</v>
      </c>
      <c r="K63" s="36">
        <v>1753863941.3699999</v>
      </c>
      <c r="L63" s="32">
        <f t="shared" si="31"/>
        <v>6.5819647768272024E-3</v>
      </c>
      <c r="M63" s="32">
        <f t="shared" si="32"/>
        <v>7.2148800008171726E-2</v>
      </c>
      <c r="N63" s="19">
        <f t="shared" si="33"/>
        <v>1.3232422226476463E-3</v>
      </c>
      <c r="O63" s="114">
        <f t="shared" si="34"/>
        <v>8.9482646571437448E-3</v>
      </c>
      <c r="P63" s="115">
        <f t="shared" si="35"/>
        <v>1.0495749906737675</v>
      </c>
      <c r="Q63" s="115">
        <f t="shared" si="36"/>
        <v>9.3918747940680489E-3</v>
      </c>
      <c r="R63" s="31">
        <v>1.0495000000000001</v>
      </c>
      <c r="S63" s="81">
        <v>1.0495000000000001</v>
      </c>
      <c r="T63" s="36">
        <v>842</v>
      </c>
      <c r="U63" s="36">
        <v>1572972950.8</v>
      </c>
      <c r="V63" s="36">
        <v>1671022992.1199999</v>
      </c>
    </row>
    <row r="64" spans="1:22" ht="14.25">
      <c r="A64" s="30">
        <v>54</v>
      </c>
      <c r="B64" s="28" t="s">
        <v>106</v>
      </c>
      <c r="C64" s="28" t="s">
        <v>107</v>
      </c>
      <c r="D64" s="36">
        <v>422161921.12</v>
      </c>
      <c r="E64" s="36">
        <v>4949936.45</v>
      </c>
      <c r="F64" s="36"/>
      <c r="G64" s="36">
        <v>774389</v>
      </c>
      <c r="H64" s="31">
        <f t="shared" si="23"/>
        <v>4175547.45</v>
      </c>
      <c r="I64" s="17">
        <v>405800334.69999999</v>
      </c>
      <c r="J64" s="32">
        <f t="shared" si="24"/>
        <v>1.4685153559610194E-3</v>
      </c>
      <c r="K64" s="36">
        <v>408600082.38</v>
      </c>
      <c r="L64" s="32">
        <f t="shared" si="31"/>
        <v>1.5334093407115051E-3</v>
      </c>
      <c r="M64" s="32">
        <f t="shared" si="32"/>
        <v>6.8993232400111357E-3</v>
      </c>
      <c r="N64" s="19">
        <f t="shared" si="33"/>
        <v>1.8952247769735264E-3</v>
      </c>
      <c r="O64" s="114">
        <f t="shared" si="34"/>
        <v>1.0219154694434743E-2</v>
      </c>
      <c r="P64" s="115">
        <f t="shared" si="35"/>
        <v>2.3244752431807312</v>
      </c>
      <c r="Q64" s="115">
        <f t="shared" si="36"/>
        <v>2.3754172093447712E-2</v>
      </c>
      <c r="R64" s="36">
        <v>2.3142999999999998</v>
      </c>
      <c r="S64" s="36">
        <v>2.3142999999999998</v>
      </c>
      <c r="T64" s="36">
        <v>1394</v>
      </c>
      <c r="U64" s="36">
        <v>176381645.16</v>
      </c>
      <c r="V64" s="36">
        <v>175781645.16</v>
      </c>
    </row>
    <row r="65" spans="1:22" ht="14.25">
      <c r="A65" s="30">
        <v>55</v>
      </c>
      <c r="B65" s="57" t="s">
        <v>242</v>
      </c>
      <c r="C65" s="58" t="s">
        <v>228</v>
      </c>
      <c r="D65" s="17">
        <v>135863859.88999999</v>
      </c>
      <c r="E65" s="17">
        <v>2580657.83</v>
      </c>
      <c r="F65" s="17"/>
      <c r="G65" s="17">
        <v>330496.39</v>
      </c>
      <c r="H65" s="23">
        <f t="shared" si="23"/>
        <v>2250161.44</v>
      </c>
      <c r="I65" s="17">
        <v>135942131.41</v>
      </c>
      <c r="J65" s="32">
        <f t="shared" si="24"/>
        <v>4.919490952249721E-4</v>
      </c>
      <c r="K65" s="17">
        <v>131537984.91</v>
      </c>
      <c r="L65" s="32">
        <f t="shared" si="31"/>
        <v>4.9364056302803082E-4</v>
      </c>
      <c r="M65" s="32">
        <f t="shared" si="32"/>
        <v>-3.2397215302716872E-2</v>
      </c>
      <c r="N65" s="19">
        <f t="shared" si="33"/>
        <v>2.5125547591908905E-3</v>
      </c>
      <c r="O65" s="114">
        <f t="shared" si="34"/>
        <v>1.7106552464974962E-2</v>
      </c>
      <c r="P65" s="115">
        <f t="shared" si="35"/>
        <v>10.595161165224575</v>
      </c>
      <c r="Q65" s="115">
        <f t="shared" si="36"/>
        <v>0.18124668034777944</v>
      </c>
      <c r="R65" s="17">
        <v>10.6</v>
      </c>
      <c r="S65" s="17">
        <v>10.6</v>
      </c>
      <c r="T65" s="17">
        <v>29</v>
      </c>
      <c r="U65" s="17">
        <f>V65+10884.43</f>
        <v>12425795.619999999</v>
      </c>
      <c r="V65" s="17">
        <v>12414911.189999999</v>
      </c>
    </row>
    <row r="66" spans="1:22" ht="14.25">
      <c r="A66" s="30">
        <v>56</v>
      </c>
      <c r="B66" s="37" t="s">
        <v>108</v>
      </c>
      <c r="C66" s="28" t="s">
        <v>60</v>
      </c>
      <c r="D66" s="36">
        <v>2686285980.5999999</v>
      </c>
      <c r="E66" s="36">
        <v>24786858.710000001</v>
      </c>
      <c r="F66" s="36"/>
      <c r="G66" s="36">
        <v>4585545.17</v>
      </c>
      <c r="H66" s="31">
        <f t="shared" si="23"/>
        <v>20201313.539999999</v>
      </c>
      <c r="I66" s="17">
        <v>2626026351.8600001</v>
      </c>
      <c r="J66" s="32">
        <f t="shared" si="24"/>
        <v>9.5030971961017115E-3</v>
      </c>
      <c r="K66" s="36">
        <v>2645332634.9099998</v>
      </c>
      <c r="L66" s="32">
        <f t="shared" si="31"/>
        <v>9.927501110701004E-3</v>
      </c>
      <c r="M66" s="32">
        <f t="shared" si="32"/>
        <v>7.3518999671595749E-3</v>
      </c>
      <c r="N66" s="19">
        <f t="shared" si="33"/>
        <v>1.7334474725353435E-3</v>
      </c>
      <c r="O66" s="114">
        <f t="shared" si="34"/>
        <v>7.6365872757953911E-3</v>
      </c>
      <c r="P66" s="115">
        <f t="shared" si="35"/>
        <v>4114.4197331531614</v>
      </c>
      <c r="Q66" s="115">
        <f t="shared" si="36"/>
        <v>31.420125381478901</v>
      </c>
      <c r="R66" s="36">
        <v>4114.42</v>
      </c>
      <c r="S66" s="36">
        <v>4114.42</v>
      </c>
      <c r="T66" s="36">
        <v>1038</v>
      </c>
      <c r="U66" s="36">
        <v>643272.27</v>
      </c>
      <c r="V66" s="36">
        <v>642941.85</v>
      </c>
    </row>
    <row r="67" spans="1:22" ht="14.25">
      <c r="A67" s="30">
        <v>57</v>
      </c>
      <c r="B67" s="28" t="s">
        <v>109</v>
      </c>
      <c r="C67" s="28" t="s">
        <v>62</v>
      </c>
      <c r="D67" s="36">
        <v>307381904.45999998</v>
      </c>
      <c r="E67" s="36">
        <v>3632355.76</v>
      </c>
      <c r="F67" s="36"/>
      <c r="G67" s="36">
        <v>690782.89</v>
      </c>
      <c r="H67" s="31">
        <f t="shared" si="23"/>
        <v>2941572.8699999996</v>
      </c>
      <c r="I67" s="17">
        <v>345653318.77999997</v>
      </c>
      <c r="J67" s="32">
        <f t="shared" si="24"/>
        <v>1.2508545781328047E-3</v>
      </c>
      <c r="K67" s="46">
        <v>346538366.26999998</v>
      </c>
      <c r="L67" s="32">
        <f t="shared" si="31"/>
        <v>1.3005018615222207E-3</v>
      </c>
      <c r="M67" s="32">
        <f t="shared" si="32"/>
        <v>2.5605062700506604E-3</v>
      </c>
      <c r="N67" s="19">
        <f t="shared" si="33"/>
        <v>1.9933806967329768E-3</v>
      </c>
      <c r="O67" s="114">
        <f t="shared" si="34"/>
        <v>8.4884479074046268E-3</v>
      </c>
      <c r="P67" s="115">
        <f t="shared" si="35"/>
        <v>115.16694242855371</v>
      </c>
      <c r="Q67" s="115">
        <f t="shared" si="36"/>
        <v>0.977588591459846</v>
      </c>
      <c r="R67" s="36">
        <v>111.21</v>
      </c>
      <c r="S67" s="36">
        <v>111.21</v>
      </c>
      <c r="T67" s="36">
        <v>127</v>
      </c>
      <c r="U67" s="36">
        <v>3128612</v>
      </c>
      <c r="V67" s="36">
        <v>3009009</v>
      </c>
    </row>
    <row r="68" spans="1:22" ht="14.25">
      <c r="A68" s="30">
        <v>58</v>
      </c>
      <c r="B68" s="37" t="s">
        <v>110</v>
      </c>
      <c r="C68" s="37" t="s">
        <v>66</v>
      </c>
      <c r="D68" s="61">
        <v>297004776.75</v>
      </c>
      <c r="E68" s="81">
        <v>4372658.4000000004</v>
      </c>
      <c r="F68" s="81">
        <v>4152138.65</v>
      </c>
      <c r="G68" s="81">
        <v>690045.22</v>
      </c>
      <c r="H68" s="31">
        <f t="shared" si="23"/>
        <v>7834751.830000001</v>
      </c>
      <c r="I68" s="29">
        <v>307564586.29000002</v>
      </c>
      <c r="J68" s="32">
        <f t="shared" si="24"/>
        <v>1.1130185938623453E-3</v>
      </c>
      <c r="K68" s="61">
        <v>316463754.51999998</v>
      </c>
      <c r="L68" s="32">
        <f t="shared" si="31"/>
        <v>1.1876367580520915E-3</v>
      </c>
      <c r="M68" s="32">
        <f t="shared" si="32"/>
        <v>2.8934307220952315E-2</v>
      </c>
      <c r="N68" s="19">
        <f t="shared" si="33"/>
        <v>2.1804873706520798E-3</v>
      </c>
      <c r="O68" s="114">
        <f t="shared" si="34"/>
        <v>2.4757185358820794E-2</v>
      </c>
      <c r="P68" s="115">
        <f t="shared" si="35"/>
        <v>1.3322263730262371</v>
      </c>
      <c r="Q68" s="115">
        <f t="shared" si="36"/>
        <v>3.2982175256920085E-2</v>
      </c>
      <c r="R68" s="81">
        <v>1.3322000000000001</v>
      </c>
      <c r="S68" s="36">
        <v>1.3322000000000001</v>
      </c>
      <c r="T68" s="36">
        <v>325</v>
      </c>
      <c r="U68" s="61">
        <v>236926476.16</v>
      </c>
      <c r="V68" s="61">
        <v>237545030.58000001</v>
      </c>
    </row>
    <row r="69" spans="1:22" ht="14.25">
      <c r="A69" s="30">
        <v>59</v>
      </c>
      <c r="B69" s="28" t="s">
        <v>218</v>
      </c>
      <c r="C69" s="28" t="s">
        <v>46</v>
      </c>
      <c r="D69" s="36">
        <f>100319912.89+9067267.97</f>
        <v>109387180.86</v>
      </c>
      <c r="E69" s="36">
        <v>1429938.24</v>
      </c>
      <c r="F69" s="36"/>
      <c r="G69" s="36">
        <v>1821378.62</v>
      </c>
      <c r="H69" s="31">
        <f t="shared" si="23"/>
        <v>-391440.38000000012</v>
      </c>
      <c r="I69" s="17">
        <v>76143533.719999999</v>
      </c>
      <c r="J69" s="32">
        <f t="shared" si="24"/>
        <v>2.7554917767039412E-4</v>
      </c>
      <c r="K69" s="36">
        <v>98498534.269999996</v>
      </c>
      <c r="L69" s="32">
        <f t="shared" si="31"/>
        <v>3.6964890368167792E-4</v>
      </c>
      <c r="M69" s="32">
        <f t="shared" si="32"/>
        <v>0.2935902690332875</v>
      </c>
      <c r="N69" s="19">
        <f t="shared" si="33"/>
        <v>1.8491428664383112E-2</v>
      </c>
      <c r="O69" s="114">
        <f t="shared" si="34"/>
        <v>-3.9740731463779998E-3</v>
      </c>
      <c r="P69" s="115">
        <f t="shared" si="35"/>
        <v>116.74430567323661</v>
      </c>
      <c r="Q69" s="115">
        <f t="shared" si="36"/>
        <v>-0.46395041016855437</v>
      </c>
      <c r="R69" s="36">
        <v>102.6969</v>
      </c>
      <c r="S69" s="36">
        <v>116.7979</v>
      </c>
      <c r="T69" s="36">
        <v>116.7979</v>
      </c>
      <c r="U69" s="36">
        <v>659507.24</v>
      </c>
      <c r="V69" s="36">
        <v>843711.68</v>
      </c>
    </row>
    <row r="70" spans="1:22" ht="14.25">
      <c r="A70" s="30">
        <v>60</v>
      </c>
      <c r="B70" s="28" t="s">
        <v>111</v>
      </c>
      <c r="C70" s="28" t="s">
        <v>112</v>
      </c>
      <c r="D70" s="36">
        <v>903048840.16999996</v>
      </c>
      <c r="E70" s="36">
        <v>18115575.399999999</v>
      </c>
      <c r="F70" s="36"/>
      <c r="G70" s="81">
        <v>16850631.949999999</v>
      </c>
      <c r="H70" s="31">
        <f t="shared" si="23"/>
        <v>1264943.4499999993</v>
      </c>
      <c r="I70" s="23">
        <v>1278184416.5599999</v>
      </c>
      <c r="J70" s="32">
        <f t="shared" si="24"/>
        <v>4.6255098455157493E-3</v>
      </c>
      <c r="K70" s="31">
        <v>1317261272.77</v>
      </c>
      <c r="L70" s="32">
        <f t="shared" si="31"/>
        <v>4.9434663058744235E-3</v>
      </c>
      <c r="M70" s="32">
        <f t="shared" si="32"/>
        <v>3.0572158214202193E-2</v>
      </c>
      <c r="N70" s="19">
        <f t="shared" si="33"/>
        <v>1.2792171377334797E-2</v>
      </c>
      <c r="O70" s="114">
        <f t="shared" si="34"/>
        <v>9.602828809656081E-4</v>
      </c>
      <c r="P70" s="115">
        <f t="shared" si="35"/>
        <v>1060.7499207615115</v>
      </c>
      <c r="Q70" s="115">
        <f t="shared" si="36"/>
        <v>1.0186199898929047</v>
      </c>
      <c r="R70" s="36">
        <v>1000</v>
      </c>
      <c r="S70" s="36">
        <v>1000</v>
      </c>
      <c r="T70" s="36">
        <v>308</v>
      </c>
      <c r="U70" s="81">
        <v>1207038.08</v>
      </c>
      <c r="V70" s="81">
        <v>1241820.76</v>
      </c>
    </row>
    <row r="71" spans="1:22" ht="14.25">
      <c r="A71" s="30">
        <v>61</v>
      </c>
      <c r="B71" s="28" t="s">
        <v>113</v>
      </c>
      <c r="C71" s="28" t="s">
        <v>68</v>
      </c>
      <c r="D71" s="36">
        <v>218384137.72999999</v>
      </c>
      <c r="E71" s="46">
        <v>4313783.43</v>
      </c>
      <c r="F71" s="46"/>
      <c r="G71" s="36">
        <v>541970.72</v>
      </c>
      <c r="H71" s="31">
        <f t="shared" si="23"/>
        <v>3771812.71</v>
      </c>
      <c r="I71" s="17">
        <v>214324866.08000001</v>
      </c>
      <c r="J71" s="32">
        <f t="shared" si="24"/>
        <v>7.7560152146116277E-4</v>
      </c>
      <c r="K71" s="36">
        <v>215738062.00999999</v>
      </c>
      <c r="L71" s="32">
        <f t="shared" si="31"/>
        <v>8.096296934308315E-4</v>
      </c>
      <c r="M71" s="32">
        <f t="shared" si="32"/>
        <v>6.5937096140420799E-3</v>
      </c>
      <c r="N71" s="19">
        <f t="shared" si="33"/>
        <v>2.5121701518523807E-3</v>
      </c>
      <c r="O71" s="114">
        <f t="shared" si="34"/>
        <v>1.7483297452746967E-2</v>
      </c>
      <c r="P71" s="115">
        <f t="shared" si="35"/>
        <v>1064.0384999062903</v>
      </c>
      <c r="Q71" s="115">
        <f t="shared" si="36"/>
        <v>18.60290159503635</v>
      </c>
      <c r="R71" s="36">
        <v>1049.05</v>
      </c>
      <c r="S71" s="46">
        <v>1057.07</v>
      </c>
      <c r="T71" s="36">
        <v>281</v>
      </c>
      <c r="U71" s="36">
        <v>202987</v>
      </c>
      <c r="V71" s="36">
        <v>202754</v>
      </c>
    </row>
    <row r="72" spans="1:22" ht="14.25">
      <c r="A72" s="30">
        <v>62</v>
      </c>
      <c r="B72" s="28" t="s">
        <v>114</v>
      </c>
      <c r="C72" s="37" t="s">
        <v>71</v>
      </c>
      <c r="D72" s="61">
        <v>883215783.88999999</v>
      </c>
      <c r="E72" s="61">
        <v>12006867.380000001</v>
      </c>
      <c r="F72" s="61"/>
      <c r="G72" s="81">
        <v>1473957.81</v>
      </c>
      <c r="H72" s="31">
        <f t="shared" si="23"/>
        <v>10532909.57</v>
      </c>
      <c r="I72" s="29">
        <v>873194600.69000006</v>
      </c>
      <c r="J72" s="32">
        <f t="shared" si="24"/>
        <v>3.1599276052926228E-3</v>
      </c>
      <c r="K72" s="61">
        <v>882377778.21000004</v>
      </c>
      <c r="L72" s="32">
        <f t="shared" si="31"/>
        <v>3.3114196141672322E-3</v>
      </c>
      <c r="M72" s="32">
        <f t="shared" si="32"/>
        <v>1.0516759394461917E-2</v>
      </c>
      <c r="N72" s="19">
        <f t="shared" si="33"/>
        <v>1.6704384974314346E-3</v>
      </c>
      <c r="O72" s="114">
        <f t="shared" si="34"/>
        <v>1.1936961503458486E-2</v>
      </c>
      <c r="P72" s="115">
        <f t="shared" si="35"/>
        <v>1.1458008173439627</v>
      </c>
      <c r="Q72" s="115">
        <f t="shared" si="36"/>
        <v>1.3677380247266151E-2</v>
      </c>
      <c r="R72" s="36">
        <v>1.1499999999999999</v>
      </c>
      <c r="S72" s="36">
        <v>1.1499999999999999</v>
      </c>
      <c r="T72" s="36">
        <v>35</v>
      </c>
      <c r="U72" s="61">
        <v>769836537.65999997</v>
      </c>
      <c r="V72" s="61">
        <v>770097005.38999999</v>
      </c>
    </row>
    <row r="73" spans="1:22" ht="14.25">
      <c r="A73" s="30">
        <v>63</v>
      </c>
      <c r="B73" s="28" t="s">
        <v>115</v>
      </c>
      <c r="C73" s="28" t="s">
        <v>28</v>
      </c>
      <c r="D73" s="81">
        <v>52011496680.440002</v>
      </c>
      <c r="E73" s="81">
        <v>605364361.10000002</v>
      </c>
      <c r="F73" s="81"/>
      <c r="G73" s="61">
        <v>61663692.890000001</v>
      </c>
      <c r="H73" s="31">
        <f t="shared" si="23"/>
        <v>543700668.21000004</v>
      </c>
      <c r="I73" s="17">
        <v>56671851065.660004</v>
      </c>
      <c r="J73" s="32">
        <f t="shared" si="24"/>
        <v>0.20508480753763556</v>
      </c>
      <c r="K73" s="81">
        <v>51698429160.290001</v>
      </c>
      <c r="L73" s="32">
        <f t="shared" si="31"/>
        <v>0.19401575670945351</v>
      </c>
      <c r="M73" s="32">
        <f t="shared" si="32"/>
        <v>-8.7758239970100793E-2</v>
      </c>
      <c r="N73" s="19">
        <f t="shared" si="33"/>
        <v>1.1927575729392646E-3</v>
      </c>
      <c r="O73" s="114">
        <f t="shared" si="34"/>
        <v>1.0516773469543271E-2</v>
      </c>
      <c r="P73" s="115">
        <f t="shared" si="35"/>
        <v>1608.3703968029129</v>
      </c>
      <c r="Q73" s="115">
        <f t="shared" si="36"/>
        <v>16.914867118295657</v>
      </c>
      <c r="R73" s="31">
        <v>1608.37</v>
      </c>
      <c r="S73" s="31">
        <v>1608.37</v>
      </c>
      <c r="T73" s="36">
        <v>2424</v>
      </c>
      <c r="U73" s="61">
        <v>35575511.509999998</v>
      </c>
      <c r="V73" s="61">
        <v>32143360.300000001</v>
      </c>
    </row>
    <row r="74" spans="1:22" ht="14.25" customHeight="1">
      <c r="A74" s="30">
        <v>64</v>
      </c>
      <c r="B74" s="28" t="s">
        <v>116</v>
      </c>
      <c r="C74" s="28" t="s">
        <v>77</v>
      </c>
      <c r="D74" s="36">
        <v>23022744.760000002</v>
      </c>
      <c r="E74" s="36">
        <v>268267.87</v>
      </c>
      <c r="F74" s="36"/>
      <c r="G74" s="36">
        <v>252782.04</v>
      </c>
      <c r="H74" s="31">
        <f t="shared" ref="H74:H90" si="37">(E74+F74)-G74</f>
        <v>15485.829999999987</v>
      </c>
      <c r="I74" s="17">
        <v>25368142.91</v>
      </c>
      <c r="J74" s="32">
        <f t="shared" si="24"/>
        <v>9.1802554680220835E-5</v>
      </c>
      <c r="K74" s="36">
        <v>23907390.309999999</v>
      </c>
      <c r="L74" s="32">
        <f t="shared" si="31"/>
        <v>8.9720529178200027E-5</v>
      </c>
      <c r="M74" s="32">
        <f t="shared" si="32"/>
        <v>-5.7582165363164198E-2</v>
      </c>
      <c r="N74" s="19">
        <f t="shared" si="33"/>
        <v>1.057338491245806E-2</v>
      </c>
      <c r="O74" s="114">
        <f t="shared" si="34"/>
        <v>6.477423842251224E-4</v>
      </c>
      <c r="P74" s="115">
        <f t="shared" si="35"/>
        <v>0.72919449999898045</v>
      </c>
      <c r="Q74" s="115">
        <f t="shared" si="36"/>
        <v>4.7233018399318562E-4</v>
      </c>
      <c r="R74" s="31">
        <v>0.72919999999999996</v>
      </c>
      <c r="S74" s="31">
        <v>0.72919999999999996</v>
      </c>
      <c r="T74" s="36">
        <v>747</v>
      </c>
      <c r="U74" s="36">
        <v>32786026.649999999</v>
      </c>
      <c r="V74" s="36">
        <v>32786026.649999999</v>
      </c>
    </row>
    <row r="75" spans="1:22" ht="14.25" customHeight="1">
      <c r="A75" s="30">
        <v>65</v>
      </c>
      <c r="B75" s="28" t="s">
        <v>243</v>
      </c>
      <c r="C75" s="37" t="s">
        <v>34</v>
      </c>
      <c r="D75" s="36">
        <v>11215666200.360001</v>
      </c>
      <c r="E75" s="36">
        <v>83649574.560000002</v>
      </c>
      <c r="F75" s="36"/>
      <c r="G75" s="36">
        <v>2062473.85</v>
      </c>
      <c r="H75" s="31">
        <f>(E75+F75)-G75</f>
        <v>81587100.710000008</v>
      </c>
      <c r="I75" s="17">
        <v>9593414018.8899994</v>
      </c>
      <c r="J75" s="32">
        <f t="shared" si="24"/>
        <v>3.4716767331517143E-2</v>
      </c>
      <c r="K75" s="36">
        <v>9438027085.8999996</v>
      </c>
      <c r="L75" s="32">
        <f t="shared" si="31"/>
        <v>3.5419373405676129E-2</v>
      </c>
      <c r="M75" s="32">
        <f t="shared" si="32"/>
        <v>-1.6197250810194755E-2</v>
      </c>
      <c r="N75" s="19">
        <f t="shared" si="33"/>
        <v>2.1852807066863011E-4</v>
      </c>
      <c r="O75" s="114">
        <f t="shared" si="34"/>
        <v>8.6445080065395835E-3</v>
      </c>
      <c r="P75" s="115">
        <f t="shared" si="35"/>
        <v>1</v>
      </c>
      <c r="Q75" s="115">
        <f t="shared" si="36"/>
        <v>8.6445080065395835E-3</v>
      </c>
      <c r="R75" s="36">
        <v>1</v>
      </c>
      <c r="S75" s="36">
        <v>1</v>
      </c>
      <c r="T75" s="36">
        <v>5542</v>
      </c>
      <c r="U75" s="81">
        <v>9466047507.9300003</v>
      </c>
      <c r="V75" s="36">
        <v>9438027085.8999996</v>
      </c>
    </row>
    <row r="76" spans="1:22" ht="14.25">
      <c r="A76" s="30">
        <v>66</v>
      </c>
      <c r="B76" s="37" t="s">
        <v>117</v>
      </c>
      <c r="C76" s="37" t="s">
        <v>118</v>
      </c>
      <c r="D76" s="46">
        <v>1235897839.49</v>
      </c>
      <c r="E76" s="46">
        <v>11025447.48</v>
      </c>
      <c r="F76" s="46"/>
      <c r="G76" s="46">
        <v>2898125.22</v>
      </c>
      <c r="H76" s="31">
        <f t="shared" si="37"/>
        <v>8127322.2599999998</v>
      </c>
      <c r="I76" s="17">
        <v>1151620805.8</v>
      </c>
      <c r="J76" s="32">
        <f t="shared" si="24"/>
        <v>4.1674998587957132E-3</v>
      </c>
      <c r="K76" s="46">
        <v>1225719839.49</v>
      </c>
      <c r="L76" s="32">
        <f t="shared" si="31"/>
        <v>4.5999262653633067E-3</v>
      </c>
      <c r="M76" s="32">
        <f t="shared" si="32"/>
        <v>6.434325718744327E-2</v>
      </c>
      <c r="N76" s="19">
        <f t="shared" si="33"/>
        <v>2.3644271118315732E-3</v>
      </c>
      <c r="O76" s="114">
        <f t="shared" si="34"/>
        <v>6.6306524526694721E-3</v>
      </c>
      <c r="P76" s="115">
        <f t="shared" si="35"/>
        <v>221.31097085635733</v>
      </c>
      <c r="Q76" s="115">
        <f t="shared" si="36"/>
        <v>1.4674361317113678</v>
      </c>
      <c r="R76" s="46">
        <v>221.3109</v>
      </c>
      <c r="S76" s="93">
        <v>223.14869999999999</v>
      </c>
      <c r="T76" s="36">
        <v>490</v>
      </c>
      <c r="U76" s="94">
        <v>5507732.0800000001</v>
      </c>
      <c r="V76" s="94">
        <v>5538450.4199999999</v>
      </c>
    </row>
    <row r="77" spans="1:22" ht="14.25">
      <c r="A77" s="30">
        <v>67</v>
      </c>
      <c r="B77" s="28" t="s">
        <v>119</v>
      </c>
      <c r="C77" s="37" t="s">
        <v>36</v>
      </c>
      <c r="D77" s="36">
        <v>1116525522.6600001</v>
      </c>
      <c r="E77" s="36">
        <v>12064068.76</v>
      </c>
      <c r="F77" s="36"/>
      <c r="G77" s="36">
        <v>1355393.65</v>
      </c>
      <c r="H77" s="31">
        <f t="shared" si="37"/>
        <v>10708675.109999999</v>
      </c>
      <c r="I77" s="17">
        <v>1100153707.24</v>
      </c>
      <c r="J77" s="32">
        <f t="shared" si="24"/>
        <v>3.9812500750985311E-3</v>
      </c>
      <c r="K77" s="36">
        <v>1107185700.29</v>
      </c>
      <c r="L77" s="32">
        <f t="shared" si="31"/>
        <v>4.1550870103544465E-3</v>
      </c>
      <c r="M77" s="32">
        <f t="shared" si="32"/>
        <v>6.3918277998093534E-3</v>
      </c>
      <c r="N77" s="19">
        <f t="shared" si="33"/>
        <v>1.2241791504758307E-3</v>
      </c>
      <c r="O77" s="114">
        <f t="shared" si="34"/>
        <v>9.6719774353978081E-3</v>
      </c>
      <c r="P77" s="115">
        <f t="shared" si="35"/>
        <v>3.415067400689447</v>
      </c>
      <c r="Q77" s="115">
        <f t="shared" si="36"/>
        <v>3.3030454839830976E-2</v>
      </c>
      <c r="R77" s="31">
        <v>3.42</v>
      </c>
      <c r="S77" s="46">
        <v>3.42</v>
      </c>
      <c r="T77" s="36">
        <v>773</v>
      </c>
      <c r="U77" s="46">
        <v>324506105</v>
      </c>
      <c r="V77" s="46">
        <v>324206105</v>
      </c>
    </row>
    <row r="78" spans="1:22" ht="14.25">
      <c r="A78" s="30">
        <v>68</v>
      </c>
      <c r="B78" s="28" t="s">
        <v>241</v>
      </c>
      <c r="C78" s="28" t="s">
        <v>42</v>
      </c>
      <c r="D78" s="36">
        <v>2537240449.4699998</v>
      </c>
      <c r="E78" s="36">
        <v>30128931.809999999</v>
      </c>
      <c r="F78" s="36"/>
      <c r="G78" s="36">
        <v>4222173.9400000004</v>
      </c>
      <c r="H78" s="31">
        <f>(E78+F78)-G78</f>
        <v>25906757.869999997</v>
      </c>
      <c r="I78" s="17">
        <v>2297326232.98</v>
      </c>
      <c r="J78" s="32">
        <f t="shared" si="24"/>
        <v>8.3135930710291073E-3</v>
      </c>
      <c r="K78" s="36">
        <v>2586859360.0500002</v>
      </c>
      <c r="L78" s="32">
        <f t="shared" si="31"/>
        <v>9.7080604651435046E-3</v>
      </c>
      <c r="M78" s="32">
        <f t="shared" si="32"/>
        <v>0.12603047965653069</v>
      </c>
      <c r="N78" s="19">
        <f t="shared" si="33"/>
        <v>1.6321621519920558E-3</v>
      </c>
      <c r="O78" s="114">
        <f t="shared" si="34"/>
        <v>1.0014753128867144E-2</v>
      </c>
      <c r="P78" s="115">
        <f t="shared" si="35"/>
        <v>102.28517827947293</v>
      </c>
      <c r="Q78" s="115">
        <f t="shared" si="36"/>
        <v>1.0243608092110852</v>
      </c>
      <c r="R78" s="36">
        <v>102.29</v>
      </c>
      <c r="S78" s="36">
        <v>102.29</v>
      </c>
      <c r="T78" s="36">
        <v>136</v>
      </c>
      <c r="U78" s="36">
        <v>22744489</v>
      </c>
      <c r="V78" s="36">
        <v>25290657</v>
      </c>
    </row>
    <row r="79" spans="1:22" ht="14.25">
      <c r="A79" s="30">
        <v>69</v>
      </c>
      <c r="B79" s="28" t="s">
        <v>122</v>
      </c>
      <c r="C79" s="28" t="s">
        <v>20</v>
      </c>
      <c r="D79" s="36">
        <v>1245051633.8</v>
      </c>
      <c r="E79" s="36">
        <v>13671021.68</v>
      </c>
      <c r="F79" s="36">
        <v>72413000</v>
      </c>
      <c r="G79" s="36">
        <v>1983268.61</v>
      </c>
      <c r="H79" s="31">
        <f t="shared" si="37"/>
        <v>84100753.070000008</v>
      </c>
      <c r="I79" s="17">
        <v>1229124975.21</v>
      </c>
      <c r="J79" s="32">
        <f t="shared" si="24"/>
        <v>4.4479729220171403E-3</v>
      </c>
      <c r="K79" s="36">
        <v>1237209889.4000001</v>
      </c>
      <c r="L79" s="32">
        <f t="shared" si="31"/>
        <v>4.6430465451111937E-3</v>
      </c>
      <c r="M79" s="32">
        <f t="shared" si="32"/>
        <v>6.5777804153875586E-3</v>
      </c>
      <c r="N79" s="19">
        <f t="shared" si="33"/>
        <v>1.6030171008104455E-3</v>
      </c>
      <c r="O79" s="114">
        <f t="shared" si="34"/>
        <v>6.7976140338472144E-2</v>
      </c>
      <c r="P79" s="115">
        <f t="shared" si="35"/>
        <v>337.12943900452632</v>
      </c>
      <c r="Q79" s="115">
        <f t="shared" si="36"/>
        <v>22.916758058002067</v>
      </c>
      <c r="R79" s="36">
        <v>337.12939999999998</v>
      </c>
      <c r="S79" s="36">
        <v>337.12939999999998</v>
      </c>
      <c r="T79" s="36">
        <v>104</v>
      </c>
      <c r="U79" s="36">
        <v>3680860.6546</v>
      </c>
      <c r="V79" s="36">
        <v>3669836.4078000002</v>
      </c>
    </row>
    <row r="80" spans="1:22" ht="14.25">
      <c r="A80" s="30">
        <v>70</v>
      </c>
      <c r="B80" s="57" t="s">
        <v>252</v>
      </c>
      <c r="C80" s="58" t="s">
        <v>253</v>
      </c>
      <c r="D80" s="36">
        <v>1457240279</v>
      </c>
      <c r="E80" s="36">
        <v>21366857</v>
      </c>
      <c r="F80" s="36"/>
      <c r="G80" s="36">
        <v>3365835</v>
      </c>
      <c r="H80" s="31">
        <f t="shared" si="37"/>
        <v>18001022</v>
      </c>
      <c r="I80" s="17">
        <v>1594598704</v>
      </c>
      <c r="J80" s="32">
        <f t="shared" si="24"/>
        <v>5.7705538492241679E-3</v>
      </c>
      <c r="K80" s="36">
        <v>1583762939</v>
      </c>
      <c r="L80" s="32">
        <f t="shared" si="31"/>
        <v>5.9436035107715331E-3</v>
      </c>
      <c r="M80" s="32">
        <f t="shared" si="32"/>
        <v>-6.7952927421920193E-3</v>
      </c>
      <c r="N80" s="19">
        <f t="shared" si="33"/>
        <v>2.1252138922541108E-3</v>
      </c>
      <c r="O80" s="114">
        <f t="shared" si="34"/>
        <v>1.1365982595454583E-2</v>
      </c>
      <c r="P80" s="115">
        <f t="shared" si="35"/>
        <v>102.18778726066961</v>
      </c>
      <c r="Q80" s="115">
        <f t="shared" si="36"/>
        <v>1.1614646114727865</v>
      </c>
      <c r="R80" s="36">
        <v>102</v>
      </c>
      <c r="S80" s="36">
        <v>102</v>
      </c>
      <c r="T80" s="36">
        <v>362</v>
      </c>
      <c r="U80" s="36">
        <v>15400789</v>
      </c>
      <c r="V80" s="36">
        <v>15498554</v>
      </c>
    </row>
    <row r="81" spans="1:23" ht="14.25">
      <c r="A81" s="30">
        <v>71</v>
      </c>
      <c r="B81" s="37" t="s">
        <v>123</v>
      </c>
      <c r="C81" s="37" t="s">
        <v>40</v>
      </c>
      <c r="D81" s="36">
        <v>57553700.420000002</v>
      </c>
      <c r="E81" s="36">
        <v>1426323.87</v>
      </c>
      <c r="F81" s="36"/>
      <c r="G81" s="36">
        <v>155572.04999999999</v>
      </c>
      <c r="H81" s="31">
        <f t="shared" si="37"/>
        <v>1270751.82</v>
      </c>
      <c r="I81" s="17">
        <v>69143509.319999993</v>
      </c>
      <c r="J81" s="32">
        <f t="shared" si="24"/>
        <v>2.502174013151544E-4</v>
      </c>
      <c r="K81" s="36">
        <v>58040095.18</v>
      </c>
      <c r="L81" s="32">
        <f t="shared" si="31"/>
        <v>2.1781499300342066E-4</v>
      </c>
      <c r="M81" s="32">
        <f t="shared" si="32"/>
        <v>-0.16058505345183996</v>
      </c>
      <c r="N81" s="19">
        <f t="shared" si="33"/>
        <v>2.6804237573615913E-3</v>
      </c>
      <c r="O81" s="114">
        <f t="shared" si="34"/>
        <v>2.1894378637026903E-2</v>
      </c>
      <c r="P81" s="115">
        <f t="shared" si="35"/>
        <v>12.648601935692751</v>
      </c>
      <c r="Q81" s="115">
        <f t="shared" si="36"/>
        <v>0.27693328000908851</v>
      </c>
      <c r="R81" s="36">
        <v>12.69</v>
      </c>
      <c r="S81" s="36">
        <v>13.02</v>
      </c>
      <c r="T81" s="36">
        <v>57</v>
      </c>
      <c r="U81" s="36">
        <v>4588669.95</v>
      </c>
      <c r="V81" s="36">
        <v>4588656.95</v>
      </c>
    </row>
    <row r="82" spans="1:23" ht="14.25">
      <c r="A82" s="30">
        <v>72</v>
      </c>
      <c r="B82" s="28" t="s">
        <v>124</v>
      </c>
      <c r="C82" s="28" t="s">
        <v>125</v>
      </c>
      <c r="D82" s="36">
        <v>7251665477.1800003</v>
      </c>
      <c r="E82" s="36">
        <v>92360772.209999993</v>
      </c>
      <c r="F82" s="36"/>
      <c r="G82" s="36">
        <v>10094049.529999999</v>
      </c>
      <c r="H82" s="31">
        <f t="shared" si="37"/>
        <v>82266722.679999992</v>
      </c>
      <c r="I82" s="17">
        <v>7132255637</v>
      </c>
      <c r="J82" s="32">
        <f t="shared" si="24"/>
        <v>2.5810296419092736E-2</v>
      </c>
      <c r="K82" s="36">
        <v>7312572658</v>
      </c>
      <c r="L82" s="32">
        <f t="shared" si="31"/>
        <v>2.744289025370401E-2</v>
      </c>
      <c r="M82" s="32">
        <f t="shared" si="32"/>
        <v>2.5281906619354675E-2</v>
      </c>
      <c r="N82" s="19">
        <f t="shared" si="33"/>
        <v>1.3803691261729954E-3</v>
      </c>
      <c r="O82" s="114">
        <f t="shared" si="34"/>
        <v>1.1250038328166173E-2</v>
      </c>
      <c r="P82" s="115">
        <f t="shared" si="35"/>
        <v>1.0399999999203564</v>
      </c>
      <c r="Q82" s="115">
        <f t="shared" si="36"/>
        <v>1.1700039860396826E-2</v>
      </c>
      <c r="R82" s="36">
        <v>1.04</v>
      </c>
      <c r="S82" s="36">
        <v>1.04</v>
      </c>
      <c r="T82" s="31">
        <v>4238</v>
      </c>
      <c r="U82" s="36">
        <v>6924520036</v>
      </c>
      <c r="V82" s="36">
        <v>7031319864</v>
      </c>
    </row>
    <row r="83" spans="1:23" ht="14.25">
      <c r="A83" s="30">
        <v>73</v>
      </c>
      <c r="B83" s="37" t="s">
        <v>126</v>
      </c>
      <c r="C83" s="28" t="s">
        <v>44</v>
      </c>
      <c r="D83" s="81">
        <v>16850654458.799999</v>
      </c>
      <c r="E83" s="81">
        <v>629717058</v>
      </c>
      <c r="F83" s="81"/>
      <c r="G83" s="81">
        <v>21330300.449999999</v>
      </c>
      <c r="H83" s="31">
        <f t="shared" si="37"/>
        <v>608386757.54999995</v>
      </c>
      <c r="I83" s="17">
        <v>19392229512.950001</v>
      </c>
      <c r="J83" s="32">
        <f t="shared" si="24"/>
        <v>7.0176844105218919E-2</v>
      </c>
      <c r="K83" s="81">
        <v>16796973538.299999</v>
      </c>
      <c r="L83" s="32">
        <f t="shared" si="31"/>
        <v>6.3036296931921337E-2</v>
      </c>
      <c r="M83" s="32">
        <f t="shared" si="32"/>
        <v>-0.13382968538593806</v>
      </c>
      <c r="N83" s="19">
        <f t="shared" si="33"/>
        <v>1.2698895072593423E-3</v>
      </c>
      <c r="O83" s="114">
        <f t="shared" si="34"/>
        <v>3.6220022384554761E-2</v>
      </c>
      <c r="P83" s="115">
        <f t="shared" si="35"/>
        <v>5140.8689176931848</v>
      </c>
      <c r="Q83" s="115">
        <f t="shared" si="36"/>
        <v>186.20238727490894</v>
      </c>
      <c r="R83" s="81">
        <v>5140.87</v>
      </c>
      <c r="S83" s="81">
        <v>5140.87</v>
      </c>
      <c r="T83" s="81">
        <v>392</v>
      </c>
      <c r="U83" s="81">
        <v>3786492.56</v>
      </c>
      <c r="V83" s="81">
        <v>3267341.34</v>
      </c>
    </row>
    <row r="84" spans="1:23" ht="14.25">
      <c r="A84" s="30">
        <v>74</v>
      </c>
      <c r="B84" s="28" t="s">
        <v>127</v>
      </c>
      <c r="C84" s="28" t="s">
        <v>44</v>
      </c>
      <c r="D84" s="81">
        <v>38244554155.68</v>
      </c>
      <c r="E84" s="81">
        <v>362728168.41000003</v>
      </c>
      <c r="F84" s="81"/>
      <c r="G84" s="81">
        <v>62545289.329999998</v>
      </c>
      <c r="H84" s="31">
        <f t="shared" si="37"/>
        <v>300182879.08000004</v>
      </c>
      <c r="I84" s="17">
        <v>39077060855.800003</v>
      </c>
      <c r="J84" s="32">
        <f t="shared" si="24"/>
        <v>0.14141255939325267</v>
      </c>
      <c r="K84" s="81">
        <v>38277595009</v>
      </c>
      <c r="L84" s="32">
        <f t="shared" si="31"/>
        <v>0.14364955920930494</v>
      </c>
      <c r="M84" s="32">
        <f t="shared" si="32"/>
        <v>-2.0458699536030803E-2</v>
      </c>
      <c r="N84" s="19">
        <f t="shared" si="33"/>
        <v>1.6339921386203618E-3</v>
      </c>
      <c r="O84" s="114">
        <f t="shared" si="34"/>
        <v>7.8422607013167809E-3</v>
      </c>
      <c r="P84" s="115">
        <f t="shared" si="35"/>
        <v>258.10648524271681</v>
      </c>
      <c r="Q84" s="115">
        <f t="shared" si="36"/>
        <v>2.0241383459739577</v>
      </c>
      <c r="R84" s="81">
        <v>258.11</v>
      </c>
      <c r="S84" s="81">
        <v>258.11</v>
      </c>
      <c r="T84" s="81">
        <v>6615</v>
      </c>
      <c r="U84" s="81">
        <v>151556442.38999999</v>
      </c>
      <c r="V84" s="81">
        <v>148301562.33000001</v>
      </c>
    </row>
    <row r="85" spans="1:23" ht="14.25">
      <c r="A85" s="30">
        <v>75</v>
      </c>
      <c r="B85" s="37" t="s">
        <v>128</v>
      </c>
      <c r="C85" s="28" t="s">
        <v>44</v>
      </c>
      <c r="D85" s="81">
        <v>337683465.94</v>
      </c>
      <c r="E85" s="81">
        <v>4214749.09</v>
      </c>
      <c r="F85" s="81">
        <v>-12995351.359999999</v>
      </c>
      <c r="G85" s="81">
        <v>320812.89</v>
      </c>
      <c r="H85" s="31">
        <f t="shared" si="37"/>
        <v>-9101415.1600000001</v>
      </c>
      <c r="I85" s="17">
        <v>350235536.55000001</v>
      </c>
      <c r="J85" s="32">
        <f t="shared" si="24"/>
        <v>1.2674367654407013E-3</v>
      </c>
      <c r="K85" s="81">
        <v>341647557.33999997</v>
      </c>
      <c r="L85" s="32">
        <f t="shared" si="31"/>
        <v>1.2821474548044987E-3</v>
      </c>
      <c r="M85" s="32">
        <f t="shared" si="32"/>
        <v>-2.4520582047715792E-2</v>
      </c>
      <c r="N85" s="19">
        <f t="shared" si="33"/>
        <v>9.3901707507521926E-4</v>
      </c>
      <c r="O85" s="114">
        <f t="shared" si="34"/>
        <v>-2.6639778228949772E-2</v>
      </c>
      <c r="P85" s="115">
        <f t="shared" si="35"/>
        <v>5532.0130784103894</v>
      </c>
      <c r="Q85" s="115">
        <f t="shared" si="36"/>
        <v>-147.37160156850248</v>
      </c>
      <c r="R85" s="81">
        <v>5519.42</v>
      </c>
      <c r="S85" s="81">
        <v>5540.64</v>
      </c>
      <c r="T85" s="36">
        <v>16</v>
      </c>
      <c r="U85" s="81">
        <v>61758.27</v>
      </c>
      <c r="V85" s="81">
        <v>61758.27</v>
      </c>
    </row>
    <row r="86" spans="1:23" ht="14.25">
      <c r="A86" s="30">
        <v>76</v>
      </c>
      <c r="B86" s="28" t="s">
        <v>129</v>
      </c>
      <c r="C86" s="28" t="s">
        <v>44</v>
      </c>
      <c r="D86" s="81">
        <v>15282821015.530001</v>
      </c>
      <c r="E86" s="81">
        <v>170174274.88999999</v>
      </c>
      <c r="F86" s="81"/>
      <c r="G86" s="81">
        <v>22049666.16</v>
      </c>
      <c r="H86" s="31">
        <f t="shared" si="37"/>
        <v>148124608.72999999</v>
      </c>
      <c r="I86" s="17">
        <v>15839315324.469999</v>
      </c>
      <c r="J86" s="32">
        <f t="shared" si="24"/>
        <v>5.731951354620924E-2</v>
      </c>
      <c r="K86" s="81">
        <v>15698353714.790001</v>
      </c>
      <c r="L86" s="32">
        <f t="shared" si="31"/>
        <v>5.8913356257390734E-2</v>
      </c>
      <c r="M86" s="32">
        <f t="shared" si="32"/>
        <v>-8.899476195301714E-3</v>
      </c>
      <c r="N86" s="19">
        <f t="shared" si="33"/>
        <v>1.4045846182728187E-3</v>
      </c>
      <c r="O86" s="114">
        <f t="shared" si="34"/>
        <v>9.4356778692307273E-3</v>
      </c>
      <c r="P86" s="115">
        <f t="shared" si="35"/>
        <v>130.00409279811097</v>
      </c>
      <c r="Q86" s="115">
        <f t="shared" si="36"/>
        <v>1.2266767413245534</v>
      </c>
      <c r="R86" s="81">
        <v>130</v>
      </c>
      <c r="S86" s="81">
        <v>130</v>
      </c>
      <c r="T86" s="36">
        <v>4393</v>
      </c>
      <c r="U86" s="81">
        <v>122814151.13</v>
      </c>
      <c r="V86" s="81">
        <v>120752765.37</v>
      </c>
    </row>
    <row r="87" spans="1:23" ht="14.25">
      <c r="A87" s="30">
        <v>77</v>
      </c>
      <c r="B87" s="28" t="s">
        <v>130</v>
      </c>
      <c r="C87" s="28" t="s">
        <v>44</v>
      </c>
      <c r="D87" s="81">
        <v>11294230883.08</v>
      </c>
      <c r="E87" s="81">
        <v>146289508.34999999</v>
      </c>
      <c r="F87" s="81">
        <v>-204154745.77000001</v>
      </c>
      <c r="G87" s="81">
        <v>21749274.109999999</v>
      </c>
      <c r="H87" s="31">
        <f t="shared" si="37"/>
        <v>-79614511.530000016</v>
      </c>
      <c r="I87" s="17">
        <v>12944724403.84</v>
      </c>
      <c r="J87" s="32">
        <f t="shared" si="24"/>
        <v>4.6844531510245681E-2</v>
      </c>
      <c r="K87" s="81">
        <v>11447312047.82</v>
      </c>
      <c r="L87" s="32">
        <f t="shared" si="31"/>
        <v>4.2959891534827876E-2</v>
      </c>
      <c r="M87" s="32">
        <f t="shared" si="32"/>
        <v>-0.11567742265534824</v>
      </c>
      <c r="N87" s="19">
        <f t="shared" si="33"/>
        <v>1.8999459453140253E-3</v>
      </c>
      <c r="O87" s="114">
        <f t="shared" si="34"/>
        <v>-6.9548651419143962E-3</v>
      </c>
      <c r="P87" s="115">
        <f t="shared" si="35"/>
        <v>355.20579728750647</v>
      </c>
      <c r="Q87" s="115">
        <f t="shared" si="36"/>
        <v>-2.4704084177607899</v>
      </c>
      <c r="R87" s="92">
        <v>355</v>
      </c>
      <c r="S87" s="36">
        <v>355.35</v>
      </c>
      <c r="T87" s="36">
        <v>10241</v>
      </c>
      <c r="U87" s="36">
        <v>36059078.609999999</v>
      </c>
      <c r="V87" s="36">
        <v>32227266.940000001</v>
      </c>
    </row>
    <row r="88" spans="1:23" ht="14.25">
      <c r="A88" s="30">
        <v>78</v>
      </c>
      <c r="B88" s="28" t="s">
        <v>131</v>
      </c>
      <c r="C88" s="28" t="s">
        <v>48</v>
      </c>
      <c r="D88" s="81">
        <v>92819076304.986298</v>
      </c>
      <c r="E88" s="61">
        <v>500373282.059991</v>
      </c>
      <c r="F88" s="61"/>
      <c r="G88" s="61">
        <v>132475662.70999999</v>
      </c>
      <c r="H88" s="31">
        <f t="shared" si="37"/>
        <v>367897619.34999102</v>
      </c>
      <c r="I88" s="29">
        <v>94344035700</v>
      </c>
      <c r="J88" s="32">
        <f t="shared" si="24"/>
        <v>0.34141338318808595</v>
      </c>
      <c r="K88" s="61">
        <v>93957484955</v>
      </c>
      <c r="L88" s="32">
        <f t="shared" si="31"/>
        <v>0.35260708764558452</v>
      </c>
      <c r="M88" s="32">
        <f t="shared" si="32"/>
        <v>-4.0972462342948089E-3</v>
      </c>
      <c r="N88" s="19">
        <f t="shared" si="33"/>
        <v>1.4099532652821422E-3</v>
      </c>
      <c r="O88" s="114">
        <f t="shared" si="34"/>
        <v>3.9155754278245303E-3</v>
      </c>
      <c r="P88" s="115">
        <f t="shared" si="35"/>
        <v>2.1527340238926289</v>
      </c>
      <c r="Q88" s="115">
        <f t="shared" si="36"/>
        <v>8.429192446595804E-3</v>
      </c>
      <c r="R88" s="36">
        <v>2.15</v>
      </c>
      <c r="S88" s="36">
        <v>2.15</v>
      </c>
      <c r="T88" s="36">
        <v>1528</v>
      </c>
      <c r="U88" s="61">
        <v>45308378409</v>
      </c>
      <c r="V88" s="61">
        <v>43645654276</v>
      </c>
    </row>
    <row r="89" spans="1:23" ht="14.25">
      <c r="A89" s="30">
        <v>79</v>
      </c>
      <c r="B89" s="57" t="s">
        <v>244</v>
      </c>
      <c r="C89" s="57" t="s">
        <v>245</v>
      </c>
      <c r="D89" s="17">
        <v>84723480.25</v>
      </c>
      <c r="E89" s="29">
        <v>978092.86</v>
      </c>
      <c r="F89" s="29"/>
      <c r="G89" s="29">
        <v>407523.27</v>
      </c>
      <c r="H89" s="23">
        <f t="shared" si="37"/>
        <v>570569.59</v>
      </c>
      <c r="I89" s="29">
        <v>84203163.629999995</v>
      </c>
      <c r="J89" s="32">
        <f t="shared" si="24"/>
        <v>3.0471546777448587E-4</v>
      </c>
      <c r="K89" s="29">
        <v>84800824.900000006</v>
      </c>
      <c r="L89" s="32">
        <f t="shared" si="31"/>
        <v>3.1824363872929472E-4</v>
      </c>
      <c r="M89" s="32">
        <f t="shared" si="32"/>
        <v>7.0978481595562679E-3</v>
      </c>
      <c r="N89" s="19">
        <f t="shared" si="33"/>
        <v>4.8056521912441912E-3</v>
      </c>
      <c r="O89" s="114">
        <f t="shared" si="34"/>
        <v>6.7283495257603318E-3</v>
      </c>
      <c r="P89" s="115">
        <f t="shared" si="35"/>
        <v>104.27831555120471</v>
      </c>
      <c r="Q89" s="115">
        <f t="shared" si="36"/>
        <v>0.7016209549860345</v>
      </c>
      <c r="R89" s="17">
        <v>104.2783</v>
      </c>
      <c r="S89" s="17">
        <v>104.2783</v>
      </c>
      <c r="T89" s="17">
        <v>58</v>
      </c>
      <c r="U89" s="29">
        <v>812943.15</v>
      </c>
      <c r="V89" s="29">
        <v>813216.29</v>
      </c>
    </row>
    <row r="90" spans="1:23" ht="14.25">
      <c r="A90" s="30">
        <v>80</v>
      </c>
      <c r="B90" s="37" t="s">
        <v>132</v>
      </c>
      <c r="C90" s="37" t="s">
        <v>97</v>
      </c>
      <c r="D90" s="61">
        <v>2505614564.3800001</v>
      </c>
      <c r="E90" s="61">
        <v>21688419.100000001</v>
      </c>
      <c r="F90" s="61"/>
      <c r="G90" s="46">
        <v>4295720.71</v>
      </c>
      <c r="H90" s="31">
        <f t="shared" si="37"/>
        <v>17392698.390000001</v>
      </c>
      <c r="I90" s="29">
        <v>2553294682.8200002</v>
      </c>
      <c r="J90" s="32">
        <f t="shared" si="24"/>
        <v>9.2398949172547134E-3</v>
      </c>
      <c r="K90" s="61">
        <v>2555364139.9400001</v>
      </c>
      <c r="L90" s="32">
        <f t="shared" si="31"/>
        <v>9.5898640506368506E-3</v>
      </c>
      <c r="M90" s="32">
        <f t="shared" si="32"/>
        <v>8.1050461348012616E-4</v>
      </c>
      <c r="N90" s="19">
        <f t="shared" si="33"/>
        <v>1.6810601052344985E-3</v>
      </c>
      <c r="O90" s="114">
        <f t="shared" si="34"/>
        <v>6.8063483079199745E-3</v>
      </c>
      <c r="P90" s="115">
        <f t="shared" si="35"/>
        <v>26.143193550694452</v>
      </c>
      <c r="Q90" s="115">
        <f t="shared" si="36"/>
        <v>0.17793968118739359</v>
      </c>
      <c r="R90" s="36">
        <v>26.1432</v>
      </c>
      <c r="S90" s="36">
        <v>26.1432</v>
      </c>
      <c r="T90" s="61">
        <v>1316</v>
      </c>
      <c r="U90" s="81">
        <v>99167444.400000006</v>
      </c>
      <c r="V90" s="81">
        <v>97744911.5</v>
      </c>
    </row>
    <row r="91" spans="1:23" ht="14.25">
      <c r="A91" s="139" t="s">
        <v>49</v>
      </c>
      <c r="B91" s="139"/>
      <c r="C91" s="139"/>
      <c r="D91" s="139"/>
      <c r="E91" s="139"/>
      <c r="F91" s="139"/>
      <c r="G91" s="139"/>
      <c r="H91" s="139"/>
      <c r="I91" s="55">
        <f>SUM(I59:I90)</f>
        <v>276333736009.48004</v>
      </c>
      <c r="J91" s="40">
        <f>(I91/$I$185)</f>
        <v>0.10429131444930749</v>
      </c>
      <c r="K91" s="53">
        <f>SUM(K59:K90)</f>
        <v>266465105912.56</v>
      </c>
      <c r="L91" s="40">
        <f>(K91/$K$185)</f>
        <v>9.9301457980675578E-2</v>
      </c>
      <c r="M91" s="49">
        <f t="shared" si="26"/>
        <v>-3.5712722736761633E-2</v>
      </c>
      <c r="N91" s="116"/>
      <c r="O91" s="117"/>
      <c r="P91" s="118"/>
      <c r="Q91" s="118"/>
      <c r="R91" s="53"/>
      <c r="S91" s="53"/>
      <c r="T91" s="53">
        <f>SUM(T59:T90)</f>
        <v>45128.797899999998</v>
      </c>
      <c r="U91" s="53"/>
      <c r="V91" s="36"/>
    </row>
    <row r="92" spans="1:23" ht="6.95" customHeight="1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5"/>
    </row>
    <row r="93" spans="1:23">
      <c r="A93" s="146" t="s">
        <v>133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3" ht="13.5">
      <c r="A94" s="147" t="s">
        <v>134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</row>
    <row r="95" spans="1:23" ht="14.25">
      <c r="A95" s="56">
        <v>81</v>
      </c>
      <c r="B95" s="28" t="s">
        <v>135</v>
      </c>
      <c r="C95" s="28" t="s">
        <v>20</v>
      </c>
      <c r="D95" s="46">
        <v>2321892828.1399999</v>
      </c>
      <c r="E95" s="46">
        <v>15398388.130000001</v>
      </c>
      <c r="F95" s="46">
        <v>134999363.88999999</v>
      </c>
      <c r="G95" s="46">
        <v>4725252.99</v>
      </c>
      <c r="H95" s="31">
        <f t="shared" ref="H95:H109" si="38">(E95+F95)-G95</f>
        <v>145672499.02999997</v>
      </c>
      <c r="I95" s="24">
        <v>2360888193.6100001</v>
      </c>
      <c r="J95" s="32">
        <f t="shared" ref="J95:J109" si="39">(I95/$I$122)</f>
        <v>1.9244425254502427E-3</v>
      </c>
      <c r="K95" s="63">
        <v>2398477267.4000001</v>
      </c>
      <c r="L95" s="32">
        <f t="shared" ref="L95" si="40">(K95/$K$122)</f>
        <v>1.9200847215541318E-3</v>
      </c>
      <c r="M95" s="32">
        <f t="shared" ref="M95" si="41">((K95-I95)/I95)</f>
        <v>1.5921581501292126E-2</v>
      </c>
      <c r="N95" s="19">
        <f t="shared" ref="N95" si="42">(G95/K95)</f>
        <v>1.970105389042221E-3</v>
      </c>
      <c r="O95" s="114">
        <f t="shared" ref="O95" si="43">H95/K95</f>
        <v>6.0735409507513084E-2</v>
      </c>
      <c r="P95" s="115">
        <f t="shared" ref="P95" si="44">K95/V95</f>
        <v>146074.66032218951</v>
      </c>
      <c r="Q95" s="115">
        <f t="shared" ref="Q95" si="45">H95/V95</f>
        <v>8871.9043133390533</v>
      </c>
      <c r="R95" s="36">
        <f>109.85*1329.705</f>
        <v>146068.09424999999</v>
      </c>
      <c r="S95" s="36">
        <f>109.85*1329.705</f>
        <v>146068.09424999999</v>
      </c>
      <c r="T95" s="36">
        <v>240</v>
      </c>
      <c r="U95" s="31">
        <v>16250.37</v>
      </c>
      <c r="V95" s="36">
        <v>16419.53</v>
      </c>
    </row>
    <row r="96" spans="1:23" ht="14.25">
      <c r="A96" s="56">
        <v>82</v>
      </c>
      <c r="B96" s="57" t="s">
        <v>225</v>
      </c>
      <c r="C96" s="58" t="s">
        <v>53</v>
      </c>
      <c r="D96" s="17">
        <f>1336205.27*1330.205</f>
        <v>1777426931.1803498</v>
      </c>
      <c r="E96" s="17">
        <f>8184.78*1330.205</f>
        <v>10887435.279899999</v>
      </c>
      <c r="F96" s="17"/>
      <c r="G96" s="17">
        <f>1890.2*1330.205</f>
        <v>2514353.4909999999</v>
      </c>
      <c r="H96" s="23">
        <f t="shared" si="38"/>
        <v>8373081.7888999991</v>
      </c>
      <c r="I96" s="24">
        <f>1227263.35*1330.76</f>
        <v>1633192975.6460001</v>
      </c>
      <c r="J96" s="32">
        <f t="shared" si="39"/>
        <v>1.3312727062241311E-3</v>
      </c>
      <c r="K96" s="24">
        <f>1343557.93*1330.205</f>
        <v>1787207476.2756498</v>
      </c>
      <c r="L96" s="32">
        <f t="shared" ref="L96:L109" si="46">(K96/$K$122)</f>
        <v>1.4307368329423899E-3</v>
      </c>
      <c r="M96" s="32">
        <f t="shared" ref="M96:M109" si="47">((K96-I96)/I96)</f>
        <v>9.4302695962018873E-2</v>
      </c>
      <c r="N96" s="19">
        <f t="shared" ref="N96:N109" si="48">(G96/K96)</f>
        <v>1.4068615560179085E-3</v>
      </c>
      <c r="O96" s="114">
        <f t="shared" ref="O96:O109" si="49">H96/K96</f>
        <v>4.6850082601202023E-3</v>
      </c>
      <c r="P96" s="115">
        <f t="shared" ref="P96:P109" si="50">K96/V96</f>
        <v>133975.58256313062</v>
      </c>
      <c r="Q96" s="115">
        <f t="shared" ref="Q96:Q109" si="51">H96/V96</f>
        <v>627.67671096268305</v>
      </c>
      <c r="R96" s="17">
        <f>100*1330.205</f>
        <v>133020.5</v>
      </c>
      <c r="S96" s="17">
        <f>100*1330.205</f>
        <v>133020.5</v>
      </c>
      <c r="T96" s="17">
        <v>11</v>
      </c>
      <c r="U96" s="17">
        <v>12239.8</v>
      </c>
      <c r="V96" s="17">
        <v>13339.8</v>
      </c>
    </row>
    <row r="97" spans="1:24" ht="12.95" customHeight="1">
      <c r="A97" s="56">
        <v>83</v>
      </c>
      <c r="B97" s="28" t="s">
        <v>136</v>
      </c>
      <c r="C97" s="37" t="s">
        <v>24</v>
      </c>
      <c r="D97" s="36">
        <f>8445745.87*1330.205</f>
        <v>11234573385.003347</v>
      </c>
      <c r="E97" s="63">
        <f>75089.43*1330.205</f>
        <v>99884335.23314999</v>
      </c>
      <c r="F97" s="63"/>
      <c r="G97" s="63">
        <f>18182.86*1330.205</f>
        <v>24186931.2863</v>
      </c>
      <c r="H97" s="31">
        <f t="shared" si="38"/>
        <v>75697403.946849987</v>
      </c>
      <c r="I97" s="24">
        <f>10999033*1330.76</f>
        <v>14637073155.08</v>
      </c>
      <c r="J97" s="32">
        <f t="shared" si="39"/>
        <v>1.1931190178341529E-2</v>
      </c>
      <c r="K97" s="63">
        <f>10965558*1330.205</f>
        <v>14586440079.389999</v>
      </c>
      <c r="L97" s="32">
        <f t="shared" si="46"/>
        <v>1.1677075750925074E-2</v>
      </c>
      <c r="M97" s="32">
        <f t="shared" si="47"/>
        <v>-3.4592349955173667E-3</v>
      </c>
      <c r="N97" s="19">
        <f t="shared" si="48"/>
        <v>1.6581791824912149E-3</v>
      </c>
      <c r="O97" s="114">
        <f t="shared" si="49"/>
        <v>5.1895735720881688E-3</v>
      </c>
      <c r="P97" s="115">
        <f t="shared" si="50"/>
        <v>1489.9965145991962</v>
      </c>
      <c r="Q97" s="115">
        <f t="shared" si="51"/>
        <v>7.7324465346674716</v>
      </c>
      <c r="R97" s="36">
        <f>1.1201*1330.205</f>
        <v>1489.9626205</v>
      </c>
      <c r="S97" s="36">
        <f>1.1201*1330.205</f>
        <v>1489.9626205</v>
      </c>
      <c r="T97" s="36">
        <v>301</v>
      </c>
      <c r="U97" s="36">
        <v>9859555</v>
      </c>
      <c r="V97" s="36">
        <v>9789580</v>
      </c>
    </row>
    <row r="98" spans="1:24" ht="12.95" customHeight="1">
      <c r="A98" s="56">
        <v>84</v>
      </c>
      <c r="B98" s="57" t="s">
        <v>226</v>
      </c>
      <c r="C98" s="58" t="s">
        <v>105</v>
      </c>
      <c r="D98" s="17">
        <f>1467485.46*1330.205</f>
        <v>1952056496.3192999</v>
      </c>
      <c r="E98" s="24">
        <f>10822.95*1330.205</f>
        <v>14396742.20475</v>
      </c>
      <c r="F98" s="24"/>
      <c r="G98" s="24">
        <f>2070.32*1330.203</f>
        <v>2753945.8749600002</v>
      </c>
      <c r="H98" s="23">
        <f t="shared" si="38"/>
        <v>11642796.32979</v>
      </c>
      <c r="I98" s="24">
        <f>1387241.52*1330.76</f>
        <v>1846085525.1552</v>
      </c>
      <c r="J98" s="32">
        <f t="shared" si="39"/>
        <v>1.5048088680533619E-3</v>
      </c>
      <c r="K98" s="24">
        <f>1499367.92*1330.205</f>
        <v>1994466704.0235999</v>
      </c>
      <c r="L98" s="32">
        <f t="shared" si="46"/>
        <v>1.5966568030871722E-3</v>
      </c>
      <c r="M98" s="32">
        <f t="shared" si="47"/>
        <v>8.0376113049218281E-2</v>
      </c>
      <c r="N98" s="19">
        <f t="shared" si="48"/>
        <v>1.3807931059486936E-3</v>
      </c>
      <c r="O98" s="114">
        <f t="shared" si="49"/>
        <v>5.8375486070045895E-3</v>
      </c>
      <c r="P98" s="115">
        <f t="shared" si="50"/>
        <v>1346.0445686904252</v>
      </c>
      <c r="Q98" s="115">
        <f t="shared" si="51"/>
        <v>7.8576005969248843</v>
      </c>
      <c r="R98" s="17">
        <f>1.0119*1330.205</f>
        <v>1346.0344395</v>
      </c>
      <c r="S98" s="17">
        <f>1.0119*1330.205</f>
        <v>1346.0344395</v>
      </c>
      <c r="T98" s="17">
        <v>205</v>
      </c>
      <c r="U98" s="17">
        <v>1379198.08</v>
      </c>
      <c r="V98" s="17">
        <v>1481724.12</v>
      </c>
    </row>
    <row r="99" spans="1:24" ht="12.95" customHeight="1">
      <c r="A99" s="56">
        <v>85</v>
      </c>
      <c r="B99" s="57" t="s">
        <v>227</v>
      </c>
      <c r="C99" s="58" t="s">
        <v>228</v>
      </c>
      <c r="D99" s="17">
        <f>335921.65*1330.205</f>
        <v>446844658.43825001</v>
      </c>
      <c r="E99" s="24">
        <f>5300.64*1330.205</f>
        <v>7050937.8311999999</v>
      </c>
      <c r="F99" s="24"/>
      <c r="G99" s="24">
        <f>726.63*1330.205</f>
        <v>966566.85914999992</v>
      </c>
      <c r="H99" s="23">
        <f t="shared" si="38"/>
        <v>6084370.97205</v>
      </c>
      <c r="I99" s="24">
        <f>309372.33*1330.76</f>
        <v>411700321.87080002</v>
      </c>
      <c r="J99" s="32">
        <f t="shared" si="39"/>
        <v>3.3559132926927617E-4</v>
      </c>
      <c r="K99" s="24">
        <f>332428.75*1330.205</f>
        <v>442198385.39374995</v>
      </c>
      <c r="L99" s="32">
        <f t="shared" si="46"/>
        <v>3.5399892057798917E-4</v>
      </c>
      <c r="M99" s="32">
        <f t="shared" si="47"/>
        <v>7.407830866967563E-2</v>
      </c>
      <c r="N99" s="19">
        <f t="shared" si="48"/>
        <v>2.1858217738387549E-3</v>
      </c>
      <c r="O99" s="114">
        <f t="shared" si="49"/>
        <v>1.3759369488950641E-2</v>
      </c>
      <c r="P99" s="115">
        <f t="shared" si="50"/>
        <v>1409.0361268487334</v>
      </c>
      <c r="Q99" s="115">
        <f t="shared" si="51"/>
        <v>19.387448692591647</v>
      </c>
      <c r="R99" s="17">
        <v>1330.2049999999999</v>
      </c>
      <c r="S99" s="17">
        <v>1330.2049999999999</v>
      </c>
      <c r="T99" s="17">
        <v>12</v>
      </c>
      <c r="U99" s="17">
        <v>289893.63</v>
      </c>
      <c r="V99" s="17">
        <v>313830.40999999997</v>
      </c>
    </row>
    <row r="100" spans="1:24" ht="12.95" customHeight="1">
      <c r="A100" s="56">
        <v>86</v>
      </c>
      <c r="B100" s="57" t="s">
        <v>229</v>
      </c>
      <c r="C100" s="58" t="s">
        <v>46</v>
      </c>
      <c r="D100" s="17">
        <f>(384998.48+10057.78)*1330.205</f>
        <v>525505812.33329999</v>
      </c>
      <c r="E100" s="24">
        <f>3093.7*1330.205</f>
        <v>4115255.2084999997</v>
      </c>
      <c r="F100" s="24"/>
      <c r="G100" s="24">
        <f>4559.04*1330.205</f>
        <v>6064457.8032</v>
      </c>
      <c r="H100" s="23">
        <f t="shared" si="38"/>
        <v>-1949202.5947000002</v>
      </c>
      <c r="I100" s="24">
        <f>387763.04*1330.76</f>
        <v>516019543.11039996</v>
      </c>
      <c r="J100" s="32">
        <f t="shared" si="39"/>
        <v>4.2062557448203426E-4</v>
      </c>
      <c r="K100" s="24">
        <f>376519.08*1330.205</f>
        <v>500847562.8114</v>
      </c>
      <c r="L100" s="32">
        <f t="shared" si="46"/>
        <v>4.0095012208486047E-4</v>
      </c>
      <c r="M100" s="32">
        <f t="shared" si="47"/>
        <v>-2.9401949018341717E-2</v>
      </c>
      <c r="N100" s="19">
        <f t="shared" si="48"/>
        <v>1.2108390363643723E-2</v>
      </c>
      <c r="O100" s="114">
        <f t="shared" si="49"/>
        <v>-3.8918080857947494E-3</v>
      </c>
      <c r="P100" s="115">
        <f t="shared" si="50"/>
        <v>1419.3079150907129</v>
      </c>
      <c r="Q100" s="115">
        <f t="shared" si="51"/>
        <v>-5.5236740201825247</v>
      </c>
      <c r="R100" s="17">
        <f>1.1343*1330.205</f>
        <v>1508.8515315</v>
      </c>
      <c r="S100" s="17">
        <f>1.1343*1330.205</f>
        <v>1508.8515315</v>
      </c>
      <c r="T100" s="17">
        <v>30</v>
      </c>
      <c r="U100" s="17">
        <v>361235.53</v>
      </c>
      <c r="V100" s="17">
        <v>352881.54</v>
      </c>
    </row>
    <row r="101" spans="1:24" ht="12.95" customHeight="1">
      <c r="A101" s="56">
        <v>87</v>
      </c>
      <c r="B101" s="57" t="s">
        <v>230</v>
      </c>
      <c r="C101" s="58" t="s">
        <v>173</v>
      </c>
      <c r="D101" s="17">
        <f>424581.02*1330.205</f>
        <v>564779795.70910001</v>
      </c>
      <c r="E101" s="24">
        <f>2516.39*1330.205</f>
        <v>3347314.5599499997</v>
      </c>
      <c r="F101" s="24">
        <v>0</v>
      </c>
      <c r="G101" s="24">
        <f>1236.4*1330.205</f>
        <v>1644665.4620000001</v>
      </c>
      <c r="H101" s="23">
        <f t="shared" si="38"/>
        <v>1702649.0979499996</v>
      </c>
      <c r="I101" s="24">
        <f>419368.43*1330.76</f>
        <v>558078731.90680003</v>
      </c>
      <c r="J101" s="32">
        <f t="shared" si="39"/>
        <v>4.5490949005448997E-4</v>
      </c>
      <c r="K101" s="24">
        <f>419368.43*1330.205</f>
        <v>557845982.42814994</v>
      </c>
      <c r="L101" s="32">
        <f t="shared" si="46"/>
        <v>4.4657982062167007E-4</v>
      </c>
      <c r="M101" s="32">
        <f t="shared" si="47"/>
        <v>-4.1705491598802331E-4</v>
      </c>
      <c r="N101" s="19">
        <f t="shared" si="48"/>
        <v>2.9482429089857818E-3</v>
      </c>
      <c r="O101" s="114">
        <f t="shared" si="49"/>
        <v>3.0521849248404316E-3</v>
      </c>
      <c r="P101" s="115">
        <f t="shared" si="50"/>
        <v>140941.38009806719</v>
      </c>
      <c r="Q101" s="115">
        <f t="shared" si="51"/>
        <v>430.17915562152592</v>
      </c>
      <c r="R101" s="17">
        <f>104.71*1330.205</f>
        <v>139285.76554999998</v>
      </c>
      <c r="S101" s="17">
        <f>105.95*1330.205</f>
        <v>140935.21974999999</v>
      </c>
      <c r="T101" s="17">
        <v>33</v>
      </c>
      <c r="U101" s="17">
        <v>3880.91</v>
      </c>
      <c r="V101" s="17">
        <v>3958</v>
      </c>
    </row>
    <row r="102" spans="1:24" ht="15" customHeight="1">
      <c r="A102" s="56">
        <v>88</v>
      </c>
      <c r="B102" s="28" t="s">
        <v>137</v>
      </c>
      <c r="C102" s="37" t="s">
        <v>71</v>
      </c>
      <c r="D102" s="81">
        <f>349765.84*1330.205</f>
        <v>465260269.1972</v>
      </c>
      <c r="E102" s="63">
        <f>19288.6*1330.205</f>
        <v>25657792.162999995</v>
      </c>
      <c r="F102" s="63"/>
      <c r="G102" s="63">
        <f>4578.48*1330.205</f>
        <v>6090316.9883999992</v>
      </c>
      <c r="H102" s="31">
        <f t="shared" si="38"/>
        <v>19567475.174599998</v>
      </c>
      <c r="I102" s="17">
        <f>2748513.74*1330.76</f>
        <v>3657612144.6424003</v>
      </c>
      <c r="J102" s="32">
        <f t="shared" si="39"/>
        <v>2.9814475635926126E-3</v>
      </c>
      <c r="K102" s="81">
        <f>2775648.47*1330.205</f>
        <v>3692181473.0363503</v>
      </c>
      <c r="L102" s="32">
        <f t="shared" si="46"/>
        <v>2.9557508557365971E-3</v>
      </c>
      <c r="M102" s="32">
        <f t="shared" si="47"/>
        <v>9.4513379294703156E-3</v>
      </c>
      <c r="N102" s="19">
        <f t="shared" si="48"/>
        <v>1.6495172387589842E-3</v>
      </c>
      <c r="O102" s="114">
        <f t="shared" si="49"/>
        <v>5.2997056936392225E-3</v>
      </c>
      <c r="P102" s="115">
        <f t="shared" si="50"/>
        <v>145745.52050092429</v>
      </c>
      <c r="Q102" s="115">
        <f t="shared" si="51"/>
        <v>772.4083648211606</v>
      </c>
      <c r="R102" s="63">
        <f>106.28*1330.205</f>
        <v>141374.1874</v>
      </c>
      <c r="S102" s="63">
        <f>106.28*1330.205</f>
        <v>141374.1874</v>
      </c>
      <c r="T102" s="36">
        <v>49</v>
      </c>
      <c r="U102" s="36">
        <v>25185.49</v>
      </c>
      <c r="V102" s="36">
        <v>25333.07</v>
      </c>
    </row>
    <row r="103" spans="1:24" ht="15" customHeight="1">
      <c r="A103" s="56">
        <v>89</v>
      </c>
      <c r="B103" s="28" t="s">
        <v>138</v>
      </c>
      <c r="C103" s="28" t="s">
        <v>139</v>
      </c>
      <c r="D103" s="81">
        <v>48669238271.75</v>
      </c>
      <c r="E103" s="81">
        <v>333805173.14999998</v>
      </c>
      <c r="F103" s="81"/>
      <c r="G103" s="46">
        <v>74022564.780000001</v>
      </c>
      <c r="H103" s="31">
        <f t="shared" si="38"/>
        <v>259782608.36999997</v>
      </c>
      <c r="I103" s="29">
        <v>42613424192.699997</v>
      </c>
      <c r="J103" s="32">
        <f t="shared" si="39"/>
        <v>3.4735692225257901E-2</v>
      </c>
      <c r="K103" s="61">
        <v>48005256939.32</v>
      </c>
      <c r="L103" s="32">
        <f t="shared" si="46"/>
        <v>3.8430283103490712E-2</v>
      </c>
      <c r="M103" s="32">
        <f t="shared" si="47"/>
        <v>0.12652897176809519</v>
      </c>
      <c r="N103" s="19">
        <f t="shared" si="48"/>
        <v>1.5419678905909536E-3</v>
      </c>
      <c r="O103" s="114">
        <f t="shared" si="49"/>
        <v>5.4115450042976024E-3</v>
      </c>
      <c r="P103" s="115">
        <f t="shared" si="50"/>
        <v>176705.59999455218</v>
      </c>
      <c r="Q103" s="115">
        <f t="shared" si="51"/>
        <v>956.2503068819293</v>
      </c>
      <c r="R103" s="61">
        <f>127.04*1330.205</f>
        <v>168989.2432</v>
      </c>
      <c r="S103" s="61">
        <f>127.04*1330.205</f>
        <v>168989.2432</v>
      </c>
      <c r="T103" s="36">
        <v>2107</v>
      </c>
      <c r="U103" s="36">
        <v>259499</v>
      </c>
      <c r="V103" s="36">
        <v>271668</v>
      </c>
    </row>
    <row r="104" spans="1:24" ht="14.25">
      <c r="A104" s="56">
        <v>90</v>
      </c>
      <c r="B104" s="28" t="s">
        <v>140</v>
      </c>
      <c r="C104" s="28" t="s">
        <v>139</v>
      </c>
      <c r="D104" s="81">
        <v>66050995642.07</v>
      </c>
      <c r="E104" s="81">
        <v>497078017.58999997</v>
      </c>
      <c r="F104" s="81"/>
      <c r="G104" s="81">
        <v>101368781.06999999</v>
      </c>
      <c r="H104" s="31">
        <f t="shared" si="38"/>
        <v>395709236.51999998</v>
      </c>
      <c r="I104" s="29">
        <v>58065068798.779999</v>
      </c>
      <c r="J104" s="32">
        <f t="shared" si="39"/>
        <v>4.733086807838275E-2</v>
      </c>
      <c r="K104" s="61">
        <v>65460138293.629997</v>
      </c>
      <c r="L104" s="32">
        <f t="shared" si="46"/>
        <v>5.2403670077169028E-2</v>
      </c>
      <c r="M104" s="32">
        <f t="shared" si="47"/>
        <v>0.12735831796698699</v>
      </c>
      <c r="N104" s="19">
        <f t="shared" si="48"/>
        <v>1.5485573925202707E-3</v>
      </c>
      <c r="O104" s="114">
        <f t="shared" si="49"/>
        <v>6.0450412546486617E-3</v>
      </c>
      <c r="P104" s="115">
        <f t="shared" si="50"/>
        <v>160476.91474499277</v>
      </c>
      <c r="Q104" s="115">
        <f t="shared" si="51"/>
        <v>970.08957005221737</v>
      </c>
      <c r="R104" s="61">
        <f>115.37*1330.205</f>
        <v>153465.75085000001</v>
      </c>
      <c r="S104" s="61">
        <f>115.37*1330.205</f>
        <v>153465.75085000001</v>
      </c>
      <c r="T104" s="36">
        <v>378</v>
      </c>
      <c r="U104" s="61">
        <v>387234</v>
      </c>
      <c r="V104" s="61">
        <v>407910</v>
      </c>
    </row>
    <row r="105" spans="1:24" s="4" customFormat="1" ht="14.25">
      <c r="A105" s="56">
        <v>91</v>
      </c>
      <c r="B105" s="57" t="s">
        <v>141</v>
      </c>
      <c r="C105" s="58" t="s">
        <v>142</v>
      </c>
      <c r="D105" s="17">
        <f>103552.2*1330.205</f>
        <v>137745654.20099998</v>
      </c>
      <c r="E105" s="36">
        <f>3155.95*1330.205</f>
        <v>4198060.4697499992</v>
      </c>
      <c r="F105" s="36">
        <f>769.88*1330.205</f>
        <v>1024098.2254</v>
      </c>
      <c r="G105" s="36">
        <f>2143.66*1330.205</f>
        <v>2851507.2502999995</v>
      </c>
      <c r="H105" s="31">
        <f t="shared" si="38"/>
        <v>2370651.4448499996</v>
      </c>
      <c r="I105" s="24">
        <f>117280.8*1330.76</f>
        <v>156072597.40799999</v>
      </c>
      <c r="J105" s="32">
        <f t="shared" si="39"/>
        <v>1.272202319120269E-4</v>
      </c>
      <c r="K105" s="63">
        <f>96973.11*1330.205</f>
        <v>128994115.78754999</v>
      </c>
      <c r="L105" s="32">
        <f t="shared" si="46"/>
        <v>1.0326536518002913E-4</v>
      </c>
      <c r="M105" s="32">
        <f t="shared" si="47"/>
        <v>-0.17349926937950744</v>
      </c>
      <c r="N105" s="19">
        <f t="shared" si="48"/>
        <v>2.2105715697887794E-2</v>
      </c>
      <c r="O105" s="114">
        <f t="shared" si="49"/>
        <v>1.8377981277490223E-2</v>
      </c>
      <c r="P105" s="115">
        <f t="shared" si="50"/>
        <v>146652.54924174899</v>
      </c>
      <c r="Q105" s="115">
        <f t="shared" si="51"/>
        <v>2695.1778042610758</v>
      </c>
      <c r="R105" s="61">
        <f>110.247*1330.205</f>
        <v>146651.11063499999</v>
      </c>
      <c r="S105" s="61">
        <f>110.247*1330.205</f>
        <v>146651.11063499999</v>
      </c>
      <c r="T105" s="36">
        <v>5</v>
      </c>
      <c r="U105" s="36">
        <v>1001.71</v>
      </c>
      <c r="V105" s="36">
        <v>879.59</v>
      </c>
      <c r="W105" s="9"/>
      <c r="X105" s="9"/>
    </row>
    <row r="106" spans="1:24" ht="14.25">
      <c r="A106" s="56">
        <v>92</v>
      </c>
      <c r="B106" s="28" t="s">
        <v>143</v>
      </c>
      <c r="C106" s="28" t="s">
        <v>144</v>
      </c>
      <c r="D106" s="31">
        <f>10717316.21*1330.205</f>
        <v>14256227609.123051</v>
      </c>
      <c r="E106" s="31">
        <f>59803.43*1330.205</f>
        <v>79550821.603149995</v>
      </c>
      <c r="F106" s="31"/>
      <c r="G106" s="31">
        <f>16801.24*1330.205</f>
        <v>22349093.4542</v>
      </c>
      <c r="H106" s="31">
        <f t="shared" si="38"/>
        <v>57201728.148949996</v>
      </c>
      <c r="I106" s="17">
        <f>10429776.34*1330.76</f>
        <v>13879529162.218399</v>
      </c>
      <c r="J106" s="32">
        <f t="shared" si="39"/>
        <v>1.1313689578902695E-2</v>
      </c>
      <c r="K106" s="81">
        <f>10667376.56*1330.205</f>
        <v>14189797636.994801</v>
      </c>
      <c r="L106" s="32">
        <f t="shared" si="46"/>
        <v>1.1359546331774684E-2</v>
      </c>
      <c r="M106" s="32">
        <f t="shared" si="47"/>
        <v>2.2354394817728135E-2</v>
      </c>
      <c r="N106" s="19">
        <f t="shared" si="48"/>
        <v>1.5750114290518679E-3</v>
      </c>
      <c r="O106" s="114">
        <f t="shared" si="49"/>
        <v>4.0311870269253902E-3</v>
      </c>
      <c r="P106" s="115">
        <f t="shared" si="50"/>
        <v>1786.3495064676217</v>
      </c>
      <c r="Q106" s="115">
        <f t="shared" si="51"/>
        <v>7.2011089560268493</v>
      </c>
      <c r="R106" s="61">
        <f>1.34*1330.205</f>
        <v>1782.4747</v>
      </c>
      <c r="S106" s="61">
        <f>1.34*1330.205</f>
        <v>1782.4747</v>
      </c>
      <c r="T106" s="36">
        <v>116</v>
      </c>
      <c r="U106" s="36">
        <v>7796306</v>
      </c>
      <c r="V106" s="36">
        <v>7943461</v>
      </c>
    </row>
    <row r="107" spans="1:24" ht="14.25">
      <c r="A107" s="56">
        <v>93</v>
      </c>
      <c r="B107" s="28" t="s">
        <v>145</v>
      </c>
      <c r="C107" s="28" t="s">
        <v>48</v>
      </c>
      <c r="D107" s="36">
        <f>136014882*1330.205</f>
        <v>180927676110.81</v>
      </c>
      <c r="E107" s="63">
        <f>988876*1330.205</f>
        <v>1315407799.5799999</v>
      </c>
      <c r="F107" s="63"/>
      <c r="G107" s="36">
        <f>208896*1330.205</f>
        <v>277874503.68000001</v>
      </c>
      <c r="H107" s="31">
        <f t="shared" si="38"/>
        <v>1037533295.8999999</v>
      </c>
      <c r="I107" s="24">
        <f>147298517*1330.76</f>
        <v>196018974482.92001</v>
      </c>
      <c r="J107" s="32">
        <f t="shared" si="39"/>
        <v>0.15978192076655037</v>
      </c>
      <c r="K107" s="63">
        <f>149095015*1330.205</f>
        <v>198326934428.07498</v>
      </c>
      <c r="L107" s="32">
        <f t="shared" si="46"/>
        <v>0.15876928326313264</v>
      </c>
      <c r="M107" s="32">
        <f t="shared" si="47"/>
        <v>1.1774166002261536E-2</v>
      </c>
      <c r="N107" s="19">
        <f t="shared" si="48"/>
        <v>1.4010931217250961E-3</v>
      </c>
      <c r="O107" s="114">
        <f t="shared" si="49"/>
        <v>5.2314290990882559E-3</v>
      </c>
      <c r="P107" s="115">
        <f t="shared" si="50"/>
        <v>167337.10635395977</v>
      </c>
      <c r="Q107" s="115">
        <f t="shared" si="51"/>
        <v>875.41220753733137</v>
      </c>
      <c r="R107" s="63">
        <f>126*1330.205</f>
        <v>167605.82999999999</v>
      </c>
      <c r="S107" s="63">
        <f>126*1330.205</f>
        <v>167605.82999999999</v>
      </c>
      <c r="T107" s="36">
        <v>1162</v>
      </c>
      <c r="U107" s="36">
        <v>1171955</v>
      </c>
      <c r="V107" s="36">
        <v>1185194</v>
      </c>
    </row>
    <row r="108" spans="1:24" ht="14.25">
      <c r="A108" s="56">
        <v>94</v>
      </c>
      <c r="B108" s="28" t="s">
        <v>146</v>
      </c>
      <c r="C108" s="28" t="s">
        <v>219</v>
      </c>
      <c r="D108" s="93">
        <v>12058360127.450001</v>
      </c>
      <c r="E108" s="63">
        <v>123999971.87</v>
      </c>
      <c r="F108" s="63">
        <v>0</v>
      </c>
      <c r="G108" s="81">
        <v>24472442.850000001</v>
      </c>
      <c r="H108" s="31">
        <f t="shared" si="38"/>
        <v>99527529.020000011</v>
      </c>
      <c r="I108" s="24">
        <v>13014320292.969999</v>
      </c>
      <c r="J108" s="32">
        <f t="shared" si="39"/>
        <v>1.0608427573745076E-2</v>
      </c>
      <c r="K108" s="63">
        <v>12409820692.6</v>
      </c>
      <c r="L108" s="32">
        <f t="shared" si="46"/>
        <v>9.9345978521270407E-3</v>
      </c>
      <c r="M108" s="32">
        <f t="shared" si="47"/>
        <v>-4.6448803069379971E-2</v>
      </c>
      <c r="N108" s="19">
        <f t="shared" si="48"/>
        <v>1.9720222762439239E-3</v>
      </c>
      <c r="O108" s="114">
        <f t="shared" si="49"/>
        <v>8.0200618111548102E-3</v>
      </c>
      <c r="P108" s="115">
        <f t="shared" si="50"/>
        <v>120572.6622809063</v>
      </c>
      <c r="Q108" s="115">
        <f t="shared" si="51"/>
        <v>967.0002042283628</v>
      </c>
      <c r="R108" s="63">
        <v>120572.66</v>
      </c>
      <c r="S108" s="63">
        <v>120572.66</v>
      </c>
      <c r="T108" s="36">
        <v>317</v>
      </c>
      <c r="U108" s="36">
        <v>95074</v>
      </c>
      <c r="V108" s="36">
        <v>102924</v>
      </c>
    </row>
    <row r="109" spans="1:24" ht="14.25">
      <c r="A109" s="56">
        <v>95</v>
      </c>
      <c r="B109" s="28" t="s">
        <v>147</v>
      </c>
      <c r="C109" s="28" t="s">
        <v>40</v>
      </c>
      <c r="D109" s="36">
        <f>1946778.92*1330.205</f>
        <v>2589615053.2785997</v>
      </c>
      <c r="E109" s="36">
        <f>43627.3*1330.205</f>
        <v>58033252.596500002</v>
      </c>
      <c r="F109" s="36"/>
      <c r="G109" s="36">
        <f>2172.72*1330.205</f>
        <v>2890163.0075999997</v>
      </c>
      <c r="H109" s="31">
        <f t="shared" si="38"/>
        <v>55143089.5889</v>
      </c>
      <c r="I109" s="24">
        <f>2532700.35*1330.76</f>
        <v>3370416317.7660003</v>
      </c>
      <c r="J109" s="32">
        <f t="shared" si="39"/>
        <v>2.7473442020405025E-3</v>
      </c>
      <c r="K109" s="63">
        <f>1990961.9*1330.205</f>
        <v>2648387474.1894999</v>
      </c>
      <c r="L109" s="32">
        <f t="shared" si="46"/>
        <v>2.1201486439181402E-3</v>
      </c>
      <c r="M109" s="32">
        <f t="shared" si="47"/>
        <v>-0.21422541772379025</v>
      </c>
      <c r="N109" s="19">
        <f t="shared" si="48"/>
        <v>1.0912916013109039E-3</v>
      </c>
      <c r="O109" s="114">
        <f t="shared" si="49"/>
        <v>2.082138287025985E-2</v>
      </c>
      <c r="P109" s="115">
        <f t="shared" si="50"/>
        <v>645878.8506085932</v>
      </c>
      <c r="Q109" s="115">
        <f t="shared" si="51"/>
        <v>13448.090836324884</v>
      </c>
      <c r="R109" s="46">
        <f>167.21*1330.205</f>
        <v>222423.57805000001</v>
      </c>
      <c r="S109" s="46">
        <f>170.54*1330.205</f>
        <v>226853.16069999998</v>
      </c>
      <c r="T109" s="36">
        <v>48</v>
      </c>
      <c r="U109" s="36">
        <v>14175.44</v>
      </c>
      <c r="V109" s="46">
        <v>4100.4399999999996</v>
      </c>
    </row>
    <row r="110" spans="1:24" ht="8.1" customHeigh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</row>
    <row r="111" spans="1:24" ht="13.5">
      <c r="A111" s="147" t="s">
        <v>148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</row>
    <row r="112" spans="1:24" ht="14.25">
      <c r="A112" s="30">
        <v>96</v>
      </c>
      <c r="B112" s="28" t="s">
        <v>149</v>
      </c>
      <c r="C112" s="37" t="s">
        <v>103</v>
      </c>
      <c r="D112" s="95">
        <f>884797.69*1330.205</f>
        <v>1176962311.22645</v>
      </c>
      <c r="E112" s="36">
        <f>6857.74*1330.205</f>
        <v>9122200.0366999991</v>
      </c>
      <c r="F112" s="36"/>
      <c r="G112" s="96"/>
      <c r="H112" s="31">
        <f t="shared" ref="H112:H121" si="52">(E112+F112)-G112</f>
        <v>9122200.0366999991</v>
      </c>
      <c r="I112" s="17">
        <f>1098304.71*1330.76</f>
        <v>1461579975.8796</v>
      </c>
      <c r="J112" s="32">
        <f t="shared" ref="J112:J121" si="53">(I112/$I$122)</f>
        <v>1.1913849489112581E-3</v>
      </c>
      <c r="K112" s="36">
        <f>1046592.68*1330.205</f>
        <v>1392182815.8994</v>
      </c>
      <c r="L112" s="32">
        <f t="shared" ref="L112" si="54">(K112/$K$122)</f>
        <v>1.1145025182233031E-3</v>
      </c>
      <c r="M112" s="32">
        <f t="shared" ref="M112:M122" si="55">((K112-I112)/I112)</f>
        <v>-4.7480918680782989E-2</v>
      </c>
      <c r="N112" s="19">
        <f t="shared" ref="N112" si="56">(G112/K112)</f>
        <v>0</v>
      </c>
      <c r="O112" s="114">
        <f t="shared" ref="O112" si="57">H112/K112</f>
        <v>6.5524440702184154E-3</v>
      </c>
      <c r="P112" s="35">
        <f t="shared" ref="P112" si="58">K112/V112</f>
        <v>132917.96982045064</v>
      </c>
      <c r="Q112" s="35">
        <f t="shared" ref="Q112" si="59">H112/V112</f>
        <v>870.93756317548207</v>
      </c>
      <c r="R112" s="36">
        <f>103.69*1330.205</f>
        <v>137928.95645</v>
      </c>
      <c r="S112" s="36">
        <f>103.69*1330.205</f>
        <v>137928.95645</v>
      </c>
      <c r="T112" s="36">
        <v>23</v>
      </c>
      <c r="U112" s="36">
        <v>10096</v>
      </c>
      <c r="V112" s="36">
        <v>10474</v>
      </c>
    </row>
    <row r="113" spans="1:22" ht="14.25">
      <c r="A113" s="30">
        <v>97</v>
      </c>
      <c r="B113" s="28" t="s">
        <v>150</v>
      </c>
      <c r="C113" s="37" t="s">
        <v>26</v>
      </c>
      <c r="D113" s="36">
        <f>4809474.6*1330.205</f>
        <v>6397587160.2929993</v>
      </c>
      <c r="E113" s="36">
        <f>43334.62*1330.205</f>
        <v>57643928.197099999</v>
      </c>
      <c r="F113" s="36"/>
      <c r="G113" s="36">
        <f>8396.03*1330.205</f>
        <v>11168441.08615</v>
      </c>
      <c r="H113" s="31">
        <f t="shared" si="52"/>
        <v>46475487.110950001</v>
      </c>
      <c r="I113" s="17">
        <f>7226511.28*1330.76</f>
        <v>9616752150.9728012</v>
      </c>
      <c r="J113" s="32">
        <f t="shared" si="53"/>
        <v>7.8389509702907773E-3</v>
      </c>
      <c r="K113" s="36">
        <f>8457882.32*1330.205</f>
        <v>11250717351.475599</v>
      </c>
      <c r="L113" s="32">
        <f t="shared" ref="L113:L121" si="60">(K113/$K$122)</f>
        <v>9.0066855278180934E-3</v>
      </c>
      <c r="M113" s="32">
        <f t="shared" ref="M113:M121" si="61">((K113-I113)/I113)</f>
        <v>0.16990821587696955</v>
      </c>
      <c r="N113" s="19">
        <f t="shared" ref="N113:N121" si="62">(G113/K113)</f>
        <v>9.9268702050231417E-4</v>
      </c>
      <c r="O113" s="114">
        <f t="shared" ref="O113:O121" si="63">H113/K113</f>
        <v>4.1308910053503801E-3</v>
      </c>
      <c r="P113" s="35">
        <f t="shared" ref="P113:P121" si="64">K113/V113</f>
        <v>178333.91191430119</v>
      </c>
      <c r="Q113" s="35">
        <f t="shared" ref="Q113:Q121" si="65">H113/V113</f>
        <v>736.67795267573365</v>
      </c>
      <c r="R113" s="36">
        <f>134.06*1330.205</f>
        <v>178327.28229999999</v>
      </c>
      <c r="S113" s="36">
        <f>134.06*1330.205</f>
        <v>178327.28229999999</v>
      </c>
      <c r="T113" s="36">
        <v>421</v>
      </c>
      <c r="U113" s="36">
        <v>54123.94</v>
      </c>
      <c r="V113" s="36">
        <v>63087.93</v>
      </c>
    </row>
    <row r="114" spans="1:22" ht="14.1" customHeight="1">
      <c r="A114" s="30">
        <v>98</v>
      </c>
      <c r="B114" s="28" t="s">
        <v>151</v>
      </c>
      <c r="C114" s="28" t="s">
        <v>62</v>
      </c>
      <c r="D114" s="36">
        <f>10116826.67*1330.205</f>
        <v>13457453420.567348</v>
      </c>
      <c r="E114" s="36">
        <f>74174.85*1330.205</f>
        <v>98667756.344250008</v>
      </c>
      <c r="F114" s="36"/>
      <c r="G114" s="36">
        <f>18947.84*1330.205</f>
        <v>25204511.507199999</v>
      </c>
      <c r="H114" s="31">
        <f t="shared" si="52"/>
        <v>73463244.837050006</v>
      </c>
      <c r="I114" s="17">
        <f>11147150.47*1330.76</f>
        <v>14834181959.457201</v>
      </c>
      <c r="J114" s="32">
        <f t="shared" si="53"/>
        <v>1.2091860457565603E-2</v>
      </c>
      <c r="K114" s="36">
        <f>10858628.3*1330.205</f>
        <v>14444201657.8015</v>
      </c>
      <c r="L114" s="32">
        <f t="shared" si="60"/>
        <v>1.1563207746494868E-2</v>
      </c>
      <c r="M114" s="32">
        <f t="shared" si="61"/>
        <v>-2.6289302822463861E-2</v>
      </c>
      <c r="N114" s="19">
        <f t="shared" si="62"/>
        <v>1.7449570495013627E-3</v>
      </c>
      <c r="O114" s="114">
        <f t="shared" si="63"/>
        <v>5.086002437342846E-3</v>
      </c>
      <c r="P114" s="35">
        <f t="shared" si="64"/>
        <v>156678.61652892397</v>
      </c>
      <c r="Q114" s="35">
        <f t="shared" si="65"/>
        <v>796.86782554561239</v>
      </c>
      <c r="R114" s="36">
        <f>116.77*1330.205</f>
        <v>155328.03784999999</v>
      </c>
      <c r="S114" s="36">
        <f>116.77*1330.205</f>
        <v>155328.03784999999</v>
      </c>
      <c r="T114" s="36">
        <v>601</v>
      </c>
      <c r="U114" s="85">
        <v>95125</v>
      </c>
      <c r="V114" s="85">
        <v>92190</v>
      </c>
    </row>
    <row r="115" spans="1:22" ht="15" customHeight="1">
      <c r="A115" s="30">
        <v>99</v>
      </c>
      <c r="B115" s="28" t="s">
        <v>152</v>
      </c>
      <c r="C115" s="37" t="s">
        <v>60</v>
      </c>
      <c r="D115" s="36">
        <f>3919579.89*1330.205</f>
        <v>5213844767.5774498</v>
      </c>
      <c r="E115" s="36">
        <f>22599.18*1330.205</f>
        <v>30061542.231899999</v>
      </c>
      <c r="F115" s="36"/>
      <c r="G115" s="36">
        <f>5322.79*1330.205</f>
        <v>7080401.8719499996</v>
      </c>
      <c r="H115" s="31">
        <f t="shared" si="52"/>
        <v>22981140.359949999</v>
      </c>
      <c r="I115" s="17">
        <f>4160014.3*1330.76</f>
        <v>5535980629.868</v>
      </c>
      <c r="J115" s="32">
        <f t="shared" si="53"/>
        <v>4.512571401315035E-3</v>
      </c>
      <c r="K115" s="36">
        <f>4151159.97*1330.205</f>
        <v>5521893747.8938503</v>
      </c>
      <c r="L115" s="32">
        <f t="shared" si="60"/>
        <v>4.4205146171218887E-3</v>
      </c>
      <c r="M115" s="32">
        <f t="shared" si="61"/>
        <v>-2.5446046357437474E-3</v>
      </c>
      <c r="N115" s="19">
        <f t="shared" si="62"/>
        <v>1.2822415995690957E-3</v>
      </c>
      <c r="O115" s="114">
        <f t="shared" si="63"/>
        <v>4.1618222677166543E-3</v>
      </c>
      <c r="P115" s="35">
        <f t="shared" si="64"/>
        <v>1617.9409191011982</v>
      </c>
      <c r="Q115" s="35">
        <f t="shared" si="65"/>
        <v>6.7335825449653166</v>
      </c>
      <c r="R115" s="36">
        <f>1.22*1330.205</f>
        <v>1622.8500999999999</v>
      </c>
      <c r="S115" s="36">
        <f>1.22*1330.205</f>
        <v>1622.8500999999999</v>
      </c>
      <c r="T115" s="36">
        <v>174</v>
      </c>
      <c r="U115" s="36">
        <v>3432645.97</v>
      </c>
      <c r="V115" s="36">
        <v>3412914.33</v>
      </c>
    </row>
    <row r="116" spans="1:22" s="9" customFormat="1" ht="15" customHeight="1">
      <c r="A116" s="30">
        <v>100</v>
      </c>
      <c r="B116" s="57" t="s">
        <v>231</v>
      </c>
      <c r="C116" s="58" t="s">
        <v>232</v>
      </c>
      <c r="D116" s="17">
        <f>930543.59*1330.205</f>
        <v>1237813736.1359499</v>
      </c>
      <c r="E116" s="17">
        <f>62167.07*1330.205</f>
        <v>82694947.34934999</v>
      </c>
      <c r="F116" s="17"/>
      <c r="G116" s="17">
        <f>6061.9*1330.205</f>
        <v>8063569.6894999994</v>
      </c>
      <c r="H116" s="23">
        <f t="shared" si="52"/>
        <v>74631377.659849986</v>
      </c>
      <c r="I116" s="17">
        <f>920614.63*1330.76</f>
        <v>1225117125.0188</v>
      </c>
      <c r="J116" s="32">
        <f t="shared" si="53"/>
        <v>9.9863581021109038E-4</v>
      </c>
      <c r="K116" s="17">
        <f>920614.63*1330.205</f>
        <v>1224606183.8991499</v>
      </c>
      <c r="L116" s="32">
        <f t="shared" si="60"/>
        <v>9.8035018116906223E-4</v>
      </c>
      <c r="M116" s="32">
        <f t="shared" si="61"/>
        <v>-4.1705491598795902E-4</v>
      </c>
      <c r="N116" s="19">
        <f t="shared" si="62"/>
        <v>6.5846227101561483E-3</v>
      </c>
      <c r="O116" s="114">
        <f t="shared" si="63"/>
        <v>6.0943165763072869E-2</v>
      </c>
      <c r="P116" s="35">
        <f t="shared" si="64"/>
        <v>1403.3443591063185</v>
      </c>
      <c r="Q116" s="35">
        <f t="shared" si="65"/>
        <v>85.524247899689627</v>
      </c>
      <c r="R116" s="17">
        <f>1.055*1330.205</f>
        <v>1403.3662749999999</v>
      </c>
      <c r="S116" s="17">
        <f>1.0664*1330.205</f>
        <v>1418.530612</v>
      </c>
      <c r="T116" s="17">
        <v>36</v>
      </c>
      <c r="U116" s="17">
        <v>872634.13</v>
      </c>
      <c r="V116" s="17">
        <v>872634.13</v>
      </c>
    </row>
    <row r="117" spans="1:22" ht="14.25">
      <c r="A117" s="30">
        <v>101</v>
      </c>
      <c r="B117" s="37" t="s">
        <v>153</v>
      </c>
      <c r="C117" s="37" t="s">
        <v>42</v>
      </c>
      <c r="D117" s="36">
        <f>11401859.83*1330.205</f>
        <v>15166810955.16515</v>
      </c>
      <c r="E117" s="36">
        <f>100879.33*1330.205</f>
        <v>134190189.16264999</v>
      </c>
      <c r="F117" s="36"/>
      <c r="G117" s="36">
        <f>18713.47*1330.205</f>
        <v>24892751.36135</v>
      </c>
      <c r="H117" s="31">
        <f t="shared" si="52"/>
        <v>109297437.80129999</v>
      </c>
      <c r="I117" s="17">
        <f>11553505.82*1330.76</f>
        <v>15374943405.023201</v>
      </c>
      <c r="J117" s="32">
        <f t="shared" si="53"/>
        <v>1.2532654021948629E-2</v>
      </c>
      <c r="K117" s="36">
        <f>12262733.27*1330.205</f>
        <v>16311949109.420349</v>
      </c>
      <c r="L117" s="32">
        <f t="shared" si="60"/>
        <v>1.3058420310865999E-2</v>
      </c>
      <c r="M117" s="32">
        <f t="shared" si="61"/>
        <v>6.0943684780720285E-2</v>
      </c>
      <c r="N117" s="19">
        <f t="shared" si="62"/>
        <v>1.5260439567564696E-3</v>
      </c>
      <c r="O117" s="114">
        <f t="shared" si="63"/>
        <v>6.7004523535559215E-3</v>
      </c>
      <c r="P117" s="35">
        <f t="shared" si="64"/>
        <v>1391.0526272207258</v>
      </c>
      <c r="Q117" s="35">
        <f t="shared" si="65"/>
        <v>9.3206818499812591</v>
      </c>
      <c r="R117" s="36">
        <f>1.0457*1330.205</f>
        <v>1390.9953685</v>
      </c>
      <c r="S117" s="36">
        <f>1.0484*1330.205</f>
        <v>1394.586922</v>
      </c>
      <c r="T117" s="36">
        <v>415</v>
      </c>
      <c r="U117" s="36">
        <v>11124885</v>
      </c>
      <c r="V117" s="36">
        <v>11726335</v>
      </c>
    </row>
    <row r="118" spans="1:22" ht="14.25">
      <c r="A118" s="30">
        <v>102</v>
      </c>
      <c r="B118" s="28" t="s">
        <v>154</v>
      </c>
      <c r="C118" s="37" t="s">
        <v>86</v>
      </c>
      <c r="D118" s="36">
        <f>259160.72*1330.205</f>
        <v>344736885.54759997</v>
      </c>
      <c r="E118" s="36">
        <f>1430.25*1330.205</f>
        <v>1902525.7012499999</v>
      </c>
      <c r="F118" s="36">
        <f>(-4631.49*1330.205)</f>
        <v>-6160831.1554499995</v>
      </c>
      <c r="G118" s="36">
        <f>95.65*1330.205</f>
        <v>127234.10825</v>
      </c>
      <c r="H118" s="31">
        <f t="shared" si="52"/>
        <v>-4385539.5624499992</v>
      </c>
      <c r="I118" s="17">
        <f>255538.87*1330.76</f>
        <v>340060906.64120001</v>
      </c>
      <c r="J118" s="32">
        <f t="shared" si="53"/>
        <v>2.7719553672840992E-4</v>
      </c>
      <c r="K118" s="36">
        <f>252152.49*1330.205</f>
        <v>335414502.96044999</v>
      </c>
      <c r="L118" s="32">
        <f t="shared" si="60"/>
        <v>2.6851380718741148E-4</v>
      </c>
      <c r="M118" s="32">
        <f t="shared" si="61"/>
        <v>-1.3663445547572031E-2</v>
      </c>
      <c r="N118" s="19">
        <f t="shared" si="62"/>
        <v>3.7933394986502017E-4</v>
      </c>
      <c r="O118" s="114">
        <f t="shared" si="63"/>
        <v>-1.3074984902984695E-2</v>
      </c>
      <c r="P118" s="35">
        <f t="shared" si="64"/>
        <v>1397.4730869339417</v>
      </c>
      <c r="Q118" s="35">
        <f t="shared" si="65"/>
        <v>-18.271939513988706</v>
      </c>
      <c r="R118" s="36">
        <f>1.05*1330.205</f>
        <v>1396.71525</v>
      </c>
      <c r="S118" s="36">
        <f>1.05*1330.205</f>
        <v>1396.71525</v>
      </c>
      <c r="T118" s="36">
        <v>4</v>
      </c>
      <c r="U118" s="36">
        <v>240015</v>
      </c>
      <c r="V118" s="81">
        <v>240015</v>
      </c>
    </row>
    <row r="119" spans="1:22" ht="14.25">
      <c r="A119" s="30">
        <v>103</v>
      </c>
      <c r="B119" s="28" t="s">
        <v>155</v>
      </c>
      <c r="C119" s="28" t="s">
        <v>44</v>
      </c>
      <c r="D119" s="36">
        <f>538394237.47*1330.205</f>
        <v>716174706653.78137</v>
      </c>
      <c r="E119" s="81">
        <f>4859486.17*1330.205</f>
        <v>6464112800.7648497</v>
      </c>
      <c r="F119" s="81"/>
      <c r="G119" s="36">
        <f>823895.59*1330.205</f>
        <v>1095950033.2959499</v>
      </c>
      <c r="H119" s="31">
        <f t="shared" si="52"/>
        <v>5368162767.4688997</v>
      </c>
      <c r="I119" s="17">
        <f>554447737.08*1330.76</f>
        <v>737836870596.58081</v>
      </c>
      <c r="J119" s="32">
        <f t="shared" si="53"/>
        <v>0.6014366349344149</v>
      </c>
      <c r="K119" s="36">
        <f>557403232.18*1330.205</f>
        <v>741460566461.99683</v>
      </c>
      <c r="L119" s="32">
        <f t="shared" si="60"/>
        <v>0.5935712314846483</v>
      </c>
      <c r="M119" s="32">
        <f t="shared" si="61"/>
        <v>4.9112425928051857E-3</v>
      </c>
      <c r="N119" s="19">
        <f t="shared" si="62"/>
        <v>1.4780961832204496E-3</v>
      </c>
      <c r="O119" s="114">
        <f t="shared" si="63"/>
        <v>7.2399841748617688E-3</v>
      </c>
      <c r="P119" s="35">
        <f t="shared" si="64"/>
        <v>1995.7333219652387</v>
      </c>
      <c r="Q119" s="35">
        <f t="shared" si="65"/>
        <v>14.449077668272635</v>
      </c>
      <c r="R119" s="36">
        <f>1.5003*1330.205</f>
        <v>1995.7065614999999</v>
      </c>
      <c r="S119" s="36">
        <f>1.5003*1330.205</f>
        <v>1995.7065614999999</v>
      </c>
      <c r="T119" s="36">
        <v>7285</v>
      </c>
      <c r="U119" s="36">
        <v>371785931.56</v>
      </c>
      <c r="V119" s="36">
        <v>371522867.45999998</v>
      </c>
    </row>
    <row r="120" spans="1:22" ht="14.25">
      <c r="A120" s="30">
        <v>104</v>
      </c>
      <c r="B120" s="28" t="s">
        <v>156</v>
      </c>
      <c r="C120" s="28" t="s">
        <v>48</v>
      </c>
      <c r="D120" s="36">
        <f>17987740*1330.205</f>
        <v>23927381686.699997</v>
      </c>
      <c r="E120" s="36">
        <f>268706*1330.205</f>
        <v>357434064.72999996</v>
      </c>
      <c r="F120" s="36"/>
      <c r="G120" s="46">
        <f>60517*1330.205</f>
        <v>80500015.984999999</v>
      </c>
      <c r="H120" s="31">
        <f t="shared" si="52"/>
        <v>276934048.74499995</v>
      </c>
      <c r="I120" s="17">
        <f>31129978*1330.76</f>
        <v>41426529523.279999</v>
      </c>
      <c r="J120" s="32">
        <f t="shared" si="53"/>
        <v>3.3768212875221651E-2</v>
      </c>
      <c r="K120" s="36">
        <f>31669016*1330.205</f>
        <v>42126283428.279999</v>
      </c>
      <c r="L120" s="32">
        <f t="shared" si="60"/>
        <v>3.3723910701968673E-2</v>
      </c>
      <c r="M120" s="32">
        <f t="shared" si="61"/>
        <v>1.6891444034836837E-2</v>
      </c>
      <c r="N120" s="19">
        <f t="shared" si="62"/>
        <v>1.9109213876427357E-3</v>
      </c>
      <c r="O120" s="114">
        <f t="shared" si="63"/>
        <v>6.5739017593726299E-3</v>
      </c>
      <c r="P120" s="35">
        <f t="shared" si="64"/>
        <v>1465.9172845670946</v>
      </c>
      <c r="Q120" s="35">
        <f t="shared" si="65"/>
        <v>9.6367962161103708</v>
      </c>
      <c r="R120" s="36">
        <f>1.1*1330.205</f>
        <v>1463.2255</v>
      </c>
      <c r="S120" s="36">
        <f>1.1*1330.205</f>
        <v>1463.2255</v>
      </c>
      <c r="T120" s="36">
        <v>164</v>
      </c>
      <c r="U120" s="36">
        <v>28501264</v>
      </c>
      <c r="V120" s="36">
        <v>28737149</v>
      </c>
    </row>
    <row r="121" spans="1:22" ht="14.25">
      <c r="A121" s="30">
        <v>105</v>
      </c>
      <c r="B121" s="37" t="s">
        <v>157</v>
      </c>
      <c r="C121" s="37" t="s">
        <v>34</v>
      </c>
      <c r="D121" s="36">
        <f>36000922.37*1330.205</f>
        <v>47888606941.185844</v>
      </c>
      <c r="E121" s="36">
        <f>206986.96*1330.205</f>
        <v>275335089.1268</v>
      </c>
      <c r="F121" s="36"/>
      <c r="G121" s="36">
        <f>67942.44*1330.205</f>
        <v>90377373.400199994</v>
      </c>
      <c r="H121" s="31">
        <f t="shared" si="52"/>
        <v>184957715.72659999</v>
      </c>
      <c r="I121" s="17">
        <f>34867464.95*1330.76</f>
        <v>46400227656.862007</v>
      </c>
      <c r="J121" s="32">
        <f t="shared" si="53"/>
        <v>3.7822448151133607E-2</v>
      </c>
      <c r="K121" s="36">
        <f>36050819.61*1330.205</f>
        <v>47954980499.320045</v>
      </c>
      <c r="L121" s="32">
        <f t="shared" si="60"/>
        <v>3.8390034640180204E-2</v>
      </c>
      <c r="M121" s="32">
        <f t="shared" si="61"/>
        <v>3.3507439962487125E-2</v>
      </c>
      <c r="N121" s="19">
        <f t="shared" si="62"/>
        <v>1.8846295516996708E-3</v>
      </c>
      <c r="O121" s="114">
        <f t="shared" si="63"/>
        <v>3.8569031579362757E-3</v>
      </c>
      <c r="P121" s="35">
        <f t="shared" si="64"/>
        <v>1475.4011399526419</v>
      </c>
      <c r="Q121" s="35">
        <f t="shared" si="65"/>
        <v>5.6904793159061251</v>
      </c>
      <c r="R121" s="36">
        <f>1.11*1330.205</f>
        <v>1476.52755</v>
      </c>
      <c r="S121" s="36">
        <f>1.11*1330.205</f>
        <v>1476.52755</v>
      </c>
      <c r="T121" s="36">
        <v>1492</v>
      </c>
      <c r="U121" s="36">
        <v>31562722.800000001</v>
      </c>
      <c r="V121" s="36">
        <v>32503011.690000001</v>
      </c>
    </row>
    <row r="122" spans="1:22" ht="15" customHeight="1">
      <c r="A122" s="139" t="s">
        <v>49</v>
      </c>
      <c r="B122" s="139"/>
      <c r="C122" s="139"/>
      <c r="D122" s="139"/>
      <c r="E122" s="139"/>
      <c r="F122" s="139"/>
      <c r="G122" s="139"/>
      <c r="H122" s="139"/>
      <c r="I122" s="53">
        <f>SUM(I95:I121)</f>
        <v>1226790700365.3677</v>
      </c>
      <c r="J122" s="40">
        <f>(I122/$I$185)</f>
        <v>0.4630039623207694</v>
      </c>
      <c r="K122" s="53">
        <f>SUM(K95:K121)</f>
        <v>1249151790270.303</v>
      </c>
      <c r="L122" s="40">
        <f>(K122/$K$185)</f>
        <v>0.46551158579734075</v>
      </c>
      <c r="M122" s="49">
        <f t="shared" si="55"/>
        <v>1.8227306335363999E-2</v>
      </c>
      <c r="N122" s="54"/>
      <c r="O122" s="51"/>
      <c r="P122" s="59"/>
      <c r="Q122" s="59"/>
      <c r="R122" s="53"/>
      <c r="S122" s="53"/>
      <c r="T122" s="60">
        <f>SUM(T95:T121)</f>
        <v>15629</v>
      </c>
      <c r="U122" s="60"/>
      <c r="V122" s="53"/>
    </row>
    <row r="123" spans="1:22" ht="6.9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</row>
    <row r="124" spans="1:22">
      <c r="A124" s="146" t="s">
        <v>158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t="14.25">
      <c r="A125" s="66">
        <v>106</v>
      </c>
      <c r="B125" s="67" t="s">
        <v>237</v>
      </c>
      <c r="C125" s="67" t="s">
        <v>238</v>
      </c>
      <c r="D125" s="26">
        <v>2159568340.5900002</v>
      </c>
      <c r="E125" s="26">
        <v>30297306.030000001</v>
      </c>
      <c r="F125" s="27">
        <v>0</v>
      </c>
      <c r="G125" s="26">
        <v>3606951.45</v>
      </c>
      <c r="H125" s="23">
        <f t="shared" ref="H125" si="66">(E125+F125)-G125</f>
        <v>26690354.580000002</v>
      </c>
      <c r="I125" s="26">
        <v>2234328776.1999998</v>
      </c>
      <c r="J125" s="18">
        <f>(I125/$I$130)</f>
        <v>2.3138876471602707E-2</v>
      </c>
      <c r="K125" s="26">
        <v>2261720797.3000002</v>
      </c>
      <c r="L125" s="18">
        <f>(K125/$K$130)</f>
        <v>2.2649719936288407E-2</v>
      </c>
      <c r="M125" s="18">
        <f t="shared" ref="M125" si="67">((K125-I125)/I125)</f>
        <v>1.2259619708513506E-2</v>
      </c>
      <c r="N125" s="19">
        <f>(G125/K125)</f>
        <v>1.5947819263570954E-3</v>
      </c>
      <c r="O125" s="20">
        <f>H125/K125</f>
        <v>1.1800906023352858E-2</v>
      </c>
      <c r="P125" s="21">
        <f>K125/V125</f>
        <v>106.58439195570217</v>
      </c>
      <c r="Q125" s="21">
        <f>H125/V125</f>
        <v>1.2577923930254478</v>
      </c>
      <c r="R125" s="17">
        <v>106.58</v>
      </c>
      <c r="S125" s="17">
        <v>106.58</v>
      </c>
      <c r="T125" s="17">
        <v>7</v>
      </c>
      <c r="U125" s="26" t="s">
        <v>239</v>
      </c>
      <c r="V125" s="26" t="s">
        <v>239</v>
      </c>
    </row>
    <row r="126" spans="1:22" ht="14.25">
      <c r="A126" s="30">
        <v>107</v>
      </c>
      <c r="B126" s="28" t="s">
        <v>159</v>
      </c>
      <c r="C126" s="28" t="s">
        <v>42</v>
      </c>
      <c r="D126" s="36">
        <v>37955200028</v>
      </c>
      <c r="E126" s="36">
        <v>462594536</v>
      </c>
      <c r="F126" s="36"/>
      <c r="G126" s="36">
        <v>104378422</v>
      </c>
      <c r="H126" s="31">
        <f t="shared" ref="H126:H129" si="68">(E126+F126)-G126</f>
        <v>358216114</v>
      </c>
      <c r="I126" s="17">
        <v>53831387445</v>
      </c>
      <c r="J126" s="18">
        <f t="shared" ref="J126:J129" si="69">(I126/$I$130)</f>
        <v>0.55748188791770881</v>
      </c>
      <c r="K126" s="36">
        <v>54189603559</v>
      </c>
      <c r="L126" s="18">
        <f t="shared" ref="L126:L129" si="70">(K126/$K$130)</f>
        <v>0.54267500459608897</v>
      </c>
      <c r="M126" s="18">
        <f t="shared" ref="M126:M129" si="71">((K126-I126)/I126)</f>
        <v>6.6544098341509879E-3</v>
      </c>
      <c r="N126" s="19">
        <f t="shared" ref="N126:N129" si="72">(G126/K126)</f>
        <v>1.9261706147445041E-3</v>
      </c>
      <c r="O126" s="20">
        <f t="shared" ref="O126:O129" si="73">H126/K126</f>
        <v>6.6104213811046825E-3</v>
      </c>
      <c r="P126" s="21">
        <f t="shared" ref="P126:P129" si="74">K126/V126</f>
        <v>102.11967925818999</v>
      </c>
      <c r="Q126" s="21">
        <f t="shared" ref="Q126:Q129" si="75">H126/V126</f>
        <v>0.67505411119989145</v>
      </c>
      <c r="R126" s="36">
        <v>102.12</v>
      </c>
      <c r="S126" s="36">
        <v>102.12</v>
      </c>
      <c r="T126" s="36">
        <v>645</v>
      </c>
      <c r="U126" s="36">
        <v>530648000</v>
      </c>
      <c r="V126" s="36">
        <v>530648000</v>
      </c>
    </row>
    <row r="127" spans="1:22" ht="14.25">
      <c r="A127" s="30">
        <v>108</v>
      </c>
      <c r="B127" s="28" t="s">
        <v>160</v>
      </c>
      <c r="C127" s="28" t="s">
        <v>125</v>
      </c>
      <c r="D127" s="36">
        <v>2997752327.3099999</v>
      </c>
      <c r="E127" s="36">
        <v>32270502.129999999</v>
      </c>
      <c r="F127" s="36"/>
      <c r="G127" s="36">
        <v>12034220.470000001</v>
      </c>
      <c r="H127" s="31">
        <f t="shared" si="68"/>
        <v>20236281.659999996</v>
      </c>
      <c r="I127" s="17">
        <v>2579701647.8299999</v>
      </c>
      <c r="J127" s="18">
        <f t="shared" si="69"/>
        <v>2.6715583847175588E-2</v>
      </c>
      <c r="K127" s="36">
        <v>2611031329.4899998</v>
      </c>
      <c r="L127" s="18">
        <f t="shared" si="70"/>
        <v>2.6147846554898577E-2</v>
      </c>
      <c r="M127" s="18">
        <f t="shared" si="71"/>
        <v>1.2144691881851466E-2</v>
      </c>
      <c r="N127" s="19">
        <f t="shared" si="72"/>
        <v>4.6089912189412859E-3</v>
      </c>
      <c r="O127" s="20">
        <f t="shared" si="73"/>
        <v>7.7503021244684387E-3</v>
      </c>
      <c r="P127" s="21">
        <f t="shared" si="74"/>
        <v>130.55156647449999</v>
      </c>
      <c r="Q127" s="21">
        <f t="shared" si="75"/>
        <v>1.0118140829999998</v>
      </c>
      <c r="R127" s="61">
        <v>101.35</v>
      </c>
      <c r="S127" s="61">
        <v>101.35</v>
      </c>
      <c r="T127" s="36">
        <v>2760</v>
      </c>
      <c r="U127" s="36">
        <v>20000000</v>
      </c>
      <c r="V127" s="36">
        <v>20000000</v>
      </c>
    </row>
    <row r="128" spans="1:22" ht="14.25">
      <c r="A128" s="30">
        <v>109</v>
      </c>
      <c r="B128" s="28" t="s">
        <v>161</v>
      </c>
      <c r="C128" s="28" t="s">
        <v>125</v>
      </c>
      <c r="D128" s="36">
        <v>11144835790.639999</v>
      </c>
      <c r="E128" s="36">
        <v>69958241.390000001</v>
      </c>
      <c r="F128" s="36"/>
      <c r="G128" s="61" t="s">
        <v>246</v>
      </c>
      <c r="H128" s="31">
        <f t="shared" si="68"/>
        <v>53508014.5</v>
      </c>
      <c r="I128" s="17">
        <v>9889080762</v>
      </c>
      <c r="J128" s="18">
        <f t="shared" si="69"/>
        <v>0.10241206245339893</v>
      </c>
      <c r="K128" s="85">
        <v>10436551117</v>
      </c>
      <c r="L128" s="18">
        <f t="shared" si="70"/>
        <v>0.10451553533177034</v>
      </c>
      <c r="M128" s="18">
        <f t="shared" si="71"/>
        <v>5.536109656457875E-2</v>
      </c>
      <c r="N128" s="19">
        <f t="shared" si="72"/>
        <v>1.5762129371650736E-3</v>
      </c>
      <c r="O128" s="20">
        <f t="shared" si="73"/>
        <v>5.1269824581073814E-3</v>
      </c>
      <c r="P128" s="21">
        <f t="shared" si="74"/>
        <v>55.476074436838346</v>
      </c>
      <c r="Q128" s="21">
        <f t="shared" si="75"/>
        <v>0.28442486048232951</v>
      </c>
      <c r="R128" s="61">
        <v>36.6</v>
      </c>
      <c r="S128" s="61">
        <v>36.6</v>
      </c>
      <c r="T128" s="36">
        <v>5264</v>
      </c>
      <c r="U128" s="36">
        <v>188127066</v>
      </c>
      <c r="V128" s="36">
        <v>188127066</v>
      </c>
    </row>
    <row r="129" spans="1:22" ht="15.95" customHeight="1">
      <c r="A129" s="30">
        <v>110</v>
      </c>
      <c r="B129" s="28" t="s">
        <v>162</v>
      </c>
      <c r="C129" s="37" t="s">
        <v>163</v>
      </c>
      <c r="D129" s="81">
        <v>30058077965.799999</v>
      </c>
      <c r="E129" s="81">
        <v>195669967.19</v>
      </c>
      <c r="F129" s="81"/>
      <c r="G129" s="81">
        <v>55331999.909999996</v>
      </c>
      <c r="H129" s="31">
        <f t="shared" si="68"/>
        <v>140337967.28</v>
      </c>
      <c r="I129" s="17">
        <v>30261509747.119999</v>
      </c>
      <c r="J129" s="18">
        <f t="shared" si="69"/>
        <v>0.31339046578171664</v>
      </c>
      <c r="K129" s="64">
        <v>30357550745.560001</v>
      </c>
      <c r="L129" s="18">
        <f t="shared" si="70"/>
        <v>0.30401189358095371</v>
      </c>
      <c r="M129" s="18">
        <f t="shared" si="71"/>
        <v>3.173701485569229E-3</v>
      </c>
      <c r="N129" s="19">
        <f t="shared" si="72"/>
        <v>1.8226766834308159E-3</v>
      </c>
      <c r="O129" s="20">
        <f t="shared" si="73"/>
        <v>4.6228356317752472E-3</v>
      </c>
      <c r="P129" s="21">
        <f t="shared" si="74"/>
        <v>11.377243095406968</v>
      </c>
      <c r="Q129" s="21">
        <f t="shared" si="75"/>
        <v>5.2595124772816242E-2</v>
      </c>
      <c r="R129" s="61">
        <v>11.38</v>
      </c>
      <c r="S129" s="61">
        <v>11.38</v>
      </c>
      <c r="T129" s="36">
        <v>208348</v>
      </c>
      <c r="U129" s="64">
        <v>2668269500</v>
      </c>
      <c r="V129" s="64">
        <v>2668269500</v>
      </c>
    </row>
    <row r="130" spans="1:22" ht="15" customHeight="1">
      <c r="A130" s="139" t="s">
        <v>49</v>
      </c>
      <c r="B130" s="139"/>
      <c r="C130" s="139"/>
      <c r="D130" s="139"/>
      <c r="E130" s="139"/>
      <c r="F130" s="139"/>
      <c r="G130" s="139"/>
      <c r="H130" s="139"/>
      <c r="I130" s="48">
        <f>SUM(I126:I129)</f>
        <v>96561679601.949997</v>
      </c>
      <c r="J130" s="40">
        <f>(I130/$I$185)</f>
        <v>3.6443413086467168E-2</v>
      </c>
      <c r="K130" s="53">
        <f>SUM(K125:K129)</f>
        <v>99856457548.350006</v>
      </c>
      <c r="L130" s="40">
        <f>(K130/$K$185)</f>
        <v>3.7212721678426715E-2</v>
      </c>
      <c r="M130" s="49">
        <f>((K130-I130)/I130)</f>
        <v>3.4120967654890227E-2</v>
      </c>
      <c r="N130" s="54"/>
      <c r="O130" s="51"/>
      <c r="P130" s="52"/>
      <c r="Q130" s="52"/>
      <c r="R130" s="53"/>
      <c r="S130" s="53"/>
      <c r="T130" s="53">
        <f>SUM(T126:T129)</f>
        <v>217017</v>
      </c>
      <c r="U130" s="53"/>
      <c r="V130" s="53"/>
    </row>
    <row r="131" spans="1:22" ht="8.1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</row>
    <row r="132" spans="1:22">
      <c r="A132" s="146" t="s">
        <v>164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ht="14.25">
      <c r="A133" s="30">
        <v>111</v>
      </c>
      <c r="B133" s="28" t="s">
        <v>165</v>
      </c>
      <c r="C133" s="28" t="s">
        <v>53</v>
      </c>
      <c r="D133" s="63">
        <v>231266211.53</v>
      </c>
      <c r="E133" s="63">
        <v>3044256.93</v>
      </c>
      <c r="F133" s="63">
        <v>-8722621.3000000007</v>
      </c>
      <c r="G133" s="36">
        <v>560709.67000000004</v>
      </c>
      <c r="H133" s="31">
        <f t="shared" ref="H133:H158" si="76">(E133+F133)-G133</f>
        <v>-6239074.040000001</v>
      </c>
      <c r="I133" s="17">
        <v>238454335.40000001</v>
      </c>
      <c r="J133" s="32">
        <f t="shared" ref="J133:J158" si="77">(I133/$I$159)</f>
        <v>4.7391375770088123E-3</v>
      </c>
      <c r="K133" s="36">
        <v>231574131.44999999</v>
      </c>
      <c r="L133" s="32">
        <f>(K133/$K$159)</f>
        <v>4.8616210839200463E-3</v>
      </c>
      <c r="M133" s="32">
        <f t="shared" ref="M133:M159" si="78">((K133-I133)/I133)</f>
        <v>-2.8853339732568425E-2</v>
      </c>
      <c r="N133" s="54">
        <f t="shared" ref="N133" si="79">(G133/K133)</f>
        <v>2.421296655585492E-3</v>
      </c>
      <c r="O133" s="34">
        <f t="shared" ref="O133" si="80">H133/K133</f>
        <v>-2.6942016368296743E-2</v>
      </c>
      <c r="P133" s="35">
        <f t="shared" ref="P133" si="81">K133/V133</f>
        <v>5.2396793210374284</v>
      </c>
      <c r="Q133" s="35">
        <f t="shared" ref="Q133" si="82">H133/V133</f>
        <v>-0.14116752603201635</v>
      </c>
      <c r="R133" s="36">
        <v>5.2100999999999997</v>
      </c>
      <c r="S133" s="36">
        <v>5.2606000000000002</v>
      </c>
      <c r="T133" s="36">
        <v>11833</v>
      </c>
      <c r="U133" s="36">
        <v>44186565.079999998</v>
      </c>
      <c r="V133" s="36">
        <v>44196241.270000003</v>
      </c>
    </row>
    <row r="134" spans="1:22" ht="14.25">
      <c r="A134" s="30">
        <v>112</v>
      </c>
      <c r="B134" s="57" t="s">
        <v>235</v>
      </c>
      <c r="C134" s="57" t="s">
        <v>236</v>
      </c>
      <c r="D134" s="24">
        <v>565370366.35000002</v>
      </c>
      <c r="E134" s="24">
        <v>1506145.93</v>
      </c>
      <c r="F134" s="24">
        <v>-70093287.200000003</v>
      </c>
      <c r="G134" s="17">
        <v>1234810.6200000001</v>
      </c>
      <c r="H134" s="23">
        <f t="shared" si="76"/>
        <v>-69821951.890000001</v>
      </c>
      <c r="I134" s="17">
        <v>629403816.55999994</v>
      </c>
      <c r="J134" s="32">
        <f t="shared" si="77"/>
        <v>1.2509025148016903E-2</v>
      </c>
      <c r="K134" s="17">
        <v>568867830.65999997</v>
      </c>
      <c r="L134" s="32">
        <f t="shared" ref="L134:L158" si="83">(K134/$K$159)</f>
        <v>1.1942697667410445E-2</v>
      </c>
      <c r="M134" s="32">
        <f t="shared" ref="M134:M158" si="84">((K134-I134)/I134)</f>
        <v>-9.6179883736420252E-2</v>
      </c>
      <c r="N134" s="54">
        <f t="shared" ref="N134:N158" si="85">(G134/K134)</f>
        <v>2.1706458925043696E-3</v>
      </c>
      <c r="O134" s="34">
        <f t="shared" ref="O134:O158" si="86">H134/K134</f>
        <v>-0.12273844314415289</v>
      </c>
      <c r="P134" s="35">
        <f t="shared" ref="P134:P158" si="87">K134/V134</f>
        <v>1092.8375244648846</v>
      </c>
      <c r="Q134" s="35">
        <f t="shared" ref="Q134:Q158" si="88">H134/V134</f>
        <v>-134.13317636233003</v>
      </c>
      <c r="R134" s="17">
        <v>1086.847</v>
      </c>
      <c r="S134" s="17">
        <v>1096.7498000000001</v>
      </c>
      <c r="T134" s="17">
        <v>172</v>
      </c>
      <c r="U134" s="17">
        <v>520689</v>
      </c>
      <c r="V134" s="17">
        <v>520542</v>
      </c>
    </row>
    <row r="135" spans="1:22" ht="14.25">
      <c r="A135" s="30">
        <v>113</v>
      </c>
      <c r="B135" s="28" t="s">
        <v>166</v>
      </c>
      <c r="C135" s="37" t="s">
        <v>56</v>
      </c>
      <c r="D135" s="63">
        <v>6434933794.9399996</v>
      </c>
      <c r="E135" s="63">
        <v>123161961.63</v>
      </c>
      <c r="F135" s="63">
        <v>-273226533.80000001</v>
      </c>
      <c r="G135" s="36">
        <v>15014323.779999999</v>
      </c>
      <c r="H135" s="31">
        <f t="shared" si="76"/>
        <v>-165078895.95000002</v>
      </c>
      <c r="I135" s="17">
        <v>7315183144</v>
      </c>
      <c r="J135" s="32">
        <f t="shared" si="77"/>
        <v>0.14538489838013599</v>
      </c>
      <c r="K135" s="36">
        <v>7128425181</v>
      </c>
      <c r="L135" s="32">
        <f t="shared" si="83"/>
        <v>0.14965273512244096</v>
      </c>
      <c r="M135" s="32">
        <f t="shared" si="84"/>
        <v>-2.5530182816158348E-2</v>
      </c>
      <c r="N135" s="54">
        <f t="shared" si="85"/>
        <v>2.1062609761296168E-3</v>
      </c>
      <c r="O135" s="34">
        <f t="shared" si="86"/>
        <v>-2.3157835252307746E-2</v>
      </c>
      <c r="P135" s="35">
        <f t="shared" si="87"/>
        <v>751.87767622901413</v>
      </c>
      <c r="Q135" s="35">
        <f t="shared" si="88"/>
        <v>-17.411859355999493</v>
      </c>
      <c r="R135" s="36">
        <v>748.1182</v>
      </c>
      <c r="S135" s="36">
        <v>770.67449999999997</v>
      </c>
      <c r="T135" s="36">
        <v>20977</v>
      </c>
      <c r="U135" s="36">
        <v>9476651</v>
      </c>
      <c r="V135" s="36">
        <v>9480831</v>
      </c>
    </row>
    <row r="136" spans="1:22" ht="14.25">
      <c r="A136" s="30">
        <v>114</v>
      </c>
      <c r="B136" s="28" t="s">
        <v>167</v>
      </c>
      <c r="C136" s="28" t="s">
        <v>107</v>
      </c>
      <c r="D136" s="46">
        <v>1494641958.1500001</v>
      </c>
      <c r="E136" s="63">
        <v>36024567.060000002</v>
      </c>
      <c r="F136" s="63">
        <v>-138341014.55000001</v>
      </c>
      <c r="G136" s="85">
        <v>3086601.86</v>
      </c>
      <c r="H136" s="31">
        <f t="shared" si="76"/>
        <v>-105403049.35000001</v>
      </c>
      <c r="I136" s="17">
        <v>1551531225.4100001</v>
      </c>
      <c r="J136" s="32">
        <f t="shared" si="77"/>
        <v>3.083575695912074E-2</v>
      </c>
      <c r="K136" s="36">
        <v>1446128229.53</v>
      </c>
      <c r="L136" s="32">
        <f t="shared" si="83"/>
        <v>3.0359727343954233E-2</v>
      </c>
      <c r="M136" s="32">
        <f t="shared" si="84"/>
        <v>-6.7934820874872709E-2</v>
      </c>
      <c r="N136" s="54">
        <f t="shared" si="85"/>
        <v>2.1343901577823175E-3</v>
      </c>
      <c r="O136" s="34">
        <f t="shared" si="86"/>
        <v>-7.2886378398308846E-2</v>
      </c>
      <c r="P136" s="35">
        <f t="shared" si="87"/>
        <v>3.4427207011781582</v>
      </c>
      <c r="Q136" s="35">
        <f t="shared" si="88"/>
        <v>-0.25092744374576237</v>
      </c>
      <c r="R136" s="46">
        <v>3.3763999999999998</v>
      </c>
      <c r="S136" s="46">
        <v>3.4597000000000002</v>
      </c>
      <c r="T136" s="46">
        <v>2752</v>
      </c>
      <c r="U136" s="46">
        <v>420053891.98000002</v>
      </c>
      <c r="V136" s="46">
        <v>420053891.98000002</v>
      </c>
    </row>
    <row r="137" spans="1:22" ht="14.25">
      <c r="A137" s="30">
        <v>115</v>
      </c>
      <c r="B137" s="28" t="s">
        <v>168</v>
      </c>
      <c r="C137" s="28" t="s">
        <v>60</v>
      </c>
      <c r="D137" s="63">
        <v>3142039672.5900002</v>
      </c>
      <c r="E137" s="63">
        <v>65230540.649999999</v>
      </c>
      <c r="F137" s="63">
        <v>502991050.37</v>
      </c>
      <c r="G137" s="36">
        <v>8313250.3200000003</v>
      </c>
      <c r="H137" s="31">
        <f t="shared" si="76"/>
        <v>559908340.69999993</v>
      </c>
      <c r="I137" s="17">
        <v>3319877866.8499999</v>
      </c>
      <c r="J137" s="32">
        <f t="shared" si="77"/>
        <v>6.598059088955735E-2</v>
      </c>
      <c r="K137" s="36">
        <v>3104953599.0599999</v>
      </c>
      <c r="L137" s="32">
        <f t="shared" si="83"/>
        <v>6.5184775981952742E-2</v>
      </c>
      <c r="M137" s="32">
        <f t="shared" si="84"/>
        <v>-6.4738606783124403E-2</v>
      </c>
      <c r="N137" s="54">
        <f t="shared" si="85"/>
        <v>2.6774153154870885E-3</v>
      </c>
      <c r="O137" s="34">
        <f t="shared" si="86"/>
        <v>0.18032744221025002</v>
      </c>
      <c r="P137" s="35">
        <f t="shared" si="87"/>
        <v>5787.9395489612207</v>
      </c>
      <c r="Q137" s="35">
        <f t="shared" si="88"/>
        <v>1043.7243345317249</v>
      </c>
      <c r="R137" s="36">
        <v>5787.94</v>
      </c>
      <c r="S137" s="36">
        <v>5827.08</v>
      </c>
      <c r="T137" s="36">
        <v>869</v>
      </c>
      <c r="U137" s="36">
        <v>537711.68999999994</v>
      </c>
      <c r="V137" s="36">
        <v>536452.31999999995</v>
      </c>
    </row>
    <row r="138" spans="1:22" ht="14.1" customHeight="1">
      <c r="A138" s="30">
        <v>116</v>
      </c>
      <c r="B138" s="28" t="s">
        <v>169</v>
      </c>
      <c r="C138" s="37" t="s">
        <v>62</v>
      </c>
      <c r="D138" s="63">
        <v>552410320.21000004</v>
      </c>
      <c r="E138" s="63">
        <v>18684187.68</v>
      </c>
      <c r="F138" s="63">
        <v>69115544.489999995</v>
      </c>
      <c r="G138" s="36">
        <v>1052105.3999999999</v>
      </c>
      <c r="H138" s="31">
        <f t="shared" si="76"/>
        <v>86747626.769999981</v>
      </c>
      <c r="I138" s="17">
        <v>527039378.58999997</v>
      </c>
      <c r="J138" s="32">
        <f t="shared" si="77"/>
        <v>1.0474593047131667E-2</v>
      </c>
      <c r="K138" s="36">
        <v>624896345.77999997</v>
      </c>
      <c r="L138" s="32">
        <f t="shared" si="83"/>
        <v>1.3118949128238822E-2</v>
      </c>
      <c r="M138" s="32">
        <f t="shared" si="84"/>
        <v>0.18567297087325599</v>
      </c>
      <c r="N138" s="54">
        <f t="shared" si="85"/>
        <v>1.6836478675303415E-3</v>
      </c>
      <c r="O138" s="34">
        <f t="shared" si="86"/>
        <v>0.13881922554967255</v>
      </c>
      <c r="P138" s="35">
        <f t="shared" si="87"/>
        <v>191.43724466613321</v>
      </c>
      <c r="Q138" s="35">
        <f t="shared" si="88"/>
        <v>26.57517004591579</v>
      </c>
      <c r="R138" s="36">
        <v>173.36</v>
      </c>
      <c r="S138" s="36">
        <v>174.67</v>
      </c>
      <c r="T138" s="36">
        <v>671</v>
      </c>
      <c r="U138" s="36">
        <v>2719308</v>
      </c>
      <c r="V138" s="36">
        <v>3264236</v>
      </c>
    </row>
    <row r="139" spans="1:22" ht="15" customHeight="1">
      <c r="A139" s="30">
        <v>117</v>
      </c>
      <c r="B139" s="28" t="s">
        <v>170</v>
      </c>
      <c r="C139" s="37" t="s">
        <v>64</v>
      </c>
      <c r="D139" s="24">
        <v>248331135.28999999</v>
      </c>
      <c r="E139" s="24">
        <v>1956454.75</v>
      </c>
      <c r="F139" s="24"/>
      <c r="G139" s="17">
        <v>691169.45</v>
      </c>
      <c r="H139" s="23">
        <v>3676035.92</v>
      </c>
      <c r="I139" s="17">
        <v>331444396.5</v>
      </c>
      <c r="J139" s="32">
        <f t="shared" si="77"/>
        <v>6.5872595333913899E-3</v>
      </c>
      <c r="K139" s="17">
        <v>331444396.5</v>
      </c>
      <c r="L139" s="32">
        <f t="shared" si="83"/>
        <v>6.9582774901585653E-3</v>
      </c>
      <c r="M139" s="32">
        <f t="shared" si="84"/>
        <v>0</v>
      </c>
      <c r="N139" s="54">
        <f t="shared" si="85"/>
        <v>2.0853254944076267E-3</v>
      </c>
      <c r="O139" s="34">
        <f t="shared" si="86"/>
        <v>1.1090958117917675E-2</v>
      </c>
      <c r="P139" s="35">
        <f t="shared" si="87"/>
        <v>137.41595449214111</v>
      </c>
      <c r="Q139" s="35">
        <f t="shared" si="88"/>
        <v>1.5240745960060182</v>
      </c>
      <c r="R139" s="17">
        <v>141.68</v>
      </c>
      <c r="S139" s="17">
        <v>142.58000000000001</v>
      </c>
      <c r="T139" s="17">
        <f>549+27+3</f>
        <v>579</v>
      </c>
      <c r="U139" s="17">
        <v>2411979</v>
      </c>
      <c r="V139" s="17">
        <v>2411979</v>
      </c>
    </row>
    <row r="140" spans="1:22" ht="14.25">
      <c r="A140" s="30">
        <v>118</v>
      </c>
      <c r="B140" s="28" t="s">
        <v>171</v>
      </c>
      <c r="C140" s="37" t="s">
        <v>66</v>
      </c>
      <c r="D140" s="61">
        <v>175838735.61000001</v>
      </c>
      <c r="E140" s="61">
        <v>2743274.6</v>
      </c>
      <c r="F140" s="61">
        <v>-14035031.949999999</v>
      </c>
      <c r="G140" s="64">
        <v>670318.5</v>
      </c>
      <c r="H140" s="31">
        <f t="shared" si="76"/>
        <v>-11962075.85</v>
      </c>
      <c r="I140" s="29">
        <v>190206573.44999999</v>
      </c>
      <c r="J140" s="32">
        <f t="shared" si="77"/>
        <v>3.7802421084895971E-3</v>
      </c>
      <c r="K140" s="61">
        <v>181514380.28</v>
      </c>
      <c r="L140" s="32">
        <f t="shared" si="83"/>
        <v>3.8106766618466754E-3</v>
      </c>
      <c r="M140" s="32">
        <f t="shared" si="84"/>
        <v>-4.5698700167609733E-2</v>
      </c>
      <c r="N140" s="54">
        <f t="shared" si="85"/>
        <v>3.6929222850882763E-3</v>
      </c>
      <c r="O140" s="34">
        <f t="shared" si="86"/>
        <v>-6.5901532603353907E-2</v>
      </c>
      <c r="P140" s="35">
        <f t="shared" si="87"/>
        <v>1.5262916743603998</v>
      </c>
      <c r="Q140" s="35">
        <f t="shared" si="88"/>
        <v>-0.1005849605400895</v>
      </c>
      <c r="R140" s="36">
        <v>1.5106999999999999</v>
      </c>
      <c r="S140" s="64">
        <v>1.5232000000000001</v>
      </c>
      <c r="T140" s="36">
        <v>295</v>
      </c>
      <c r="U140" s="61">
        <v>120016867.09999999</v>
      </c>
      <c r="V140" s="61">
        <v>118925093.63</v>
      </c>
    </row>
    <row r="141" spans="1:22" ht="14.25">
      <c r="A141" s="30">
        <v>119</v>
      </c>
      <c r="B141" s="57" t="s">
        <v>215</v>
      </c>
      <c r="C141" s="58" t="s">
        <v>46</v>
      </c>
      <c r="D141" s="63">
        <f>130773410.62+6121633.39</f>
        <v>136895044.00999999</v>
      </c>
      <c r="E141" s="63">
        <f>565473.31+387103.97+3000367.25</f>
        <v>3952944.5300000003</v>
      </c>
      <c r="F141" s="63"/>
      <c r="G141" s="36">
        <v>2793343.6</v>
      </c>
      <c r="H141" s="31">
        <f t="shared" ref="H141" si="89">(E141+F141)-G141</f>
        <v>1159600.9300000002</v>
      </c>
      <c r="I141" s="17">
        <v>147522412.84</v>
      </c>
      <c r="J141" s="32">
        <f t="shared" si="77"/>
        <v>2.931919895556872E-3</v>
      </c>
      <c r="K141" s="36">
        <v>127980067.02</v>
      </c>
      <c r="L141" s="32">
        <f t="shared" si="83"/>
        <v>2.6867879769216451E-3</v>
      </c>
      <c r="M141" s="32">
        <f t="shared" si="84"/>
        <v>-0.1324703510726554</v>
      </c>
      <c r="N141" s="54">
        <f t="shared" si="85"/>
        <v>2.1826395821182624E-2</v>
      </c>
      <c r="O141" s="34">
        <f t="shared" si="86"/>
        <v>9.0607932703987756E-3</v>
      </c>
      <c r="P141" s="35">
        <f t="shared" si="87"/>
        <v>142.6850959865038</v>
      </c>
      <c r="Q141" s="35">
        <f t="shared" si="88"/>
        <v>1.2928401575007169</v>
      </c>
      <c r="R141" s="36">
        <v>143.48140000000001</v>
      </c>
      <c r="S141" s="36">
        <v>143.98079999999999</v>
      </c>
      <c r="T141" s="36">
        <v>120</v>
      </c>
      <c r="U141" s="36">
        <v>1032578.73</v>
      </c>
      <c r="V141" s="36">
        <v>896940.68</v>
      </c>
    </row>
    <row r="142" spans="1:22" ht="14.25">
      <c r="A142" s="30">
        <v>120</v>
      </c>
      <c r="B142" s="57" t="s">
        <v>172</v>
      </c>
      <c r="C142" s="58" t="s">
        <v>173</v>
      </c>
      <c r="D142" s="63">
        <v>143102714.24000001</v>
      </c>
      <c r="E142" s="63">
        <v>1624419.38</v>
      </c>
      <c r="F142" s="63"/>
      <c r="G142" s="36">
        <v>590827.57999999996</v>
      </c>
      <c r="H142" s="31">
        <f t="shared" si="76"/>
        <v>1033591.7999999999</v>
      </c>
      <c r="I142" s="17">
        <v>200523910.44</v>
      </c>
      <c r="J142" s="32">
        <f t="shared" si="77"/>
        <v>3.9852930225019248E-3</v>
      </c>
      <c r="K142" s="36">
        <v>198575712.13</v>
      </c>
      <c r="L142" s="32">
        <f t="shared" si="83"/>
        <v>4.1688588565605336E-3</v>
      </c>
      <c r="M142" s="32">
        <f t="shared" si="84"/>
        <v>-9.7155411827206262E-3</v>
      </c>
      <c r="N142" s="54">
        <f t="shared" si="85"/>
        <v>2.9753265072679559E-3</v>
      </c>
      <c r="O142" s="34">
        <f t="shared" si="86"/>
        <v>5.2050262789607752E-3</v>
      </c>
      <c r="P142" s="35">
        <f t="shared" si="87"/>
        <v>111.91392965129418</v>
      </c>
      <c r="Q142" s="35">
        <f t="shared" si="88"/>
        <v>0.5825149448167537</v>
      </c>
      <c r="R142" s="36">
        <v>112.12</v>
      </c>
      <c r="S142" s="36">
        <v>113.01</v>
      </c>
      <c r="T142" s="36">
        <v>52</v>
      </c>
      <c r="U142" s="61">
        <v>1778849</v>
      </c>
      <c r="V142" s="36">
        <v>1774361</v>
      </c>
    </row>
    <row r="143" spans="1:22" ht="14.25">
      <c r="A143" s="30">
        <v>121</v>
      </c>
      <c r="B143" s="28" t="s">
        <v>174</v>
      </c>
      <c r="C143" s="37" t="s">
        <v>71</v>
      </c>
      <c r="D143" s="61">
        <v>327664121.94999999</v>
      </c>
      <c r="E143" s="63">
        <v>2399678.4700000002</v>
      </c>
      <c r="F143" s="63">
        <v>-19509056.960000001</v>
      </c>
      <c r="G143" s="36">
        <v>724744.75</v>
      </c>
      <c r="H143" s="31">
        <f t="shared" si="76"/>
        <v>-17834123.240000002</v>
      </c>
      <c r="I143" s="17">
        <v>370537738.97000003</v>
      </c>
      <c r="J143" s="32">
        <f t="shared" si="77"/>
        <v>7.3642163792363982E-3</v>
      </c>
      <c r="K143" s="64">
        <v>334940496.5</v>
      </c>
      <c r="L143" s="32">
        <f t="shared" si="83"/>
        <v>7.0316739155929092E-3</v>
      </c>
      <c r="M143" s="32">
        <f t="shared" si="84"/>
        <v>-9.6069141483270351E-2</v>
      </c>
      <c r="N143" s="54">
        <f t="shared" si="85"/>
        <v>2.1638015037694913E-3</v>
      </c>
      <c r="O143" s="34">
        <f t="shared" si="86"/>
        <v>-5.3245646394985871E-2</v>
      </c>
      <c r="P143" s="35">
        <f t="shared" si="87"/>
        <v>1.4039312549338019</v>
      </c>
      <c r="Q143" s="35">
        <f t="shared" si="88"/>
        <v>-7.4753227163073976E-2</v>
      </c>
      <c r="R143" s="36">
        <v>1.36</v>
      </c>
      <c r="S143" s="36">
        <v>1.37</v>
      </c>
      <c r="T143" s="36">
        <v>107</v>
      </c>
      <c r="U143" s="36">
        <v>241079127.58000001</v>
      </c>
      <c r="V143" s="36">
        <v>238573288.63</v>
      </c>
    </row>
    <row r="144" spans="1:22" ht="14.25">
      <c r="A144" s="30">
        <v>122</v>
      </c>
      <c r="B144" s="37" t="s">
        <v>175</v>
      </c>
      <c r="C144" s="37" t="s">
        <v>75</v>
      </c>
      <c r="D144" s="64">
        <v>8090171474.6499996</v>
      </c>
      <c r="E144" s="63">
        <v>179613874.13999999</v>
      </c>
      <c r="F144" s="63">
        <v>-539715987.61000001</v>
      </c>
      <c r="G144" s="85">
        <v>17263330.870000001</v>
      </c>
      <c r="H144" s="31">
        <f t="shared" si="76"/>
        <v>-377365444.34000003</v>
      </c>
      <c r="I144" s="17">
        <v>8321415006.2600002</v>
      </c>
      <c r="J144" s="32">
        <f t="shared" si="77"/>
        <v>0.16538315599881431</v>
      </c>
      <c r="K144" s="36">
        <v>8031548860.1400003</v>
      </c>
      <c r="L144" s="32">
        <f t="shared" si="83"/>
        <v>0.1686127333415964</v>
      </c>
      <c r="M144" s="32">
        <f t="shared" si="84"/>
        <v>-3.4833756747132613E-2</v>
      </c>
      <c r="N144" s="54">
        <f t="shared" si="85"/>
        <v>2.1494398117499693E-3</v>
      </c>
      <c r="O144" s="34">
        <f t="shared" si="86"/>
        <v>-4.6985388610761944E-2</v>
      </c>
      <c r="P144" s="35">
        <f t="shared" si="87"/>
        <v>294.47296004295913</v>
      </c>
      <c r="Q144" s="35">
        <f t="shared" si="88"/>
        <v>-13.835926462979808</v>
      </c>
      <c r="R144" s="36">
        <v>294.47000000000003</v>
      </c>
      <c r="S144" s="36">
        <v>296.43</v>
      </c>
      <c r="T144" s="36">
        <v>5498</v>
      </c>
      <c r="U144" s="36">
        <v>27275984</v>
      </c>
      <c r="V144" s="36">
        <v>27274317</v>
      </c>
    </row>
    <row r="145" spans="1:22" ht="14.25" customHeight="1">
      <c r="A145" s="30">
        <v>123</v>
      </c>
      <c r="B145" s="68" t="s">
        <v>176</v>
      </c>
      <c r="C145" s="28" t="s">
        <v>77</v>
      </c>
      <c r="D145" s="63">
        <v>2663611574.96</v>
      </c>
      <c r="E145" s="63">
        <v>25449093.800000001</v>
      </c>
      <c r="F145" s="63">
        <v>-7520211</v>
      </c>
      <c r="G145" s="36">
        <v>8104452.54</v>
      </c>
      <c r="H145" s="31">
        <f t="shared" si="76"/>
        <v>9824430.2600000016</v>
      </c>
      <c r="I145" s="17">
        <v>2770919459.29</v>
      </c>
      <c r="J145" s="32">
        <f t="shared" si="77"/>
        <v>5.5070370225636829E-2</v>
      </c>
      <c r="K145" s="36">
        <v>2643778371.2399998</v>
      </c>
      <c r="L145" s="32">
        <f t="shared" si="83"/>
        <v>5.5502955318683045E-2</v>
      </c>
      <c r="M145" s="32">
        <f t="shared" si="84"/>
        <v>-4.5884079244431698E-2</v>
      </c>
      <c r="N145" s="54">
        <f t="shared" si="85"/>
        <v>3.0654810660996536E-3</v>
      </c>
      <c r="O145" s="34">
        <f t="shared" si="86"/>
        <v>3.7160566736129594E-3</v>
      </c>
      <c r="P145" s="35">
        <f t="shared" si="87"/>
        <v>1.8737177817300958</v>
      </c>
      <c r="Q145" s="35">
        <f t="shared" si="88"/>
        <v>6.962841467265393E-3</v>
      </c>
      <c r="R145" s="36">
        <v>1.8244</v>
      </c>
      <c r="S145" s="36">
        <v>1.8535999999999999</v>
      </c>
      <c r="T145" s="36">
        <v>10305</v>
      </c>
      <c r="U145" s="36">
        <v>1415488711.3699999</v>
      </c>
      <c r="V145" s="36">
        <f>(U145+550000)-5058681.71</f>
        <v>1410980029.6599998</v>
      </c>
    </row>
    <row r="146" spans="1:22" ht="14.25">
      <c r="A146" s="30">
        <v>124</v>
      </c>
      <c r="B146" s="28" t="s">
        <v>177</v>
      </c>
      <c r="C146" s="37" t="s">
        <v>79</v>
      </c>
      <c r="D146" s="36">
        <v>152977013.56999999</v>
      </c>
      <c r="E146" s="63">
        <v>3714229.94</v>
      </c>
      <c r="F146" s="63"/>
      <c r="G146" s="36">
        <v>428236.04</v>
      </c>
      <c r="H146" s="31">
        <f t="shared" si="76"/>
        <v>3285993.9</v>
      </c>
      <c r="I146" s="17">
        <v>210084413.56</v>
      </c>
      <c r="J146" s="32">
        <f t="shared" si="77"/>
        <v>4.1753023151201458E-3</v>
      </c>
      <c r="K146" s="36">
        <v>185349195.21000001</v>
      </c>
      <c r="L146" s="32">
        <f t="shared" si="83"/>
        <v>3.8911840008999787E-3</v>
      </c>
      <c r="M146" s="32">
        <f t="shared" si="84"/>
        <v>-0.1177394264088784</v>
      </c>
      <c r="N146" s="54">
        <f t="shared" si="85"/>
        <v>2.3104283755578763E-3</v>
      </c>
      <c r="O146" s="34">
        <f t="shared" si="86"/>
        <v>1.7728665594026347E-2</v>
      </c>
      <c r="P146" s="35">
        <f t="shared" si="87"/>
        <v>241.16579284076818</v>
      </c>
      <c r="Q146" s="35">
        <f t="shared" si="88"/>
        <v>4.2755476939922117</v>
      </c>
      <c r="R146" s="36">
        <v>243.04</v>
      </c>
      <c r="S146" s="36">
        <v>243.65</v>
      </c>
      <c r="T146" s="36">
        <v>39</v>
      </c>
      <c r="U146" s="31">
        <v>768555.08</v>
      </c>
      <c r="V146" s="31">
        <v>768555.08</v>
      </c>
    </row>
    <row r="147" spans="1:22" ht="14.25">
      <c r="A147" s="30">
        <v>125</v>
      </c>
      <c r="B147" s="37" t="s">
        <v>178</v>
      </c>
      <c r="C147" s="37" t="s">
        <v>34</v>
      </c>
      <c r="D147" s="64">
        <v>2492828903.8200002</v>
      </c>
      <c r="E147" s="64">
        <v>23959616.449999999</v>
      </c>
      <c r="F147" s="64">
        <v>89162532.650000006</v>
      </c>
      <c r="G147" s="64">
        <v>5890497.1900000004</v>
      </c>
      <c r="H147" s="31">
        <f t="shared" si="76"/>
        <v>107231651.91000001</v>
      </c>
      <c r="I147" s="17">
        <v>2630713636.0999999</v>
      </c>
      <c r="J147" s="32">
        <f t="shared" si="77"/>
        <v>5.2283863181927265E-2</v>
      </c>
      <c r="K147" s="64">
        <v>2435530090.9499998</v>
      </c>
      <c r="L147" s="32">
        <f t="shared" si="83"/>
        <v>5.1131032497214741E-2</v>
      </c>
      <c r="M147" s="32">
        <f t="shared" si="84"/>
        <v>-7.4194143547815894E-2</v>
      </c>
      <c r="N147" s="54">
        <f t="shared" si="85"/>
        <v>2.4185688412916963E-3</v>
      </c>
      <c r="O147" s="34">
        <f t="shared" si="86"/>
        <v>4.4028054635191702E-2</v>
      </c>
      <c r="P147" s="35">
        <f t="shared" si="87"/>
        <v>3.406000210246837</v>
      </c>
      <c r="Q147" s="35">
        <f t="shared" si="88"/>
        <v>0.14995956334422217</v>
      </c>
      <c r="R147" s="36">
        <v>3.39</v>
      </c>
      <c r="S147" s="36">
        <v>3.44</v>
      </c>
      <c r="T147" s="36">
        <v>2570</v>
      </c>
      <c r="U147" s="64">
        <v>714779628.35000002</v>
      </c>
      <c r="V147" s="64">
        <v>715070446.45000005</v>
      </c>
    </row>
    <row r="148" spans="1:22" ht="14.25">
      <c r="A148" s="30">
        <v>126</v>
      </c>
      <c r="B148" s="37" t="s">
        <v>179</v>
      </c>
      <c r="C148" s="37" t="s">
        <v>118</v>
      </c>
      <c r="D148" s="63">
        <v>214813061.28</v>
      </c>
      <c r="E148" s="63">
        <v>1703425.2</v>
      </c>
      <c r="F148" s="63">
        <v>10629211</v>
      </c>
      <c r="G148" s="97">
        <v>1279578.6499999999</v>
      </c>
      <c r="H148" s="31">
        <f t="shared" si="76"/>
        <v>11053057.549999999</v>
      </c>
      <c r="I148" s="17">
        <v>219321789.62</v>
      </c>
      <c r="J148" s="32">
        <f t="shared" si="77"/>
        <v>4.3588896503030964E-3</v>
      </c>
      <c r="K148" s="36">
        <v>210843136.75999999</v>
      </c>
      <c r="L148" s="32">
        <f t="shared" si="83"/>
        <v>4.4263987201591803E-3</v>
      </c>
      <c r="M148" s="32">
        <f t="shared" si="84"/>
        <v>-3.8658506638534394E-2</v>
      </c>
      <c r="N148" s="54">
        <f t="shared" si="85"/>
        <v>6.0688655540945009E-3</v>
      </c>
      <c r="O148" s="34">
        <f t="shared" si="86"/>
        <v>5.2423131811881317E-2</v>
      </c>
      <c r="P148" s="35">
        <f t="shared" si="87"/>
        <v>181.69792318244262</v>
      </c>
      <c r="Q148" s="35">
        <f t="shared" si="88"/>
        <v>9.5251741769382754</v>
      </c>
      <c r="R148" s="36">
        <v>183.64429999999999</v>
      </c>
      <c r="S148" s="36">
        <v>187.10390000000001</v>
      </c>
      <c r="T148" s="36">
        <v>139</v>
      </c>
      <c r="U148" s="98">
        <v>1043613.58</v>
      </c>
      <c r="V148" s="99">
        <v>1160404.77</v>
      </c>
    </row>
    <row r="149" spans="1:22" ht="14.25">
      <c r="A149" s="30">
        <v>127</v>
      </c>
      <c r="B149" s="28" t="s">
        <v>180</v>
      </c>
      <c r="C149" s="37" t="s">
        <v>30</v>
      </c>
      <c r="D149" s="63">
        <v>1657778929.1199999</v>
      </c>
      <c r="E149" s="61">
        <v>18190805.399999999</v>
      </c>
      <c r="F149" s="61">
        <v>-18328966.600000001</v>
      </c>
      <c r="G149" s="36">
        <v>3462627.3</v>
      </c>
      <c r="H149" s="31">
        <f t="shared" si="76"/>
        <v>-3600788.5000000028</v>
      </c>
      <c r="I149" s="17">
        <v>1741661751.78</v>
      </c>
      <c r="J149" s="32">
        <f t="shared" si="77"/>
        <v>3.4614487677289647E-2</v>
      </c>
      <c r="K149" s="64">
        <v>1630837318.4300001</v>
      </c>
      <c r="L149" s="32">
        <f t="shared" si="83"/>
        <v>3.4237473080773677E-2</v>
      </c>
      <c r="M149" s="32">
        <f t="shared" si="84"/>
        <v>-6.3631433162458756E-2</v>
      </c>
      <c r="N149" s="54">
        <f t="shared" si="85"/>
        <v>2.1232205449734595E-3</v>
      </c>
      <c r="O149" s="34">
        <f t="shared" si="86"/>
        <v>-2.2079384984067365E-3</v>
      </c>
      <c r="P149" s="35">
        <f t="shared" si="87"/>
        <v>2186.2555378108455</v>
      </c>
      <c r="Q149" s="35">
        <f t="shared" si="88"/>
        <v>-4.8271177692874891</v>
      </c>
      <c r="R149" s="36">
        <v>552.22</v>
      </c>
      <c r="S149" s="36">
        <v>552.22</v>
      </c>
      <c r="T149" s="36">
        <v>830</v>
      </c>
      <c r="U149" s="61">
        <v>745950</v>
      </c>
      <c r="V149" s="36">
        <v>745950</v>
      </c>
    </row>
    <row r="150" spans="1:22" ht="14.25">
      <c r="A150" s="30">
        <v>128</v>
      </c>
      <c r="B150" s="28" t="s">
        <v>181</v>
      </c>
      <c r="C150" s="37" t="s">
        <v>86</v>
      </c>
      <c r="D150" s="64">
        <v>12050600.529999999</v>
      </c>
      <c r="E150" s="63">
        <v>102236.09</v>
      </c>
      <c r="F150" s="63">
        <v>-2965147.5</v>
      </c>
      <c r="G150" s="36">
        <v>19915.12</v>
      </c>
      <c r="H150" s="31">
        <f t="shared" si="76"/>
        <v>-2882826.5300000003</v>
      </c>
      <c r="I150" s="17">
        <v>27069558.600000001</v>
      </c>
      <c r="J150" s="32">
        <f t="shared" si="77"/>
        <v>5.379913187114235E-4</v>
      </c>
      <c r="K150" s="36">
        <v>24073412.34</v>
      </c>
      <c r="L150" s="32">
        <f t="shared" si="83"/>
        <v>5.0539241262064134E-4</v>
      </c>
      <c r="M150" s="32">
        <f t="shared" si="84"/>
        <v>-0.11068323293605539</v>
      </c>
      <c r="N150" s="54">
        <f t="shared" si="85"/>
        <v>8.2726618556312238E-4</v>
      </c>
      <c r="O150" s="34">
        <f t="shared" si="86"/>
        <v>-0.11975147059687677</v>
      </c>
      <c r="P150" s="35">
        <f t="shared" si="87"/>
        <v>1.5395113954375679</v>
      </c>
      <c r="Q150" s="35">
        <f t="shared" si="88"/>
        <v>-0.18435875360429863</v>
      </c>
      <c r="R150" s="36">
        <v>1.54</v>
      </c>
      <c r="S150" s="36">
        <v>1.54</v>
      </c>
      <c r="T150" s="36">
        <v>7</v>
      </c>
      <c r="U150" s="64">
        <v>15728104.289999999</v>
      </c>
      <c r="V150" s="64">
        <v>15637047.189999999</v>
      </c>
    </row>
    <row r="151" spans="1:22" ht="14.25">
      <c r="A151" s="30">
        <v>129</v>
      </c>
      <c r="B151" s="37" t="s">
        <v>182</v>
      </c>
      <c r="C151" s="37" t="s">
        <v>40</v>
      </c>
      <c r="D151" s="63">
        <v>232076413.68000001</v>
      </c>
      <c r="E151" s="63">
        <v>2017557.38</v>
      </c>
      <c r="F151" s="63">
        <v>71945458.980000004</v>
      </c>
      <c r="G151" s="46">
        <v>379568.6</v>
      </c>
      <c r="H151" s="31">
        <f t="shared" si="76"/>
        <v>73583447.760000005</v>
      </c>
      <c r="I151" s="17">
        <v>322709014.91000003</v>
      </c>
      <c r="J151" s="32">
        <f t="shared" si="77"/>
        <v>6.4136490386472473E-3</v>
      </c>
      <c r="K151" s="36">
        <v>236679508.91999999</v>
      </c>
      <c r="L151" s="32">
        <f t="shared" si="83"/>
        <v>4.9688023592814592E-3</v>
      </c>
      <c r="M151" s="32">
        <f t="shared" si="84"/>
        <v>-0.26658538192368975</v>
      </c>
      <c r="N151" s="54">
        <f t="shared" si="85"/>
        <v>1.6037239629743271E-3</v>
      </c>
      <c r="O151" s="34">
        <f t="shared" si="86"/>
        <v>0.31089910611937233</v>
      </c>
      <c r="P151" s="35">
        <f t="shared" si="87"/>
        <v>2.3995188417412137</v>
      </c>
      <c r="Q151" s="35">
        <f t="shared" si="88"/>
        <v>0.74600826301393497</v>
      </c>
      <c r="R151" s="36">
        <v>2.2200000000000002</v>
      </c>
      <c r="S151" s="36">
        <v>2.27</v>
      </c>
      <c r="T151" s="36">
        <v>119</v>
      </c>
      <c r="U151" s="36">
        <v>102542648.90000001</v>
      </c>
      <c r="V151" s="36">
        <v>98636236.900000006</v>
      </c>
    </row>
    <row r="152" spans="1:22" ht="14.25">
      <c r="A152" s="30">
        <v>130</v>
      </c>
      <c r="B152" s="28" t="s">
        <v>183</v>
      </c>
      <c r="C152" s="28" t="s">
        <v>44</v>
      </c>
      <c r="D152" s="64">
        <v>2616247988.6900001</v>
      </c>
      <c r="E152" s="64">
        <v>90376101.879999995</v>
      </c>
      <c r="F152" s="64">
        <v>-321502612.27999997</v>
      </c>
      <c r="G152" s="64">
        <v>6575048.1100000003</v>
      </c>
      <c r="H152" s="31">
        <f t="shared" si="76"/>
        <v>-237701558.50999999</v>
      </c>
      <c r="I152" s="17">
        <v>2958802094.98</v>
      </c>
      <c r="J152" s="32">
        <f t="shared" si="77"/>
        <v>5.880442545836017E-2</v>
      </c>
      <c r="K152" s="64">
        <v>2609090137.75</v>
      </c>
      <c r="L152" s="32">
        <f t="shared" si="83"/>
        <v>5.4774717469995113E-2</v>
      </c>
      <c r="M152" s="32">
        <f t="shared" si="84"/>
        <v>-0.11819376423429358</v>
      </c>
      <c r="N152" s="54">
        <f t="shared" si="85"/>
        <v>2.5200540275968088E-3</v>
      </c>
      <c r="O152" s="34">
        <f t="shared" si="86"/>
        <v>-9.1105153889005377E-2</v>
      </c>
      <c r="P152" s="35">
        <f t="shared" si="87"/>
        <v>5144.1385291123042</v>
      </c>
      <c r="Q152" s="35">
        <f t="shared" si="88"/>
        <v>-468.65753232113826</v>
      </c>
      <c r="R152" s="64">
        <v>5114.71</v>
      </c>
      <c r="S152" s="64">
        <v>5164.3100000000004</v>
      </c>
      <c r="T152" s="64">
        <v>2243</v>
      </c>
      <c r="U152" s="64">
        <v>529665.61</v>
      </c>
      <c r="V152" s="64">
        <v>507196.71</v>
      </c>
    </row>
    <row r="153" spans="1:22" ht="14.25">
      <c r="A153" s="30">
        <v>131</v>
      </c>
      <c r="B153" s="57" t="s">
        <v>216</v>
      </c>
      <c r="C153" s="57" t="s">
        <v>217</v>
      </c>
      <c r="D153" s="17">
        <v>638001220.09000003</v>
      </c>
      <c r="E153" s="17">
        <v>7962385.3099999996</v>
      </c>
      <c r="F153" s="16">
        <v>0</v>
      </c>
      <c r="G153" s="17">
        <v>712949.82</v>
      </c>
      <c r="H153" s="31">
        <f t="shared" si="76"/>
        <v>7249435.4899999993</v>
      </c>
      <c r="I153" s="17">
        <v>626855077.79999995</v>
      </c>
      <c r="J153" s="32">
        <f t="shared" si="77"/>
        <v>1.2458370486564709E-2</v>
      </c>
      <c r="K153" s="17">
        <v>634817463.11000001</v>
      </c>
      <c r="L153" s="32">
        <f t="shared" si="83"/>
        <v>1.3327231084800913E-2</v>
      </c>
      <c r="M153" s="32">
        <f t="shared" si="84"/>
        <v>1.2702115037409789E-2</v>
      </c>
      <c r="N153" s="54">
        <f t="shared" si="85"/>
        <v>1.1230784618104642E-3</v>
      </c>
      <c r="O153" s="34">
        <f t="shared" si="86"/>
        <v>1.1419716550462681E-2</v>
      </c>
      <c r="P153" s="35">
        <f t="shared" si="87"/>
        <v>1.219176809285387</v>
      </c>
      <c r="Q153" s="35">
        <f t="shared" si="88"/>
        <v>1.3922653586936616E-2</v>
      </c>
      <c r="R153" s="17">
        <v>1.2190000000000001</v>
      </c>
      <c r="S153" s="17">
        <v>1.2190000000000001</v>
      </c>
      <c r="T153" s="17">
        <v>32</v>
      </c>
      <c r="U153" s="17">
        <v>520693519</v>
      </c>
      <c r="V153" s="17">
        <v>520693519</v>
      </c>
    </row>
    <row r="154" spans="1:22" ht="14.25">
      <c r="A154" s="30">
        <v>132</v>
      </c>
      <c r="B154" s="28" t="s">
        <v>184</v>
      </c>
      <c r="C154" s="28" t="s">
        <v>48</v>
      </c>
      <c r="D154" s="63">
        <v>1176974295</v>
      </c>
      <c r="E154" s="63">
        <v>17764170</v>
      </c>
      <c r="F154" s="63">
        <v>-120551148</v>
      </c>
      <c r="G154" s="63">
        <v>2884959</v>
      </c>
      <c r="H154" s="31">
        <f t="shared" si="76"/>
        <v>-105671937</v>
      </c>
      <c r="I154" s="17">
        <v>1822186265.0699999</v>
      </c>
      <c r="J154" s="32">
        <f t="shared" si="77"/>
        <v>3.621486431193055E-2</v>
      </c>
      <c r="K154" s="36">
        <v>1665274413.8399999</v>
      </c>
      <c r="L154" s="32">
        <f t="shared" si="83"/>
        <v>3.4960438586747598E-2</v>
      </c>
      <c r="M154" s="32">
        <f t="shared" si="84"/>
        <v>-8.6111861469865811E-2</v>
      </c>
      <c r="N154" s="54">
        <f t="shared" si="85"/>
        <v>1.7324225821421812E-3</v>
      </c>
      <c r="O154" s="34">
        <f t="shared" si="86"/>
        <v>-6.3456170419581667E-2</v>
      </c>
      <c r="P154" s="35">
        <f t="shared" si="87"/>
        <v>1.8601918986154837</v>
      </c>
      <c r="Q154" s="35">
        <f t="shared" si="88"/>
        <v>-0.11804065413166932</v>
      </c>
      <c r="R154" s="36">
        <v>1.86</v>
      </c>
      <c r="S154" s="36">
        <v>1.84</v>
      </c>
      <c r="T154" s="36">
        <v>1405</v>
      </c>
      <c r="U154" s="36">
        <v>911791763</v>
      </c>
      <c r="V154" s="36">
        <v>895216464</v>
      </c>
    </row>
    <row r="155" spans="1:22" ht="14.25">
      <c r="A155" s="30">
        <v>133</v>
      </c>
      <c r="B155" s="47" t="s">
        <v>185</v>
      </c>
      <c r="C155" s="28" t="s">
        <v>93</v>
      </c>
      <c r="D155" s="81">
        <v>6675313582.71</v>
      </c>
      <c r="E155" s="61">
        <v>69741838.769999996</v>
      </c>
      <c r="F155" s="61">
        <v>-528780665.37</v>
      </c>
      <c r="G155" s="61">
        <v>11031854.57</v>
      </c>
      <c r="H155" s="31">
        <f t="shared" si="76"/>
        <v>-470070681.17000002</v>
      </c>
      <c r="I155" s="29">
        <v>8814968037.0100002</v>
      </c>
      <c r="J155" s="32">
        <f t="shared" si="77"/>
        <v>0.17519222787142372</v>
      </c>
      <c r="K155" s="61">
        <v>8344897355.8400002</v>
      </c>
      <c r="L155" s="32">
        <f t="shared" si="83"/>
        <v>0.17519110910304742</v>
      </c>
      <c r="M155" s="32">
        <f t="shared" si="84"/>
        <v>-5.3326419244674433E-2</v>
      </c>
      <c r="N155" s="54">
        <f t="shared" si="85"/>
        <v>1.3219880484544953E-3</v>
      </c>
      <c r="O155" s="34">
        <f t="shared" si="86"/>
        <v>-5.6330313139325912E-2</v>
      </c>
      <c r="P155" s="35">
        <f t="shared" si="87"/>
        <v>411.4707264505231</v>
      </c>
      <c r="Q155" s="35">
        <f t="shared" si="88"/>
        <v>-23.178274868623877</v>
      </c>
      <c r="R155" s="36">
        <v>408.65</v>
      </c>
      <c r="S155" s="36">
        <v>412.66</v>
      </c>
      <c r="T155" s="36">
        <v>29</v>
      </c>
      <c r="U155" s="61">
        <v>20280658.670000002</v>
      </c>
      <c r="V155" s="61">
        <v>20280658.670000002</v>
      </c>
    </row>
    <row r="156" spans="1:22" ht="14.25">
      <c r="A156" s="30">
        <v>134</v>
      </c>
      <c r="B156" s="28" t="s">
        <v>186</v>
      </c>
      <c r="C156" s="28" t="s">
        <v>48</v>
      </c>
      <c r="D156" s="61">
        <v>451524304.48000002</v>
      </c>
      <c r="E156" s="61">
        <v>8295405.6900000004</v>
      </c>
      <c r="F156" s="61">
        <v>-53604016.5</v>
      </c>
      <c r="G156" s="81">
        <v>1744655</v>
      </c>
      <c r="H156" s="31">
        <f t="shared" si="76"/>
        <v>-47053265.810000002</v>
      </c>
      <c r="I156" s="29">
        <v>1061699896</v>
      </c>
      <c r="J156" s="32">
        <f t="shared" si="77"/>
        <v>2.1100651679071748E-2</v>
      </c>
      <c r="K156" s="61">
        <v>1014557371</v>
      </c>
      <c r="L156" s="32">
        <f t="shared" si="83"/>
        <v>2.1299414899306503E-2</v>
      </c>
      <c r="M156" s="32">
        <f t="shared" si="84"/>
        <v>-4.4402872391352294E-2</v>
      </c>
      <c r="N156" s="54">
        <f t="shared" si="85"/>
        <v>1.7196218270834483E-3</v>
      </c>
      <c r="O156" s="34">
        <f t="shared" si="86"/>
        <v>-4.6378122277719869E-2</v>
      </c>
      <c r="P156" s="35">
        <f t="shared" si="87"/>
        <v>1.5704453623761139</v>
      </c>
      <c r="Q156" s="35">
        <f t="shared" si="88"/>
        <v>-7.2834307046757502E-2</v>
      </c>
      <c r="R156" s="36">
        <v>1.57</v>
      </c>
      <c r="S156" s="36">
        <v>1.59</v>
      </c>
      <c r="T156" s="36">
        <v>218</v>
      </c>
      <c r="U156" s="36">
        <v>648905247</v>
      </c>
      <c r="V156" s="36">
        <v>646031626</v>
      </c>
    </row>
    <row r="157" spans="1:22" ht="14.25">
      <c r="A157" s="30">
        <v>135</v>
      </c>
      <c r="B157" s="28" t="s">
        <v>187</v>
      </c>
      <c r="C157" s="28" t="s">
        <v>42</v>
      </c>
      <c r="D157" s="63">
        <v>418814347.79000002</v>
      </c>
      <c r="E157" s="63">
        <v>6867831.5999999996</v>
      </c>
      <c r="F157" s="63">
        <v>29479551.5</v>
      </c>
      <c r="G157" s="36">
        <v>758130.12</v>
      </c>
      <c r="H157" s="31">
        <f t="shared" si="76"/>
        <v>35589252.980000004</v>
      </c>
      <c r="I157" s="17">
        <v>382626922.37</v>
      </c>
      <c r="J157" s="32">
        <f t="shared" si="77"/>
        <v>7.6044816829901963E-3</v>
      </c>
      <c r="K157" s="36">
        <v>417633887.69999999</v>
      </c>
      <c r="L157" s="32">
        <f t="shared" si="83"/>
        <v>8.7677224614365144E-3</v>
      </c>
      <c r="M157" s="32">
        <f t="shared" si="84"/>
        <v>9.1491119111969513E-2</v>
      </c>
      <c r="N157" s="54">
        <f t="shared" si="85"/>
        <v>1.8152983805389603E-3</v>
      </c>
      <c r="O157" s="34">
        <f t="shared" si="86"/>
        <v>8.5216391744448006E-2</v>
      </c>
      <c r="P157" s="35">
        <f t="shared" si="87"/>
        <v>218.6227193705684</v>
      </c>
      <c r="Q157" s="35">
        <f t="shared" si="88"/>
        <v>18.63023929811888</v>
      </c>
      <c r="R157" s="36">
        <v>218.62</v>
      </c>
      <c r="S157" s="36">
        <v>219.24</v>
      </c>
      <c r="T157" s="36">
        <v>747</v>
      </c>
      <c r="U157" s="36">
        <v>1647321</v>
      </c>
      <c r="V157" s="36">
        <v>1910295</v>
      </c>
    </row>
    <row r="158" spans="1:22" ht="14.25">
      <c r="A158" s="30">
        <v>136</v>
      </c>
      <c r="B158" s="28" t="s">
        <v>188</v>
      </c>
      <c r="C158" s="28" t="s">
        <v>97</v>
      </c>
      <c r="D158" s="36">
        <v>3293099245.5700002</v>
      </c>
      <c r="E158" s="61">
        <v>18078044.469999999</v>
      </c>
      <c r="F158" s="61">
        <v>-369797163.10000002</v>
      </c>
      <c r="G158" s="81">
        <v>26584731.760000002</v>
      </c>
      <c r="H158" s="31">
        <f t="shared" si="76"/>
        <v>-378303850.38999999</v>
      </c>
      <c r="I158" s="17">
        <v>3583218871.5300002</v>
      </c>
      <c r="J158" s="32">
        <f t="shared" si="77"/>
        <v>7.1214336163061165E-2</v>
      </c>
      <c r="K158" s="64">
        <v>3268899020.7399998</v>
      </c>
      <c r="L158" s="32">
        <f t="shared" si="83"/>
        <v>6.8626613434439279E-2</v>
      </c>
      <c r="M158" s="32">
        <f t="shared" si="84"/>
        <v>-8.7719969686302995E-2</v>
      </c>
      <c r="N158" s="54">
        <f t="shared" si="85"/>
        <v>8.1326255694438247E-3</v>
      </c>
      <c r="O158" s="34">
        <f t="shared" si="86"/>
        <v>-0.115728215521433</v>
      </c>
      <c r="P158" s="35">
        <f t="shared" si="87"/>
        <v>18.436008668117228</v>
      </c>
      <c r="Q158" s="35">
        <f t="shared" si="88"/>
        <v>-2.1335663844988777</v>
      </c>
      <c r="R158" s="61">
        <v>18.436</v>
      </c>
      <c r="S158" s="61">
        <v>18.639299999999999</v>
      </c>
      <c r="T158" s="61">
        <v>6252</v>
      </c>
      <c r="U158" s="81">
        <v>177502675.94</v>
      </c>
      <c r="V158" s="81">
        <v>177310559.97999999</v>
      </c>
    </row>
    <row r="159" spans="1:22" ht="15" customHeight="1">
      <c r="A159" s="139" t="s">
        <v>49</v>
      </c>
      <c r="B159" s="139"/>
      <c r="C159" s="139"/>
      <c r="D159" s="139"/>
      <c r="E159" s="139"/>
      <c r="F159" s="139"/>
      <c r="G159" s="139"/>
      <c r="H159" s="139"/>
      <c r="I159" s="48">
        <f>SUM(I133:I158)</f>
        <v>50315976593.890007</v>
      </c>
      <c r="J159" s="40">
        <f>(I159/$I$185)</f>
        <v>1.8989788986884158E-2</v>
      </c>
      <c r="K159" s="48">
        <f>SUM(K133:K158)</f>
        <v>47633109913.879997</v>
      </c>
      <c r="L159" s="40">
        <f>(K159/$K$185)</f>
        <v>1.7751056921329909E-2</v>
      </c>
      <c r="M159" s="49">
        <f t="shared" si="78"/>
        <v>-5.332037379824596E-2</v>
      </c>
      <c r="N159" s="50"/>
      <c r="O159" s="51"/>
      <c r="P159" s="59"/>
      <c r="Q159" s="59"/>
      <c r="R159" s="53"/>
      <c r="S159" s="53"/>
      <c r="T159" s="53">
        <f>SUM(T133:T158)</f>
        <v>68860</v>
      </c>
      <c r="U159" s="53"/>
      <c r="V159" s="62"/>
    </row>
    <row r="160" spans="1:22" ht="6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2">
      <c r="A161" s="146" t="s">
        <v>189</v>
      </c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ht="14.25">
      <c r="A162" s="119">
        <v>137</v>
      </c>
      <c r="B162" s="17" t="s">
        <v>190</v>
      </c>
      <c r="C162" s="17" t="s">
        <v>24</v>
      </c>
      <c r="D162" s="36">
        <v>673624983.37</v>
      </c>
      <c r="E162" s="36">
        <v>12671495.66</v>
      </c>
      <c r="F162" s="36">
        <v>-19717202.800000001</v>
      </c>
      <c r="G162" s="36">
        <v>2069176.14</v>
      </c>
      <c r="H162" s="31">
        <f t="shared" ref="H162:H164" si="90">(E162+F162)-G162</f>
        <v>-9114883.2800000012</v>
      </c>
      <c r="I162" s="17">
        <v>1013347171</v>
      </c>
      <c r="J162" s="32">
        <f>(I162/$I$165)</f>
        <v>0.19438778212378316</v>
      </c>
      <c r="K162" s="36">
        <v>917667510</v>
      </c>
      <c r="L162" s="32">
        <f>(K162/$K$165)</f>
        <v>0.19777958668279425</v>
      </c>
      <c r="M162" s="32">
        <f t="shared" ref="M162:M165" si="91">((K162-I162)/I162)</f>
        <v>-9.4419428738899594E-2</v>
      </c>
      <c r="N162" s="54">
        <f t="shared" ref="N162" si="92">(G162/K162)</f>
        <v>2.2548211824563779E-3</v>
      </c>
      <c r="O162" s="34">
        <f t="shared" ref="O162" si="93">H162/K162</f>
        <v>-9.9326642609369499E-3</v>
      </c>
      <c r="P162" s="35">
        <f t="shared" ref="P162" si="94">K162/V162</f>
        <v>63.808989160153715</v>
      </c>
      <c r="Q162" s="35">
        <f t="shared" ref="Q162" si="95">H162/V162</f>
        <v>-0.63379326615757203</v>
      </c>
      <c r="R162" s="36">
        <v>63.49</v>
      </c>
      <c r="S162" s="36">
        <v>65.404200000000003</v>
      </c>
      <c r="T162" s="36">
        <v>1536</v>
      </c>
      <c r="U162" s="36">
        <v>15736694</v>
      </c>
      <c r="V162" s="36">
        <v>14381477</v>
      </c>
    </row>
    <row r="163" spans="1:22" ht="14.25">
      <c r="A163" s="119">
        <v>138</v>
      </c>
      <c r="B163" s="17" t="s">
        <v>191</v>
      </c>
      <c r="C163" s="65" t="s">
        <v>44</v>
      </c>
      <c r="D163" s="64">
        <v>2986676934.1100001</v>
      </c>
      <c r="E163" s="25">
        <v>106365868.93000001</v>
      </c>
      <c r="F163" s="25">
        <v>-452527035.75</v>
      </c>
      <c r="G163" s="81">
        <v>10937915.970000001</v>
      </c>
      <c r="H163" s="31">
        <f t="shared" si="90"/>
        <v>-357099082.79000002</v>
      </c>
      <c r="I163" s="17">
        <v>3401596714.4200001</v>
      </c>
      <c r="J163" s="32">
        <f t="shared" ref="J163:J164" si="96">(I163/$I$165)</f>
        <v>0.65251955096803793</v>
      </c>
      <c r="K163" s="64">
        <v>2974874219.3000002</v>
      </c>
      <c r="L163" s="32">
        <f t="shared" ref="L163:L164" si="97">(K163/$K$165)</f>
        <v>0.64115748581580956</v>
      </c>
      <c r="M163" s="32">
        <f t="shared" si="91"/>
        <v>-0.12544770322450161</v>
      </c>
      <c r="N163" s="54">
        <f t="shared" ref="N163:N164" si="98">(G163/K163)</f>
        <v>3.6767658609020907E-3</v>
      </c>
      <c r="O163" s="34">
        <f t="shared" ref="O163:O164" si="99">H163/K163</f>
        <v>-0.12003838026941081</v>
      </c>
      <c r="P163" s="35">
        <f t="shared" ref="P163:P164" si="100">K163/V163</f>
        <v>2.1597678725035503</v>
      </c>
      <c r="Q163" s="35">
        <f t="shared" ref="Q163:Q164" si="101">H163/V163</f>
        <v>-0.25925503717323756</v>
      </c>
      <c r="R163" s="36">
        <v>2.14</v>
      </c>
      <c r="S163" s="36">
        <v>2.17</v>
      </c>
      <c r="T163" s="36">
        <v>10065</v>
      </c>
      <c r="U163" s="64">
        <v>1404683631.3699999</v>
      </c>
      <c r="V163" s="64">
        <v>1377404607.77</v>
      </c>
    </row>
    <row r="164" spans="1:22" ht="14.25">
      <c r="A164" s="119">
        <v>139</v>
      </c>
      <c r="B164" s="17" t="s">
        <v>192</v>
      </c>
      <c r="C164" s="65" t="s">
        <v>97</v>
      </c>
      <c r="D164" s="61">
        <v>729388664.46000004</v>
      </c>
      <c r="E164" s="61">
        <v>5163412.22</v>
      </c>
      <c r="F164" s="61">
        <v>-59692356.899999999</v>
      </c>
      <c r="G164" s="61">
        <v>5342112.96</v>
      </c>
      <c r="H164" s="31">
        <f t="shared" si="90"/>
        <v>-59871057.640000001</v>
      </c>
      <c r="I164" s="29">
        <v>798074957.26999998</v>
      </c>
      <c r="J164" s="32">
        <f t="shared" si="96"/>
        <v>0.1530926669081788</v>
      </c>
      <c r="K164" s="61">
        <v>747307738.44000006</v>
      </c>
      <c r="L164" s="32">
        <f t="shared" si="97"/>
        <v>0.16106292750139636</v>
      </c>
      <c r="M164" s="32">
        <f t="shared" si="91"/>
        <v>-6.3612093535250047E-2</v>
      </c>
      <c r="N164" s="54">
        <f t="shared" si="98"/>
        <v>7.1484780435321403E-3</v>
      </c>
      <c r="O164" s="34">
        <f t="shared" si="99"/>
        <v>-8.0115666626148468E-2</v>
      </c>
      <c r="P164" s="35">
        <f t="shared" si="100"/>
        <v>21.248421662158229</v>
      </c>
      <c r="Q164" s="35">
        <f t="shared" si="101"/>
        <v>-1.7023314662173004</v>
      </c>
      <c r="R164" s="61">
        <v>21.2484</v>
      </c>
      <c r="S164" s="61">
        <v>21.411999999999999</v>
      </c>
      <c r="T164" s="61">
        <v>1498</v>
      </c>
      <c r="U164" s="61">
        <v>35190192.619999997</v>
      </c>
      <c r="V164" s="61">
        <v>35170035.229999997</v>
      </c>
    </row>
    <row r="165" spans="1:22" ht="15" customHeight="1">
      <c r="A165" s="150" t="s">
        <v>49</v>
      </c>
      <c r="B165" s="150"/>
      <c r="C165" s="150"/>
      <c r="D165" s="150"/>
      <c r="E165" s="150"/>
      <c r="F165" s="150"/>
      <c r="G165" s="150"/>
      <c r="H165" s="150"/>
      <c r="I165" s="53">
        <f>SUM(I162:I164)</f>
        <v>5213018842.6900005</v>
      </c>
      <c r="J165" s="40">
        <f>(I165/$I$185)</f>
        <v>1.9674491982205763E-3</v>
      </c>
      <c r="K165" s="53">
        <f>SUM(K162:K164)</f>
        <v>4639849467.7399998</v>
      </c>
      <c r="L165" s="40">
        <f>(K165/$K$185)</f>
        <v>1.7290962558851354E-3</v>
      </c>
      <c r="M165" s="32">
        <f t="shared" si="91"/>
        <v>-0.10994960736689689</v>
      </c>
      <c r="N165" s="120"/>
      <c r="O165" s="121"/>
      <c r="P165" s="121"/>
      <c r="Q165" s="121"/>
      <c r="R165" s="53"/>
      <c r="S165" s="53"/>
      <c r="T165" s="53">
        <f>SUM(T162:T164)</f>
        <v>13099</v>
      </c>
      <c r="U165" s="53"/>
      <c r="V165" s="62"/>
    </row>
    <row r="166" spans="1:22" ht="8.1" customHeight="1">
      <c r="A166" s="148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</row>
    <row r="167" spans="1:22">
      <c r="A167" s="146" t="s">
        <v>193</v>
      </c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ht="12.95" customHeight="1">
      <c r="A168" s="153" t="s">
        <v>194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</row>
    <row r="169" spans="1:22" ht="15" customHeight="1">
      <c r="A169" s="30">
        <v>140</v>
      </c>
      <c r="B169" s="37" t="s">
        <v>195</v>
      </c>
      <c r="C169" s="28" t="s">
        <v>121</v>
      </c>
      <c r="D169" s="100">
        <v>4040959864.4400001</v>
      </c>
      <c r="E169" s="63">
        <v>57890267.079999998</v>
      </c>
      <c r="F169" s="63">
        <v>-13969834.9</v>
      </c>
      <c r="G169" s="85">
        <v>16648078.779999999</v>
      </c>
      <c r="H169" s="31">
        <f t="shared" ref="H169:H170" si="102">(E169+F169)-G169</f>
        <v>27272353.399999999</v>
      </c>
      <c r="I169" s="24">
        <v>4030273565.54</v>
      </c>
      <c r="J169" s="32">
        <f>(I169/$I$184)</f>
        <v>8.1642867753175849E-2</v>
      </c>
      <c r="K169" s="63">
        <v>4064600671.8499999</v>
      </c>
      <c r="L169" s="32">
        <f>(K169/$K$184)</f>
        <v>7.8535794645933549E-2</v>
      </c>
      <c r="M169" s="32">
        <f>((K169-I169)/I169)</f>
        <v>8.5173142100096102E-3</v>
      </c>
      <c r="N169" s="54">
        <f>(G169/K169)</f>
        <v>4.095870695317934E-3</v>
      </c>
      <c r="O169" s="34">
        <f>H169/K169</f>
        <v>6.709725161657026E-3</v>
      </c>
      <c r="P169" s="35">
        <f>K169/V169</f>
        <v>1.9431779743772286</v>
      </c>
      <c r="Q169" s="35">
        <f>H169/V169</f>
        <v>1.3038190148256624E-2</v>
      </c>
      <c r="R169" s="63">
        <v>1.93</v>
      </c>
      <c r="S169" s="63">
        <v>1.96</v>
      </c>
      <c r="T169" s="63">
        <v>14990</v>
      </c>
      <c r="U169" s="36">
        <v>2088177715.8099999</v>
      </c>
      <c r="V169" s="36">
        <v>2091728460</v>
      </c>
    </row>
    <row r="170" spans="1:22" ht="14.25">
      <c r="A170" s="30">
        <v>141</v>
      </c>
      <c r="B170" s="28" t="s">
        <v>196</v>
      </c>
      <c r="C170" s="28" t="s">
        <v>44</v>
      </c>
      <c r="D170" s="64">
        <v>710997653.75</v>
      </c>
      <c r="E170" s="64">
        <v>14387243.23</v>
      </c>
      <c r="F170" s="64">
        <v>-45005813.799999997</v>
      </c>
      <c r="G170" s="64">
        <v>1567996.52</v>
      </c>
      <c r="H170" s="31">
        <f t="shared" si="102"/>
        <v>-32186567.089999996</v>
      </c>
      <c r="I170" s="17">
        <v>776003168.73000002</v>
      </c>
      <c r="J170" s="32">
        <f>(I170/$I$184)</f>
        <v>1.5719807365528075E-2</v>
      </c>
      <c r="K170" s="64">
        <v>720116815.67999995</v>
      </c>
      <c r="L170" s="32">
        <f>(K170/$K$184)</f>
        <v>1.3914022784331017E-2</v>
      </c>
      <c r="M170" s="32">
        <f>((K170-I170)/I170)</f>
        <v>-7.2018202118250607E-2</v>
      </c>
      <c r="N170" s="54">
        <f>(G170/K170)</f>
        <v>2.1774196711673156E-3</v>
      </c>
      <c r="O170" s="34">
        <f>H170/K170</f>
        <v>-4.4696313694058798E-2</v>
      </c>
      <c r="P170" s="35">
        <f>K170/V170</f>
        <v>415.75312224256419</v>
      </c>
      <c r="Q170" s="35">
        <f>H170/V170</f>
        <v>-18.582631971038023</v>
      </c>
      <c r="R170" s="36">
        <v>412.6</v>
      </c>
      <c r="S170" s="36">
        <v>417.92</v>
      </c>
      <c r="T170" s="64">
        <v>822</v>
      </c>
      <c r="U170" s="64">
        <v>1787796.78</v>
      </c>
      <c r="V170" s="64">
        <v>1732077.95</v>
      </c>
    </row>
    <row r="171" spans="1:22" ht="6.95" customHeight="1">
      <c r="A171" s="148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</row>
    <row r="172" spans="1:22" ht="13.5">
      <c r="A172" s="153" t="s">
        <v>148</v>
      </c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</row>
    <row r="173" spans="1:22" ht="14.25">
      <c r="A173" s="30">
        <v>142</v>
      </c>
      <c r="B173" s="37" t="s">
        <v>197</v>
      </c>
      <c r="C173" s="28" t="s">
        <v>198</v>
      </c>
      <c r="D173" s="101">
        <v>244544116</v>
      </c>
      <c r="E173" s="36">
        <v>3418368</v>
      </c>
      <c r="F173" s="36"/>
      <c r="G173" s="31">
        <v>894094</v>
      </c>
      <c r="H173" s="31">
        <f t="shared" ref="H173:H183" si="103">(E173+F173)-G173</f>
        <v>2524274</v>
      </c>
      <c r="I173" s="17">
        <v>402264859</v>
      </c>
      <c r="J173" s="32">
        <f t="shared" ref="J173:J183" si="104">(I173/$I$184)</f>
        <v>8.1488405566053808E-3</v>
      </c>
      <c r="K173" s="36">
        <v>401269398</v>
      </c>
      <c r="L173" s="32">
        <f t="shared" ref="L173:L183" si="105">(K173/$K$184)</f>
        <v>7.7532858903656583E-3</v>
      </c>
      <c r="M173" s="32">
        <f t="shared" ref="M173:M184" si="106">((K173-I173)/I173)</f>
        <v>-2.4746407192381675E-3</v>
      </c>
      <c r="N173" s="54">
        <f t="shared" ref="N173" si="107">(G173/K173)</f>
        <v>2.2281639328997622E-3</v>
      </c>
      <c r="O173" s="34">
        <f t="shared" ref="O173" si="108">H173/K173</f>
        <v>6.2907214270050069E-3</v>
      </c>
      <c r="P173" s="35">
        <f t="shared" ref="P173" si="109">K173/V173</f>
        <v>1034.4047607386001</v>
      </c>
      <c r="Q173" s="35">
        <f t="shared" ref="Q173" si="110">H173/V173</f>
        <v>6.5071521925742992</v>
      </c>
      <c r="R173" s="36">
        <v>1034.4000000000001</v>
      </c>
      <c r="S173" s="36">
        <v>1034.4000000000001</v>
      </c>
      <c r="T173" s="46">
        <v>20</v>
      </c>
      <c r="U173" s="36">
        <v>385640</v>
      </c>
      <c r="V173" s="36">
        <v>387923</v>
      </c>
    </row>
    <row r="174" spans="1:22" ht="15" customHeight="1">
      <c r="A174" s="30">
        <v>143</v>
      </c>
      <c r="B174" s="37" t="s">
        <v>199</v>
      </c>
      <c r="C174" s="58" t="s">
        <v>62</v>
      </c>
      <c r="D174" s="36">
        <v>43507349.859999999</v>
      </c>
      <c r="E174" s="36">
        <v>1086477.06</v>
      </c>
      <c r="F174" s="36"/>
      <c r="G174" s="36">
        <v>195714.77</v>
      </c>
      <c r="H174" s="31">
        <f t="shared" si="103"/>
        <v>890762.29</v>
      </c>
      <c r="I174" s="17">
        <v>108273220.43000001</v>
      </c>
      <c r="J174" s="32">
        <f t="shared" si="104"/>
        <v>2.1933340437133696E-3</v>
      </c>
      <c r="K174" s="85">
        <v>338368185.02999997</v>
      </c>
      <c r="L174" s="32">
        <f t="shared" si="105"/>
        <v>6.5379151458286261E-3</v>
      </c>
      <c r="M174" s="32">
        <f t="shared" si="106"/>
        <v>2.1251327307545935</v>
      </c>
      <c r="N174" s="54">
        <f t="shared" ref="N174:N183" si="111">(G174/K174)</f>
        <v>5.7840771874769425E-4</v>
      </c>
      <c r="O174" s="34">
        <f t="shared" ref="O174:O183" si="112">H174/K174</f>
        <v>2.6325237696949093E-3</v>
      </c>
      <c r="P174" s="35">
        <f t="shared" ref="P174:P183" si="113">K174/V174</f>
        <v>349.42071155726791</v>
      </c>
      <c r="Q174" s="35">
        <f t="shared" ref="Q174:Q183" si="114">H174/V174</f>
        <v>0.91985832879821638</v>
      </c>
      <c r="R174" s="36">
        <v>112.64</v>
      </c>
      <c r="S174" s="36">
        <v>112.64</v>
      </c>
      <c r="T174" s="46">
        <v>70</v>
      </c>
      <c r="U174" s="36">
        <v>974994</v>
      </c>
      <c r="V174" s="36">
        <v>968369</v>
      </c>
    </row>
    <row r="175" spans="1:22" ht="15" customHeight="1">
      <c r="A175" s="30">
        <v>144</v>
      </c>
      <c r="B175" s="37" t="s">
        <v>200</v>
      </c>
      <c r="C175" s="58" t="s">
        <v>173</v>
      </c>
      <c r="D175" s="36">
        <v>38433547.200000003</v>
      </c>
      <c r="E175" s="36">
        <v>583744.15</v>
      </c>
      <c r="F175" s="36"/>
      <c r="G175" s="36">
        <v>262639.15999999997</v>
      </c>
      <c r="H175" s="31">
        <f t="shared" si="103"/>
        <v>321104.99000000005</v>
      </c>
      <c r="I175" s="17">
        <v>56223545.009999998</v>
      </c>
      <c r="J175" s="32">
        <f t="shared" si="104"/>
        <v>1.1389428968579531E-3</v>
      </c>
      <c r="K175" s="36">
        <v>56552501.670000002</v>
      </c>
      <c r="L175" s="32">
        <f t="shared" si="105"/>
        <v>1.0927016000928417E-3</v>
      </c>
      <c r="M175" s="32">
        <f t="shared" si="106"/>
        <v>5.8508701281908704E-3</v>
      </c>
      <c r="N175" s="54">
        <f t="shared" si="111"/>
        <v>4.6441651959549819E-3</v>
      </c>
      <c r="O175" s="34">
        <f t="shared" si="112"/>
        <v>5.6779979756464071E-3</v>
      </c>
      <c r="P175" s="35">
        <f t="shared" si="113"/>
        <v>103.05619944455987</v>
      </c>
      <c r="Q175" s="35">
        <f t="shared" si="114"/>
        <v>0.58515289182402319</v>
      </c>
      <c r="R175" s="36">
        <v>101.3</v>
      </c>
      <c r="S175" s="36">
        <v>102.46</v>
      </c>
      <c r="T175" s="46">
        <v>12</v>
      </c>
      <c r="U175" s="36">
        <v>550825</v>
      </c>
      <c r="V175" s="36">
        <v>548754</v>
      </c>
    </row>
    <row r="176" spans="1:22" ht="15" customHeight="1">
      <c r="A176" s="30">
        <v>145</v>
      </c>
      <c r="B176" s="28" t="s">
        <v>201</v>
      </c>
      <c r="C176" s="28" t="s">
        <v>75</v>
      </c>
      <c r="D176" s="81">
        <v>10190859208.889999</v>
      </c>
      <c r="E176" s="64">
        <v>137713506.71000001</v>
      </c>
      <c r="F176" s="64"/>
      <c r="G176" s="64">
        <v>15506301.310000001</v>
      </c>
      <c r="H176" s="31">
        <f t="shared" si="103"/>
        <v>122207205.40000001</v>
      </c>
      <c r="I176" s="29">
        <v>9584357944.6299992</v>
      </c>
      <c r="J176" s="32">
        <f t="shared" si="104"/>
        <v>0.19415418220318353</v>
      </c>
      <c r="K176" s="61">
        <v>10010505140.91</v>
      </c>
      <c r="L176" s="32">
        <f t="shared" si="105"/>
        <v>0.19342194707917992</v>
      </c>
      <c r="M176" s="32">
        <f t="shared" si="106"/>
        <v>4.4462779744027181E-2</v>
      </c>
      <c r="N176" s="54">
        <f t="shared" si="111"/>
        <v>1.5490028816458315E-3</v>
      </c>
      <c r="O176" s="34">
        <f t="shared" si="112"/>
        <v>1.220789597325863E-2</v>
      </c>
      <c r="P176" s="35">
        <f t="shared" si="113"/>
        <v>139.71694023882239</v>
      </c>
      <c r="Q176" s="35">
        <f t="shared" si="114"/>
        <v>1.7056498721375366</v>
      </c>
      <c r="R176" s="36">
        <v>139.71</v>
      </c>
      <c r="S176" s="36">
        <v>139.71</v>
      </c>
      <c r="T176" s="36">
        <v>701</v>
      </c>
      <c r="U176" s="61">
        <v>69425995</v>
      </c>
      <c r="V176" s="61">
        <v>71648471</v>
      </c>
    </row>
    <row r="177" spans="1:22" ht="15" customHeight="1">
      <c r="A177" s="30">
        <v>146</v>
      </c>
      <c r="B177" s="28" t="s">
        <v>220</v>
      </c>
      <c r="C177" s="28" t="s">
        <v>60</v>
      </c>
      <c r="D177" s="81">
        <v>276728742.43000001</v>
      </c>
      <c r="E177" s="64">
        <v>3534622.02</v>
      </c>
      <c r="F177" s="64"/>
      <c r="G177" s="64">
        <v>716039.12</v>
      </c>
      <c r="H177" s="31">
        <f t="shared" si="103"/>
        <v>2818582.9</v>
      </c>
      <c r="I177" s="29">
        <v>264866458.40000001</v>
      </c>
      <c r="J177" s="32">
        <f t="shared" si="104"/>
        <v>5.3655060590175789E-3</v>
      </c>
      <c r="K177" s="61">
        <v>274238783.08999997</v>
      </c>
      <c r="L177" s="32">
        <f t="shared" si="105"/>
        <v>5.2988134607831342E-3</v>
      </c>
      <c r="M177" s="32">
        <f t="shared" si="106"/>
        <v>3.5385094611889024E-2</v>
      </c>
      <c r="N177" s="54">
        <f t="shared" si="111"/>
        <v>2.6110060434632598E-3</v>
      </c>
      <c r="O177" s="34">
        <f t="shared" si="112"/>
        <v>1.0277842062459103E-2</v>
      </c>
      <c r="P177" s="35">
        <f t="shared" si="113"/>
        <v>1070.2000873678014</v>
      </c>
      <c r="Q177" s="35">
        <f t="shared" si="114"/>
        <v>10.999347473196195</v>
      </c>
      <c r="R177" s="36">
        <v>1070.2</v>
      </c>
      <c r="S177" s="36">
        <v>1070.2</v>
      </c>
      <c r="T177" s="36">
        <v>71</v>
      </c>
      <c r="U177" s="61">
        <v>250077.72</v>
      </c>
      <c r="V177" s="61">
        <v>256250.01</v>
      </c>
    </row>
    <row r="178" spans="1:22" ht="15" customHeight="1">
      <c r="A178" s="30">
        <v>147</v>
      </c>
      <c r="B178" s="37" t="s">
        <v>120</v>
      </c>
      <c r="C178" s="28" t="s">
        <v>121</v>
      </c>
      <c r="D178" s="36">
        <v>17919140990.82</v>
      </c>
      <c r="E178" s="36">
        <v>261944685.37</v>
      </c>
      <c r="F178" s="36"/>
      <c r="G178" s="36">
        <v>39089272.950000003</v>
      </c>
      <c r="H178" s="31">
        <f t="shared" si="103"/>
        <v>222855412.42000002</v>
      </c>
      <c r="I178" s="17">
        <v>19863186554.669998</v>
      </c>
      <c r="J178" s="32">
        <f t="shared" si="104"/>
        <v>0.40237653515768224</v>
      </c>
      <c r="K178" s="36">
        <v>20069104502.349998</v>
      </c>
      <c r="L178" s="32">
        <f t="shared" si="105"/>
        <v>0.38777316572330328</v>
      </c>
      <c r="M178" s="32">
        <f t="shared" si="106"/>
        <v>1.0366813356620633E-2</v>
      </c>
      <c r="N178" s="54">
        <f t="shared" si="111"/>
        <v>1.947733788790767E-3</v>
      </c>
      <c r="O178" s="34">
        <f t="shared" si="112"/>
        <v>1.1104402410875118E-2</v>
      </c>
      <c r="P178" s="35">
        <f t="shared" si="113"/>
        <v>1207.1147139391089</v>
      </c>
      <c r="Q178" s="35">
        <f t="shared" si="114"/>
        <v>13.404287539668271</v>
      </c>
      <c r="R178" s="31">
        <v>1207.1099999999999</v>
      </c>
      <c r="S178" s="31">
        <v>1207.1099999999999</v>
      </c>
      <c r="T178" s="36">
        <v>8323</v>
      </c>
      <c r="U178" s="64">
        <v>16167466.369999999</v>
      </c>
      <c r="V178" s="36">
        <v>16625681.279999999</v>
      </c>
    </row>
    <row r="179" spans="1:22" ht="15" customHeight="1">
      <c r="A179" s="30">
        <v>148</v>
      </c>
      <c r="B179" s="69" t="s">
        <v>221</v>
      </c>
      <c r="C179" s="70" t="s">
        <v>222</v>
      </c>
      <c r="D179" s="81">
        <v>294194992.88</v>
      </c>
      <c r="E179" s="64">
        <v>0</v>
      </c>
      <c r="F179" s="64">
        <v>43064172.009999998</v>
      </c>
      <c r="G179" s="64">
        <v>648518.98</v>
      </c>
      <c r="H179" s="31">
        <f t="shared" si="103"/>
        <v>42415653.030000001</v>
      </c>
      <c r="I179" s="29">
        <v>417768777.06</v>
      </c>
      <c r="J179" s="32">
        <f t="shared" si="104"/>
        <v>8.4629096418038351E-3</v>
      </c>
      <c r="K179" s="61">
        <v>415668206.13</v>
      </c>
      <c r="L179" s="32">
        <f t="shared" si="105"/>
        <v>8.031498174852927E-3</v>
      </c>
      <c r="M179" s="32">
        <f t="shared" si="106"/>
        <v>-5.0280706585650913E-3</v>
      </c>
      <c r="N179" s="54">
        <f t="shared" si="111"/>
        <v>1.5601842297199321E-3</v>
      </c>
      <c r="O179" s="34">
        <f t="shared" si="112"/>
        <v>0.10204209127492067</v>
      </c>
      <c r="P179" s="35">
        <f t="shared" si="113"/>
        <v>111.15548088603101</v>
      </c>
      <c r="Q179" s="35">
        <f t="shared" si="114"/>
        <v>11.342537726280078</v>
      </c>
      <c r="R179" s="36">
        <v>110.79430000000001</v>
      </c>
      <c r="S179" s="36">
        <v>111.2975</v>
      </c>
      <c r="T179" s="36">
        <v>162</v>
      </c>
      <c r="U179" s="61">
        <v>3718811.89</v>
      </c>
      <c r="V179" s="61">
        <v>3739520.56</v>
      </c>
    </row>
    <row r="180" spans="1:22" ht="15" customHeight="1">
      <c r="A180" s="30">
        <v>149</v>
      </c>
      <c r="B180" s="69" t="s">
        <v>223</v>
      </c>
      <c r="C180" s="70" t="s">
        <v>222</v>
      </c>
      <c r="D180" s="81">
        <v>152042262.31999999</v>
      </c>
      <c r="E180" s="64">
        <v>0</v>
      </c>
      <c r="F180" s="64">
        <v>4343133.18</v>
      </c>
      <c r="G180" s="64"/>
      <c r="H180" s="31">
        <f t="shared" si="103"/>
        <v>4343133.18</v>
      </c>
      <c r="I180" s="29">
        <v>153852142.63</v>
      </c>
      <c r="J180" s="32">
        <f t="shared" si="104"/>
        <v>3.1166445478250926E-3</v>
      </c>
      <c r="K180" s="61">
        <v>156168196.28</v>
      </c>
      <c r="L180" s="32">
        <f t="shared" si="105"/>
        <v>3.0174657693223311E-3</v>
      </c>
      <c r="M180" s="32">
        <f t="shared" si="106"/>
        <v>1.5053762725748307E-2</v>
      </c>
      <c r="N180" s="54">
        <f t="shared" si="111"/>
        <v>0</v>
      </c>
      <c r="O180" s="34">
        <f t="shared" si="112"/>
        <v>2.7810612425932281E-2</v>
      </c>
      <c r="P180" s="35">
        <f t="shared" si="113"/>
        <v>102.65872422412589</v>
      </c>
      <c r="Q180" s="35">
        <f t="shared" si="114"/>
        <v>2.8550019915378311</v>
      </c>
      <c r="R180" s="36">
        <v>102.6587</v>
      </c>
      <c r="S180" s="36">
        <v>102.6587</v>
      </c>
      <c r="T180" s="36">
        <v>66</v>
      </c>
      <c r="U180" s="61">
        <v>1515580.3</v>
      </c>
      <c r="V180" s="61">
        <v>1521236.48</v>
      </c>
    </row>
    <row r="181" spans="1:22" ht="14.25">
      <c r="A181" s="30">
        <v>150</v>
      </c>
      <c r="B181" s="28" t="s">
        <v>202</v>
      </c>
      <c r="C181" s="28" t="s">
        <v>219</v>
      </c>
      <c r="D181" s="36">
        <v>808425879.53999996</v>
      </c>
      <c r="E181" s="85">
        <v>12170572.130000001</v>
      </c>
      <c r="F181" s="85"/>
      <c r="G181" s="36">
        <v>1849464.42</v>
      </c>
      <c r="H181" s="31">
        <f t="shared" si="103"/>
        <v>10321107.710000001</v>
      </c>
      <c r="I181" s="17">
        <v>1089180668.8</v>
      </c>
      <c r="J181" s="32">
        <f t="shared" si="104"/>
        <v>2.2063969568338587E-2</v>
      </c>
      <c r="K181" s="36">
        <v>1078821388.48</v>
      </c>
      <c r="L181" s="32">
        <f t="shared" si="105"/>
        <v>2.0844875515592325E-2</v>
      </c>
      <c r="M181" s="32">
        <f t="shared" si="106"/>
        <v>-9.511076184829121E-3</v>
      </c>
      <c r="N181" s="54">
        <f t="shared" si="111"/>
        <v>1.7143379244694004E-3</v>
      </c>
      <c r="O181" s="34">
        <f t="shared" si="112"/>
        <v>9.5670217704358577E-3</v>
      </c>
      <c r="P181" s="35">
        <f t="shared" si="113"/>
        <v>103.45804522641883</v>
      </c>
      <c r="Q181" s="35">
        <f t="shared" si="114"/>
        <v>0.98978537100788666</v>
      </c>
      <c r="R181" s="36">
        <v>103.46</v>
      </c>
      <c r="S181" s="36">
        <v>103.46</v>
      </c>
      <c r="T181" s="64">
        <v>550</v>
      </c>
      <c r="U181" s="36">
        <v>10369854</v>
      </c>
      <c r="V181" s="36">
        <v>10427622</v>
      </c>
    </row>
    <row r="182" spans="1:22" ht="14.25">
      <c r="A182" s="30">
        <v>151</v>
      </c>
      <c r="B182" s="37" t="s">
        <v>203</v>
      </c>
      <c r="C182" s="37" t="s">
        <v>44</v>
      </c>
      <c r="D182" s="81">
        <v>9812357359.8700008</v>
      </c>
      <c r="E182" s="64">
        <v>70548436.700000003</v>
      </c>
      <c r="F182" s="64"/>
      <c r="G182" s="64">
        <v>14238485.59</v>
      </c>
      <c r="H182" s="31">
        <f t="shared" si="103"/>
        <v>56309951.109999999</v>
      </c>
      <c r="I182" s="17">
        <v>8094436236.4499998</v>
      </c>
      <c r="J182" s="32">
        <f t="shared" si="104"/>
        <v>0.16397224070333219</v>
      </c>
      <c r="K182" s="64">
        <v>9885111412.4300003</v>
      </c>
      <c r="L182" s="32">
        <f t="shared" si="105"/>
        <v>0.19099910240024348</v>
      </c>
      <c r="M182" s="32">
        <f t="shared" si="106"/>
        <v>0.22122296398066904</v>
      </c>
      <c r="N182" s="54">
        <f t="shared" si="111"/>
        <v>1.4403970775782925E-3</v>
      </c>
      <c r="O182" s="34">
        <f t="shared" si="112"/>
        <v>5.696440713778222E-3</v>
      </c>
      <c r="P182" s="35">
        <f t="shared" si="113"/>
        <v>130.63178265210675</v>
      </c>
      <c r="Q182" s="35">
        <f t="shared" si="114"/>
        <v>0.74413620521288859</v>
      </c>
      <c r="R182" s="64">
        <v>130.63</v>
      </c>
      <c r="S182" s="64">
        <v>130.63</v>
      </c>
      <c r="T182" s="36">
        <v>1194</v>
      </c>
      <c r="U182" s="64">
        <v>62070545.399999999</v>
      </c>
      <c r="V182" s="64">
        <v>75671564.849999994</v>
      </c>
    </row>
    <row r="183" spans="1:22" ht="15" customHeight="1">
      <c r="A183" s="30">
        <v>152</v>
      </c>
      <c r="B183" s="28" t="s">
        <v>204</v>
      </c>
      <c r="C183" s="28" t="s">
        <v>48</v>
      </c>
      <c r="D183" s="61">
        <v>3211950298</v>
      </c>
      <c r="E183" s="61">
        <v>40263020</v>
      </c>
      <c r="F183" s="61"/>
      <c r="G183" s="81">
        <v>6612484</v>
      </c>
      <c r="H183" s="31">
        <f t="shared" si="103"/>
        <v>33650536</v>
      </c>
      <c r="I183" s="17">
        <v>4523987036</v>
      </c>
      <c r="J183" s="32">
        <f t="shared" si="104"/>
        <v>9.1644219502936428E-2</v>
      </c>
      <c r="K183" s="64">
        <v>4284228031</v>
      </c>
      <c r="L183" s="32">
        <f t="shared" si="105"/>
        <v>8.2779411810170844E-2</v>
      </c>
      <c r="M183" s="32">
        <f t="shared" si="106"/>
        <v>-5.2997279411302008E-2</v>
      </c>
      <c r="N183" s="54">
        <f t="shared" si="111"/>
        <v>1.5434481900013506E-3</v>
      </c>
      <c r="O183" s="34">
        <f t="shared" si="112"/>
        <v>7.8545156225368999E-3</v>
      </c>
      <c r="P183" s="35">
        <f t="shared" si="113"/>
        <v>1.2137893707747069</v>
      </c>
      <c r="Q183" s="35">
        <f t="shared" si="114"/>
        <v>9.5337275752191697E-3</v>
      </c>
      <c r="R183" s="31">
        <v>1.21</v>
      </c>
      <c r="S183" s="31">
        <v>1.21</v>
      </c>
      <c r="T183" s="36">
        <v>198</v>
      </c>
      <c r="U183" s="36">
        <v>3606408219</v>
      </c>
      <c r="V183" s="36">
        <v>3529630539</v>
      </c>
    </row>
    <row r="184" spans="1:22" ht="15" customHeight="1">
      <c r="A184" s="151" t="s">
        <v>49</v>
      </c>
      <c r="B184" s="151"/>
      <c r="C184" s="151"/>
      <c r="D184" s="151"/>
      <c r="E184" s="151"/>
      <c r="F184" s="151"/>
      <c r="G184" s="151"/>
      <c r="H184" s="151"/>
      <c r="I184" s="48">
        <f>SUM(I169:I183)</f>
        <v>49364674177.349991</v>
      </c>
      <c r="J184" s="40">
        <f>(I184/$I$185)</f>
        <v>1.8630757256294605E-2</v>
      </c>
      <c r="K184" s="53">
        <f>SUM(K169:K183)</f>
        <v>51754753232.900002</v>
      </c>
      <c r="L184" s="40">
        <f>(K184/$K$185)</f>
        <v>1.9287037362195978E-2</v>
      </c>
      <c r="M184" s="49">
        <f t="shared" si="106"/>
        <v>4.8416789847802774E-2</v>
      </c>
      <c r="N184" s="54"/>
      <c r="O184" s="51"/>
      <c r="P184" s="59"/>
      <c r="Q184" s="59"/>
      <c r="R184" s="53"/>
      <c r="S184" s="53"/>
      <c r="T184" s="53">
        <f>SUM(T169:T183)</f>
        <v>27179</v>
      </c>
      <c r="U184" s="53"/>
      <c r="V184" s="53"/>
    </row>
    <row r="185" spans="1:22" ht="15" customHeight="1">
      <c r="A185" s="152" t="s">
        <v>205</v>
      </c>
      <c r="B185" s="152"/>
      <c r="C185" s="152"/>
      <c r="D185" s="152"/>
      <c r="E185" s="152"/>
      <c r="F185" s="152"/>
      <c r="G185" s="152"/>
      <c r="H185" s="152"/>
      <c r="I185" s="132">
        <f>SUM(I22,I56,I91,I122,I130,I159,I165,I184)</f>
        <v>2649633264942.6582</v>
      </c>
      <c r="J185" s="133"/>
      <c r="K185" s="134">
        <f>SUM(K22,K56,K91,K122,K130,K159,K165,K184)</f>
        <v>2683395705674.4834</v>
      </c>
      <c r="L185" s="133"/>
      <c r="M185" s="133"/>
      <c r="N185" s="135"/>
      <c r="O185" s="136"/>
      <c r="P185" s="137"/>
      <c r="Q185" s="137"/>
      <c r="R185" s="134"/>
      <c r="S185" s="134"/>
      <c r="T185" s="134">
        <f>SUM(T22,T56,T91,T122,T130,T159,T165,T184)</f>
        <v>718582.79790000001</v>
      </c>
      <c r="U185" s="134"/>
      <c r="V185" s="134"/>
    </row>
    <row r="186" spans="1:22" ht="5.0999999999999996" customHeight="1">
      <c r="A186" s="10"/>
      <c r="B186" s="10"/>
      <c r="C186" s="10"/>
      <c r="D186" s="9"/>
      <c r="E186" s="9"/>
      <c r="F186" s="9"/>
      <c r="G186" s="9"/>
      <c r="H186" s="11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>
      <c r="A187" s="12" t="s">
        <v>206</v>
      </c>
      <c r="B187" s="22" t="s">
        <v>224</v>
      </c>
      <c r="C187" s="8"/>
      <c r="D187" s="9"/>
      <c r="E187" s="9"/>
      <c r="F187" s="9"/>
      <c r="G187" s="9"/>
      <c r="H187" s="11"/>
      <c r="I187" s="13"/>
      <c r="J187" s="9"/>
      <c r="K187" s="13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4"/>
    </row>
  </sheetData>
  <sheetProtection password="CA3B" sheet="1" objects="1" scenarios="1"/>
  <mergeCells count="32">
    <mergeCell ref="A184:H184"/>
    <mergeCell ref="A185:H185"/>
    <mergeCell ref="A166:V166"/>
    <mergeCell ref="A167:V167"/>
    <mergeCell ref="A168:V168"/>
    <mergeCell ref="A171:V171"/>
    <mergeCell ref="A172:V172"/>
    <mergeCell ref="A132:V132"/>
    <mergeCell ref="A159:H159"/>
    <mergeCell ref="A160:V160"/>
    <mergeCell ref="A161:V161"/>
    <mergeCell ref="A165:H165"/>
    <mergeCell ref="A122:H122"/>
    <mergeCell ref="A123:V123"/>
    <mergeCell ref="A124:V124"/>
    <mergeCell ref="A130:H130"/>
    <mergeCell ref="A131:V131"/>
    <mergeCell ref="A92:V92"/>
    <mergeCell ref="A93:V93"/>
    <mergeCell ref="A94:V94"/>
    <mergeCell ref="A110:V110"/>
    <mergeCell ref="A111:V111"/>
    <mergeCell ref="A24:V24"/>
    <mergeCell ref="A56:H56"/>
    <mergeCell ref="A57:V57"/>
    <mergeCell ref="A58:V58"/>
    <mergeCell ref="A91:H91"/>
    <mergeCell ref="A4:V4"/>
    <mergeCell ref="A22:H22"/>
    <mergeCell ref="A23:V23"/>
    <mergeCell ref="A1:V1"/>
    <mergeCell ref="A3:V3"/>
  </mergeCells>
  <pageMargins left="0.7" right="0.7" top="0.75" bottom="0.75" header="0.3" footer="0.3"/>
  <pageSetup orientation="portrait" r:id="rId1"/>
  <ignoredErrors>
    <ignoredError sqref="J22 J184 J56 J91 J122 J130 J165 J159" formula="1"/>
    <ignoredError sqref="G128 U125:V125" numberStoredAsText="1"/>
    <ignoredError sqref="I130 T1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I6" sqref="I6"/>
    </sheetView>
  </sheetViews>
  <sheetFormatPr defaultColWidth="9"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3"/>
      <c r="B2" s="3"/>
      <c r="C2" s="3"/>
      <c r="D2" s="3"/>
    </row>
    <row r="3" spans="1:4">
      <c r="A3" s="3"/>
      <c r="B3" s="3"/>
      <c r="C3" s="3"/>
      <c r="D3" s="3"/>
    </row>
    <row r="4" spans="1:4" ht="33" customHeight="1">
      <c r="A4" s="155" t="s">
        <v>207</v>
      </c>
      <c r="B4" s="156" t="s">
        <v>255</v>
      </c>
      <c r="C4" s="156" t="s">
        <v>254</v>
      </c>
      <c r="D4" s="1"/>
    </row>
    <row r="5" spans="1:4" ht="18.95" customHeight="1">
      <c r="A5" s="157" t="s">
        <v>18</v>
      </c>
      <c r="B5" s="158">
        <v>29.297637748509999</v>
      </c>
      <c r="C5" s="158">
        <f>'April 2024'!K22/1000000000</f>
        <v>26.446817562529997</v>
      </c>
      <c r="D5" s="1"/>
    </row>
    <row r="6" spans="1:4">
      <c r="A6" s="155" t="s">
        <v>50</v>
      </c>
      <c r="B6" s="158">
        <v>915.75584160342009</v>
      </c>
      <c r="C6" s="158">
        <f>'April 2024'!K56/1000000000</f>
        <v>937.44782176622016</v>
      </c>
      <c r="D6" s="1"/>
    </row>
    <row r="7" spans="1:4">
      <c r="A7" s="155" t="s">
        <v>208</v>
      </c>
      <c r="B7" s="158">
        <v>276.33373600948005</v>
      </c>
      <c r="C7" s="158">
        <f>'April 2024'!K91/1000000000</f>
        <v>266.46510591255998</v>
      </c>
      <c r="D7" s="1"/>
    </row>
    <row r="8" spans="1:4">
      <c r="A8" s="155" t="s">
        <v>209</v>
      </c>
      <c r="B8" s="158">
        <v>1226.7907003653677</v>
      </c>
      <c r="C8" s="158">
        <f>'April 2024'!K122/1000000000</f>
        <v>1249.1517902703031</v>
      </c>
      <c r="D8" s="1"/>
    </row>
    <row r="9" spans="1:4">
      <c r="A9" s="155" t="s">
        <v>210</v>
      </c>
      <c r="B9" s="158">
        <v>96.56167960194999</v>
      </c>
      <c r="C9" s="158">
        <f>'April 2024'!K130/1000000000</f>
        <v>99.856457548350008</v>
      </c>
      <c r="D9" s="1"/>
    </row>
    <row r="10" spans="1:4">
      <c r="A10" s="155" t="s">
        <v>164</v>
      </c>
      <c r="B10" s="158">
        <v>50.315976593890007</v>
      </c>
      <c r="C10" s="158">
        <f>'April 2024'!K159/1000000000</f>
        <v>47.633109913879998</v>
      </c>
      <c r="D10" s="1"/>
    </row>
    <row r="11" spans="1:4">
      <c r="A11" s="155" t="s">
        <v>189</v>
      </c>
      <c r="B11" s="158">
        <v>5.2130188426900004</v>
      </c>
      <c r="C11" s="158">
        <f>'April 2024'!K165/1000000000</f>
        <v>4.6398494677399995</v>
      </c>
      <c r="D11" s="1"/>
    </row>
    <row r="12" spans="1:4">
      <c r="A12" s="155" t="s">
        <v>211</v>
      </c>
      <c r="B12" s="158">
        <v>49.36467417734999</v>
      </c>
      <c r="C12" s="158">
        <f>'April 2024'!K184/1000000000</f>
        <v>51.754753232900001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1"/>
      <c r="B16" s="159"/>
      <c r="C16" s="160"/>
      <c r="D16" s="1"/>
    </row>
    <row r="17" spans="1:4" ht="16.5">
      <c r="A17" s="107"/>
      <c r="B17" s="108"/>
      <c r="C17" s="109"/>
      <c r="D17" s="3"/>
    </row>
    <row r="18" spans="1:4" ht="16.5">
      <c r="A18" s="106"/>
      <c r="B18" s="79"/>
      <c r="C18" s="110"/>
      <c r="D18" s="3"/>
    </row>
    <row r="19" spans="1:4" ht="16.5">
      <c r="A19" s="77"/>
      <c r="B19" s="108"/>
      <c r="C19" s="111"/>
      <c r="D19" s="3"/>
    </row>
    <row r="20" spans="1:4" ht="16.5">
      <c r="A20" s="77"/>
      <c r="B20" s="79"/>
      <c r="C20" s="110"/>
      <c r="D20" s="3"/>
    </row>
    <row r="21" spans="1:4" ht="16.5">
      <c r="A21" s="77"/>
      <c r="B21" s="108"/>
      <c r="C21" s="111"/>
      <c r="D21" s="3"/>
    </row>
    <row r="22" spans="1:4" ht="16.5">
      <c r="A22" s="77"/>
      <c r="B22" s="112"/>
      <c r="C22" s="113"/>
      <c r="D22" s="3"/>
    </row>
    <row r="23" spans="1:4" ht="16.5">
      <c r="A23" s="77"/>
      <c r="B23" s="108"/>
      <c r="C23" s="111"/>
      <c r="D23" s="3"/>
    </row>
    <row r="24" spans="1:4" ht="16.5">
      <c r="A24" s="77"/>
      <c r="B24" s="108"/>
      <c r="C24" s="108"/>
      <c r="D24" s="3"/>
    </row>
    <row r="25" spans="1:4" ht="16.5">
      <c r="A25" s="77"/>
      <c r="B25" s="108"/>
      <c r="C25" s="108"/>
      <c r="D25" s="3"/>
    </row>
    <row r="26" spans="1:4" ht="16.5">
      <c r="A26" s="77"/>
      <c r="B26" s="108"/>
      <c r="C26" s="108"/>
      <c r="D26" s="3"/>
    </row>
    <row r="27" spans="1:4">
      <c r="A27" s="3"/>
      <c r="B27" s="3"/>
      <c r="C27" s="3"/>
      <c r="D27" s="3"/>
    </row>
    <row r="28" spans="1:4">
      <c r="B28" s="3"/>
      <c r="C28" s="3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L8" sqref="L8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3">
      <c r="A1" s="125" t="s">
        <v>207</v>
      </c>
      <c r="B1" s="126" t="s">
        <v>254</v>
      </c>
      <c r="C1" s="1"/>
    </row>
    <row r="2" spans="1:3">
      <c r="A2" s="125" t="s">
        <v>189</v>
      </c>
      <c r="B2" s="127">
        <f>'April 2024'!K165</f>
        <v>4639849467.7399998</v>
      </c>
      <c r="C2" s="1"/>
    </row>
    <row r="3" spans="1:3">
      <c r="A3" s="125" t="s">
        <v>18</v>
      </c>
      <c r="B3" s="128">
        <f>'April 2024'!K22</f>
        <v>26446817562.529999</v>
      </c>
      <c r="C3" s="1"/>
    </row>
    <row r="4" spans="1:3">
      <c r="A4" s="125" t="s">
        <v>164</v>
      </c>
      <c r="B4" s="129">
        <f>'April 2024'!K159</f>
        <v>47633109913.879997</v>
      </c>
      <c r="C4" s="1"/>
    </row>
    <row r="5" spans="1:3">
      <c r="A5" s="125" t="s">
        <v>211</v>
      </c>
      <c r="B5" s="129">
        <f>'April 2024'!K184</f>
        <v>51754753232.900002</v>
      </c>
      <c r="C5" s="1"/>
    </row>
    <row r="6" spans="1:3">
      <c r="A6" s="125" t="s">
        <v>210</v>
      </c>
      <c r="B6" s="130">
        <f>'April 2024'!K130</f>
        <v>99856457548.350006</v>
      </c>
      <c r="C6" s="1"/>
    </row>
    <row r="7" spans="1:3">
      <c r="A7" s="125" t="s">
        <v>208</v>
      </c>
      <c r="B7" s="130">
        <f>'April 2024'!K91</f>
        <v>266465105912.56</v>
      </c>
      <c r="C7" s="1"/>
    </row>
    <row r="8" spans="1:3">
      <c r="A8" s="125" t="s">
        <v>50</v>
      </c>
      <c r="B8" s="129">
        <f>'April 2024'!K56</f>
        <v>937447821766.22021</v>
      </c>
      <c r="C8" s="1"/>
    </row>
    <row r="9" spans="1:3">
      <c r="A9" s="125" t="s">
        <v>209</v>
      </c>
      <c r="B9" s="131">
        <f>'April 2024'!K122</f>
        <v>1249151790270.303</v>
      </c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71"/>
      <c r="B12" s="3"/>
      <c r="C12" s="3"/>
    </row>
    <row r="13" spans="1:3" ht="15" customHeight="1">
      <c r="A13" s="72"/>
      <c r="B13" s="73"/>
      <c r="C13" s="3"/>
    </row>
    <row r="14" spans="1:3">
      <c r="A14" s="74"/>
      <c r="B14" s="73"/>
      <c r="C14" s="3"/>
    </row>
    <row r="15" spans="1:3">
      <c r="A15" s="74"/>
      <c r="B15" s="73"/>
      <c r="C15" s="3"/>
    </row>
    <row r="16" spans="1:3">
      <c r="A16" s="75"/>
      <c r="B16" s="73"/>
      <c r="C16" s="3"/>
    </row>
    <row r="17" spans="1:17">
      <c r="A17" s="75"/>
      <c r="B17" s="73"/>
      <c r="C17" s="3"/>
    </row>
    <row r="18" spans="1:17">
      <c r="A18" s="74"/>
      <c r="B18" s="73"/>
      <c r="C18" s="3"/>
    </row>
    <row r="19" spans="1:17" ht="15.75">
      <c r="A19" s="39"/>
      <c r="B19" s="73"/>
      <c r="C19" s="3"/>
    </row>
    <row r="20" spans="1:17" ht="16.5">
      <c r="A20" s="76"/>
      <c r="B20" s="73"/>
      <c r="C20" s="3"/>
    </row>
    <row r="21" spans="1:17" ht="16.5">
      <c r="A21" s="77"/>
      <c r="B21" s="78"/>
      <c r="C21" s="3"/>
    </row>
    <row r="22" spans="1:17" ht="16.5">
      <c r="A22" s="3"/>
      <c r="B22" s="79"/>
      <c r="C22" s="3"/>
    </row>
    <row r="23" spans="1:17">
      <c r="A23" s="3"/>
      <c r="B23" s="3"/>
      <c r="C23" s="3"/>
    </row>
    <row r="24" spans="1:17">
      <c r="A24" s="3"/>
      <c r="B24" s="3"/>
      <c r="C24" s="3"/>
    </row>
    <row r="32" spans="1:17" ht="15.95" customHeight="1">
      <c r="A32" s="154" t="s">
        <v>256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2"/>
    </row>
    <row r="33" spans="1:17" ht="16.5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2"/>
    </row>
  </sheetData>
  <sheetProtection password="CA3B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workbookViewId="0">
      <selection activeCell="E6" sqref="E6"/>
    </sheetView>
  </sheetViews>
  <sheetFormatPr defaultColWidth="9" defaultRowHeight="15"/>
  <cols>
    <col min="1" max="1" width="34.7109375" customWidth="1"/>
    <col min="2" max="2" width="15" customWidth="1"/>
  </cols>
  <sheetData>
    <row r="3" spans="1:3">
      <c r="A3" s="3"/>
      <c r="B3" s="3"/>
      <c r="C3" s="3"/>
    </row>
    <row r="4" spans="1:3">
      <c r="A4" s="122"/>
      <c r="B4" s="122"/>
      <c r="C4" s="122"/>
    </row>
    <row r="5" spans="1:3">
      <c r="A5" s="123" t="s">
        <v>207</v>
      </c>
      <c r="B5" s="123" t="s">
        <v>212</v>
      </c>
      <c r="C5" s="122"/>
    </row>
    <row r="6" spans="1:3">
      <c r="A6" s="123" t="s">
        <v>18</v>
      </c>
      <c r="B6" s="124">
        <f>'April 2024'!T22</f>
        <v>48791</v>
      </c>
      <c r="C6" s="122"/>
    </row>
    <row r="7" spans="1:3">
      <c r="A7" s="123" t="s">
        <v>50</v>
      </c>
      <c r="B7" s="124">
        <f>'April 2024'!T56</f>
        <v>282879</v>
      </c>
      <c r="C7" s="122"/>
    </row>
    <row r="8" spans="1:3">
      <c r="A8" s="123" t="s">
        <v>208</v>
      </c>
      <c r="B8" s="124">
        <f>'April 2024'!T91</f>
        <v>45128.797899999998</v>
      </c>
      <c r="C8" s="122"/>
    </row>
    <row r="9" spans="1:3">
      <c r="A9" s="123" t="s">
        <v>209</v>
      </c>
      <c r="B9" s="124">
        <f>'April 2024'!T122</f>
        <v>15629</v>
      </c>
      <c r="C9" s="122"/>
    </row>
    <row r="10" spans="1:3">
      <c r="A10" s="123" t="s">
        <v>210</v>
      </c>
      <c r="B10" s="124">
        <f>'April 2024'!T130</f>
        <v>217017</v>
      </c>
      <c r="C10" s="122"/>
    </row>
    <row r="11" spans="1:3">
      <c r="A11" s="123" t="s">
        <v>164</v>
      </c>
      <c r="B11" s="124">
        <f>'April 2024'!T159</f>
        <v>68860</v>
      </c>
      <c r="C11" s="122"/>
    </row>
    <row r="12" spans="1:3">
      <c r="A12" s="123" t="s">
        <v>189</v>
      </c>
      <c r="B12" s="124">
        <f>'April 2024'!T165</f>
        <v>13099</v>
      </c>
      <c r="C12" s="122"/>
    </row>
    <row r="13" spans="1:3">
      <c r="A13" s="123" t="s">
        <v>211</v>
      </c>
      <c r="B13" s="124">
        <f>'April 2024'!T184</f>
        <v>27179</v>
      </c>
      <c r="C13" s="122"/>
    </row>
    <row r="14" spans="1:3">
      <c r="A14" s="3"/>
      <c r="B14" s="3"/>
      <c r="C14" s="3"/>
    </row>
    <row r="15" spans="1:3">
      <c r="A15" s="3"/>
      <c r="B15" s="3"/>
      <c r="C15" s="3"/>
    </row>
  </sheetData>
  <sheetProtection password="CA3B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April 2024</vt:lpstr>
      <vt:lpstr>NAV Comparison</vt:lpstr>
      <vt:lpstr>Market Share</vt:lpstr>
      <vt:lpstr>Unitholders</vt:lpstr>
      <vt:lpstr>'April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2024-10-04T11:08:00Z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