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Tunde Isaac\Monthly Mutual Funds Update 2024\"/>
    </mc:Choice>
  </mc:AlternateContent>
  <bookViews>
    <workbookView xWindow="-120" yWindow="-120" windowWidth="20730" windowHeight="11160"/>
  </bookViews>
  <sheets>
    <sheet name="March 2024" sheetId="7" r:id="rId1"/>
    <sheet name="NAV Comparison" sheetId="2" r:id="rId2"/>
    <sheet name="Market Share" sheetId="3" r:id="rId3"/>
    <sheet name="Unitholders" sheetId="6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M96" i="7" l="1"/>
  <c r="C8" i="2" l="1"/>
  <c r="S120" i="7"/>
  <c r="R120" i="7"/>
  <c r="K120" i="7"/>
  <c r="I120" i="7"/>
  <c r="G120" i="7" l="1"/>
  <c r="E120" i="7"/>
  <c r="D120" i="7"/>
  <c r="B8" i="3" l="1"/>
  <c r="B7" i="3"/>
  <c r="B6" i="3"/>
  <c r="B5" i="3"/>
  <c r="B4" i="3"/>
  <c r="B3" i="3"/>
  <c r="B2" i="3"/>
  <c r="D12" i="2"/>
  <c r="D11" i="2"/>
  <c r="D10" i="2"/>
  <c r="D9" i="2"/>
  <c r="D7" i="2"/>
  <c r="D6" i="2"/>
  <c r="D5" i="2"/>
  <c r="B13" i="6" l="1"/>
  <c r="B12" i="6"/>
  <c r="B11" i="6"/>
  <c r="B10" i="6"/>
  <c r="B9" i="6"/>
  <c r="B8" i="6"/>
  <c r="B7" i="6"/>
  <c r="B6" i="6"/>
  <c r="S116" i="7" l="1"/>
  <c r="R116" i="7"/>
  <c r="K116" i="7"/>
  <c r="H116" i="7"/>
  <c r="G116" i="7"/>
  <c r="E116" i="7"/>
  <c r="D116" i="7"/>
  <c r="D70" i="7" l="1"/>
  <c r="S101" i="7"/>
  <c r="R101" i="7"/>
  <c r="K101" i="7"/>
  <c r="G101" i="7"/>
  <c r="E101" i="7"/>
  <c r="D101" i="7"/>
  <c r="N174" i="7" l="1"/>
  <c r="O174" i="7"/>
  <c r="P174" i="7"/>
  <c r="Q174" i="7"/>
  <c r="N175" i="7"/>
  <c r="O175" i="7"/>
  <c r="P175" i="7"/>
  <c r="Q175" i="7"/>
  <c r="N176" i="7"/>
  <c r="O176" i="7"/>
  <c r="P176" i="7"/>
  <c r="Q176" i="7"/>
  <c r="N177" i="7"/>
  <c r="O177" i="7"/>
  <c r="P177" i="7"/>
  <c r="Q177" i="7"/>
  <c r="N178" i="7"/>
  <c r="O178" i="7"/>
  <c r="P178" i="7"/>
  <c r="Q178" i="7"/>
  <c r="N179" i="7"/>
  <c r="O179" i="7"/>
  <c r="P179" i="7"/>
  <c r="Q179" i="7"/>
  <c r="N180" i="7"/>
  <c r="O180" i="7"/>
  <c r="P180" i="7"/>
  <c r="Q180" i="7"/>
  <c r="N181" i="7"/>
  <c r="O181" i="7"/>
  <c r="P181" i="7"/>
  <c r="Q181" i="7"/>
  <c r="N182" i="7"/>
  <c r="O182" i="7"/>
  <c r="P182" i="7"/>
  <c r="Q182" i="7"/>
  <c r="N183" i="7"/>
  <c r="O183" i="7"/>
  <c r="P183" i="7"/>
  <c r="Q183" i="7"/>
  <c r="M174" i="7"/>
  <c r="M175" i="7"/>
  <c r="M176" i="7"/>
  <c r="M177" i="7"/>
  <c r="M178" i="7"/>
  <c r="M179" i="7"/>
  <c r="M180" i="7"/>
  <c r="M181" i="7"/>
  <c r="M182" i="7"/>
  <c r="M183" i="7"/>
  <c r="M184" i="7"/>
  <c r="N170" i="7"/>
  <c r="O170" i="7"/>
  <c r="P170" i="7"/>
  <c r="Q170" i="7"/>
  <c r="Q169" i="7"/>
  <c r="P169" i="7"/>
  <c r="O169" i="7"/>
  <c r="N169" i="7"/>
  <c r="M170" i="7"/>
  <c r="M169" i="7"/>
  <c r="L170" i="7"/>
  <c r="L169" i="7"/>
  <c r="N163" i="7"/>
  <c r="O163" i="7"/>
  <c r="P163" i="7"/>
  <c r="Q163" i="7"/>
  <c r="N164" i="7"/>
  <c r="O164" i="7"/>
  <c r="P164" i="7"/>
  <c r="Q164" i="7"/>
  <c r="M163" i="7"/>
  <c r="M164" i="7"/>
  <c r="M165" i="7"/>
  <c r="N134" i="7"/>
  <c r="O134" i="7"/>
  <c r="P134" i="7"/>
  <c r="Q134" i="7"/>
  <c r="N135" i="7"/>
  <c r="O135" i="7"/>
  <c r="P135" i="7"/>
  <c r="Q135" i="7"/>
  <c r="N136" i="7"/>
  <c r="O136" i="7"/>
  <c r="P136" i="7"/>
  <c r="Q136" i="7"/>
  <c r="N137" i="7"/>
  <c r="O137" i="7"/>
  <c r="P137" i="7"/>
  <c r="Q137" i="7"/>
  <c r="N138" i="7"/>
  <c r="O138" i="7"/>
  <c r="P138" i="7"/>
  <c r="Q138" i="7"/>
  <c r="N139" i="7"/>
  <c r="O139" i="7"/>
  <c r="P139" i="7"/>
  <c r="Q139" i="7"/>
  <c r="N140" i="7"/>
  <c r="O140" i="7"/>
  <c r="P140" i="7"/>
  <c r="Q140" i="7"/>
  <c r="N141" i="7"/>
  <c r="O141" i="7"/>
  <c r="P141" i="7"/>
  <c r="Q141" i="7"/>
  <c r="N142" i="7"/>
  <c r="O142" i="7"/>
  <c r="P142" i="7"/>
  <c r="Q142" i="7"/>
  <c r="N143" i="7"/>
  <c r="O143" i="7"/>
  <c r="P143" i="7"/>
  <c r="Q143" i="7"/>
  <c r="N144" i="7"/>
  <c r="O144" i="7"/>
  <c r="P144" i="7"/>
  <c r="Q144" i="7"/>
  <c r="N145" i="7"/>
  <c r="O145" i="7"/>
  <c r="P145" i="7"/>
  <c r="Q145" i="7"/>
  <c r="N146" i="7"/>
  <c r="O146" i="7"/>
  <c r="P146" i="7"/>
  <c r="Q146" i="7"/>
  <c r="N147" i="7"/>
  <c r="O147" i="7"/>
  <c r="P147" i="7"/>
  <c r="Q147" i="7"/>
  <c r="N148" i="7"/>
  <c r="O148" i="7"/>
  <c r="P148" i="7"/>
  <c r="Q148" i="7"/>
  <c r="N149" i="7"/>
  <c r="O149" i="7"/>
  <c r="P149" i="7"/>
  <c r="Q149" i="7"/>
  <c r="N150" i="7"/>
  <c r="O150" i="7"/>
  <c r="P150" i="7"/>
  <c r="Q150" i="7"/>
  <c r="N151" i="7"/>
  <c r="O151" i="7"/>
  <c r="P151" i="7"/>
  <c r="Q151" i="7"/>
  <c r="N152" i="7"/>
  <c r="O152" i="7"/>
  <c r="P152" i="7"/>
  <c r="Q152" i="7"/>
  <c r="N153" i="7"/>
  <c r="O153" i="7"/>
  <c r="P153" i="7"/>
  <c r="Q153" i="7"/>
  <c r="N154" i="7"/>
  <c r="O154" i="7"/>
  <c r="P154" i="7"/>
  <c r="Q154" i="7"/>
  <c r="N155" i="7"/>
  <c r="O155" i="7"/>
  <c r="P155" i="7"/>
  <c r="Q155" i="7"/>
  <c r="N156" i="7"/>
  <c r="O156" i="7"/>
  <c r="P156" i="7"/>
  <c r="Q156" i="7"/>
  <c r="N157" i="7"/>
  <c r="O157" i="7"/>
  <c r="P157" i="7"/>
  <c r="Q157" i="7"/>
  <c r="N158" i="7"/>
  <c r="O158" i="7"/>
  <c r="P158" i="7"/>
  <c r="Q158" i="7"/>
  <c r="M159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M147" i="7"/>
  <c r="M148" i="7"/>
  <c r="M149" i="7"/>
  <c r="M150" i="7"/>
  <c r="M151" i="7"/>
  <c r="M152" i="7"/>
  <c r="M153" i="7"/>
  <c r="M154" i="7"/>
  <c r="M155" i="7"/>
  <c r="M156" i="7"/>
  <c r="M157" i="7"/>
  <c r="M158" i="7"/>
  <c r="N126" i="7"/>
  <c r="O126" i="7"/>
  <c r="P126" i="7"/>
  <c r="Q126" i="7"/>
  <c r="N127" i="7"/>
  <c r="O127" i="7"/>
  <c r="P127" i="7"/>
  <c r="Q127" i="7"/>
  <c r="N128" i="7"/>
  <c r="O128" i="7"/>
  <c r="P128" i="7"/>
  <c r="Q128" i="7"/>
  <c r="N129" i="7"/>
  <c r="O129" i="7"/>
  <c r="P129" i="7"/>
  <c r="Q129" i="7"/>
  <c r="M126" i="7"/>
  <c r="M127" i="7"/>
  <c r="M128" i="7"/>
  <c r="M129" i="7"/>
  <c r="M130" i="7"/>
  <c r="M113" i="7"/>
  <c r="M114" i="7"/>
  <c r="M115" i="7"/>
  <c r="M116" i="7"/>
  <c r="M117" i="7"/>
  <c r="M118" i="7"/>
  <c r="M119" i="7"/>
  <c r="M120" i="7"/>
  <c r="M121" i="7"/>
  <c r="N113" i="7"/>
  <c r="O113" i="7"/>
  <c r="P113" i="7"/>
  <c r="Q113" i="7"/>
  <c r="N114" i="7"/>
  <c r="O114" i="7"/>
  <c r="P114" i="7"/>
  <c r="Q114" i="7"/>
  <c r="N115" i="7"/>
  <c r="O115" i="7"/>
  <c r="P115" i="7"/>
  <c r="Q115" i="7"/>
  <c r="N116" i="7"/>
  <c r="O116" i="7"/>
  <c r="P116" i="7"/>
  <c r="Q116" i="7"/>
  <c r="N117" i="7"/>
  <c r="O117" i="7"/>
  <c r="P117" i="7"/>
  <c r="Q117" i="7"/>
  <c r="N118" i="7"/>
  <c r="O118" i="7"/>
  <c r="P118" i="7"/>
  <c r="Q118" i="7"/>
  <c r="N119" i="7"/>
  <c r="O119" i="7"/>
  <c r="P119" i="7"/>
  <c r="Q119" i="7"/>
  <c r="N120" i="7"/>
  <c r="P120" i="7"/>
  <c r="N121" i="7"/>
  <c r="O121" i="7"/>
  <c r="P121" i="7"/>
  <c r="Q121" i="7"/>
  <c r="N96" i="7"/>
  <c r="O96" i="7"/>
  <c r="P96" i="7"/>
  <c r="Q96" i="7"/>
  <c r="N97" i="7"/>
  <c r="O97" i="7"/>
  <c r="P97" i="7"/>
  <c r="Q97" i="7"/>
  <c r="N98" i="7"/>
  <c r="O98" i="7"/>
  <c r="P98" i="7"/>
  <c r="Q98" i="7"/>
  <c r="N99" i="7"/>
  <c r="O99" i="7"/>
  <c r="P99" i="7"/>
  <c r="Q99" i="7"/>
  <c r="N100" i="7"/>
  <c r="O100" i="7"/>
  <c r="P100" i="7"/>
  <c r="Q100" i="7"/>
  <c r="N101" i="7"/>
  <c r="P101" i="7"/>
  <c r="N102" i="7"/>
  <c r="O102" i="7"/>
  <c r="P102" i="7"/>
  <c r="Q102" i="7"/>
  <c r="N103" i="7"/>
  <c r="O103" i="7"/>
  <c r="P103" i="7"/>
  <c r="Q103" i="7"/>
  <c r="N104" i="7"/>
  <c r="O104" i="7"/>
  <c r="P104" i="7"/>
  <c r="Q104" i="7"/>
  <c r="N105" i="7"/>
  <c r="O105" i="7"/>
  <c r="P105" i="7"/>
  <c r="Q105" i="7"/>
  <c r="N106" i="7"/>
  <c r="O106" i="7"/>
  <c r="P106" i="7"/>
  <c r="Q106" i="7"/>
  <c r="N107" i="7"/>
  <c r="O107" i="7"/>
  <c r="P107" i="7"/>
  <c r="Q107" i="7"/>
  <c r="N108" i="7"/>
  <c r="O108" i="7"/>
  <c r="P108" i="7"/>
  <c r="Q108" i="7"/>
  <c r="N109" i="7"/>
  <c r="O109" i="7"/>
  <c r="P109" i="7"/>
  <c r="Q109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N60" i="7"/>
  <c r="O60" i="7"/>
  <c r="P60" i="7"/>
  <c r="Q60" i="7"/>
  <c r="N61" i="7"/>
  <c r="O61" i="7"/>
  <c r="P61" i="7"/>
  <c r="Q61" i="7"/>
  <c r="N62" i="7"/>
  <c r="O62" i="7"/>
  <c r="P62" i="7"/>
  <c r="Q62" i="7"/>
  <c r="N63" i="7"/>
  <c r="O63" i="7"/>
  <c r="P63" i="7"/>
  <c r="Q63" i="7"/>
  <c r="N64" i="7"/>
  <c r="O64" i="7"/>
  <c r="P64" i="7"/>
  <c r="Q64" i="7"/>
  <c r="N65" i="7"/>
  <c r="O65" i="7"/>
  <c r="P65" i="7"/>
  <c r="Q65" i="7"/>
  <c r="N66" i="7"/>
  <c r="O66" i="7"/>
  <c r="P66" i="7"/>
  <c r="Q66" i="7"/>
  <c r="N67" i="7"/>
  <c r="O67" i="7"/>
  <c r="P67" i="7"/>
  <c r="Q67" i="7"/>
  <c r="N68" i="7"/>
  <c r="O68" i="7"/>
  <c r="P68" i="7"/>
  <c r="Q68" i="7"/>
  <c r="N69" i="7"/>
  <c r="O69" i="7"/>
  <c r="P69" i="7"/>
  <c r="Q69" i="7"/>
  <c r="N70" i="7"/>
  <c r="O70" i="7"/>
  <c r="P70" i="7"/>
  <c r="Q70" i="7"/>
  <c r="N71" i="7"/>
  <c r="O71" i="7"/>
  <c r="P71" i="7"/>
  <c r="Q71" i="7"/>
  <c r="N72" i="7"/>
  <c r="O72" i="7"/>
  <c r="P72" i="7"/>
  <c r="Q72" i="7"/>
  <c r="N73" i="7"/>
  <c r="O73" i="7"/>
  <c r="P73" i="7"/>
  <c r="Q73" i="7"/>
  <c r="N74" i="7"/>
  <c r="O74" i="7"/>
  <c r="P74" i="7"/>
  <c r="Q74" i="7"/>
  <c r="N75" i="7"/>
  <c r="O75" i="7"/>
  <c r="P75" i="7"/>
  <c r="Q75" i="7"/>
  <c r="N76" i="7"/>
  <c r="O76" i="7"/>
  <c r="P76" i="7"/>
  <c r="Q76" i="7"/>
  <c r="N77" i="7"/>
  <c r="O77" i="7"/>
  <c r="P77" i="7"/>
  <c r="Q77" i="7"/>
  <c r="N78" i="7"/>
  <c r="O78" i="7"/>
  <c r="P78" i="7"/>
  <c r="Q78" i="7"/>
  <c r="N79" i="7"/>
  <c r="O79" i="7"/>
  <c r="P79" i="7"/>
  <c r="Q79" i="7"/>
  <c r="N80" i="7"/>
  <c r="O80" i="7"/>
  <c r="P80" i="7"/>
  <c r="Q80" i="7"/>
  <c r="N81" i="7"/>
  <c r="O81" i="7"/>
  <c r="P81" i="7"/>
  <c r="Q81" i="7"/>
  <c r="N82" i="7"/>
  <c r="O82" i="7"/>
  <c r="P82" i="7"/>
  <c r="Q82" i="7"/>
  <c r="N83" i="7"/>
  <c r="O83" i="7"/>
  <c r="P83" i="7"/>
  <c r="Q83" i="7"/>
  <c r="N84" i="7"/>
  <c r="O84" i="7"/>
  <c r="P84" i="7"/>
  <c r="Q84" i="7"/>
  <c r="N85" i="7"/>
  <c r="O85" i="7"/>
  <c r="P85" i="7"/>
  <c r="Q85" i="7"/>
  <c r="N86" i="7"/>
  <c r="O86" i="7"/>
  <c r="P86" i="7"/>
  <c r="Q86" i="7"/>
  <c r="N87" i="7"/>
  <c r="O87" i="7"/>
  <c r="P87" i="7"/>
  <c r="Q87" i="7"/>
  <c r="N88" i="7"/>
  <c r="O88" i="7"/>
  <c r="P88" i="7"/>
  <c r="Q88" i="7"/>
  <c r="N89" i="7"/>
  <c r="O89" i="7"/>
  <c r="P89" i="7"/>
  <c r="Q89" i="7"/>
  <c r="N90" i="7"/>
  <c r="O90" i="7"/>
  <c r="P90" i="7"/>
  <c r="Q90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N26" i="7"/>
  <c r="O26" i="7"/>
  <c r="P26" i="7"/>
  <c r="Q26" i="7"/>
  <c r="N27" i="7"/>
  <c r="O27" i="7"/>
  <c r="P27" i="7"/>
  <c r="Q27" i="7"/>
  <c r="N28" i="7"/>
  <c r="O28" i="7"/>
  <c r="P28" i="7"/>
  <c r="Q28" i="7"/>
  <c r="N29" i="7"/>
  <c r="O29" i="7"/>
  <c r="P29" i="7"/>
  <c r="Q29" i="7"/>
  <c r="N30" i="7"/>
  <c r="O30" i="7"/>
  <c r="P30" i="7"/>
  <c r="Q30" i="7"/>
  <c r="N31" i="7"/>
  <c r="O31" i="7"/>
  <c r="P31" i="7"/>
  <c r="Q31" i="7"/>
  <c r="N32" i="7"/>
  <c r="O32" i="7"/>
  <c r="P32" i="7"/>
  <c r="Q32" i="7"/>
  <c r="N33" i="7"/>
  <c r="O33" i="7"/>
  <c r="P33" i="7"/>
  <c r="Q33" i="7"/>
  <c r="N34" i="7"/>
  <c r="O34" i="7"/>
  <c r="P34" i="7"/>
  <c r="Q34" i="7"/>
  <c r="N35" i="7"/>
  <c r="O35" i="7"/>
  <c r="P35" i="7"/>
  <c r="Q35" i="7"/>
  <c r="N36" i="7"/>
  <c r="O36" i="7"/>
  <c r="P36" i="7"/>
  <c r="Q36" i="7"/>
  <c r="N37" i="7"/>
  <c r="O37" i="7"/>
  <c r="P37" i="7"/>
  <c r="Q37" i="7"/>
  <c r="N38" i="7"/>
  <c r="O38" i="7"/>
  <c r="P38" i="7"/>
  <c r="Q38" i="7"/>
  <c r="N39" i="7"/>
  <c r="O39" i="7"/>
  <c r="P39" i="7"/>
  <c r="Q39" i="7"/>
  <c r="N40" i="7"/>
  <c r="O40" i="7"/>
  <c r="P40" i="7"/>
  <c r="Q40" i="7"/>
  <c r="N41" i="7"/>
  <c r="O41" i="7"/>
  <c r="P41" i="7"/>
  <c r="Q41" i="7"/>
  <c r="N42" i="7"/>
  <c r="O42" i="7"/>
  <c r="P42" i="7"/>
  <c r="Q42" i="7"/>
  <c r="N43" i="7"/>
  <c r="O43" i="7"/>
  <c r="P43" i="7"/>
  <c r="Q43" i="7"/>
  <c r="N44" i="7"/>
  <c r="O44" i="7"/>
  <c r="P44" i="7"/>
  <c r="Q44" i="7"/>
  <c r="N45" i="7"/>
  <c r="O45" i="7"/>
  <c r="P45" i="7"/>
  <c r="Q45" i="7"/>
  <c r="N46" i="7"/>
  <c r="O46" i="7"/>
  <c r="P46" i="7"/>
  <c r="Q46" i="7"/>
  <c r="N47" i="7"/>
  <c r="O47" i="7"/>
  <c r="P47" i="7"/>
  <c r="Q47" i="7"/>
  <c r="N48" i="7"/>
  <c r="O48" i="7"/>
  <c r="P48" i="7"/>
  <c r="Q48" i="7"/>
  <c r="N49" i="7"/>
  <c r="O49" i="7"/>
  <c r="P49" i="7"/>
  <c r="Q49" i="7"/>
  <c r="N50" i="7"/>
  <c r="O50" i="7"/>
  <c r="P50" i="7"/>
  <c r="Q50" i="7"/>
  <c r="N51" i="7"/>
  <c r="O51" i="7"/>
  <c r="P51" i="7"/>
  <c r="Q51" i="7"/>
  <c r="N52" i="7"/>
  <c r="O52" i="7"/>
  <c r="P52" i="7"/>
  <c r="Q52" i="7"/>
  <c r="N53" i="7"/>
  <c r="O53" i="7"/>
  <c r="P53" i="7"/>
  <c r="Q53" i="7"/>
  <c r="N54" i="7"/>
  <c r="O54" i="7"/>
  <c r="P54" i="7"/>
  <c r="Q54" i="7"/>
  <c r="N55" i="7"/>
  <c r="O55" i="7"/>
  <c r="P55" i="7"/>
  <c r="Q55" i="7"/>
  <c r="L174" i="7"/>
  <c r="L175" i="7"/>
  <c r="L176" i="7"/>
  <c r="L177" i="7"/>
  <c r="L178" i="7"/>
  <c r="L179" i="7"/>
  <c r="L180" i="7"/>
  <c r="L181" i="7"/>
  <c r="L182" i="7"/>
  <c r="L183" i="7"/>
  <c r="J174" i="7"/>
  <c r="J175" i="7"/>
  <c r="J176" i="7"/>
  <c r="J177" i="7"/>
  <c r="J178" i="7"/>
  <c r="J179" i="7"/>
  <c r="J180" i="7"/>
  <c r="J181" i="7"/>
  <c r="J182" i="7"/>
  <c r="J183" i="7"/>
  <c r="J163" i="7"/>
  <c r="J164" i="7"/>
  <c r="L163" i="7"/>
  <c r="L164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L126" i="7"/>
  <c r="L127" i="7"/>
  <c r="L128" i="7"/>
  <c r="L129" i="7"/>
  <c r="L125" i="7"/>
  <c r="J126" i="7"/>
  <c r="J127" i="7"/>
  <c r="J128" i="7"/>
  <c r="J129" i="7"/>
  <c r="J125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L6" i="7" l="1"/>
  <c r="M6" i="7"/>
  <c r="N6" i="7"/>
  <c r="O6" i="7"/>
  <c r="P6" i="7"/>
  <c r="Q6" i="7"/>
  <c r="L7" i="7"/>
  <c r="M7" i="7"/>
  <c r="N7" i="7"/>
  <c r="O7" i="7"/>
  <c r="P7" i="7"/>
  <c r="Q7" i="7"/>
  <c r="L8" i="7"/>
  <c r="M8" i="7"/>
  <c r="N8" i="7"/>
  <c r="O8" i="7"/>
  <c r="P8" i="7"/>
  <c r="Q8" i="7"/>
  <c r="L9" i="7"/>
  <c r="M9" i="7"/>
  <c r="N9" i="7"/>
  <c r="O9" i="7"/>
  <c r="P9" i="7"/>
  <c r="Q9" i="7"/>
  <c r="L10" i="7"/>
  <c r="M10" i="7"/>
  <c r="N10" i="7"/>
  <c r="O10" i="7"/>
  <c r="P10" i="7"/>
  <c r="Q10" i="7"/>
  <c r="L11" i="7"/>
  <c r="M11" i="7"/>
  <c r="N11" i="7"/>
  <c r="O11" i="7"/>
  <c r="P11" i="7"/>
  <c r="Q11" i="7"/>
  <c r="L12" i="7"/>
  <c r="M12" i="7"/>
  <c r="N12" i="7"/>
  <c r="O12" i="7"/>
  <c r="P12" i="7"/>
  <c r="Q12" i="7"/>
  <c r="L13" i="7"/>
  <c r="M13" i="7"/>
  <c r="N13" i="7"/>
  <c r="O13" i="7"/>
  <c r="P13" i="7"/>
  <c r="Q13" i="7"/>
  <c r="L14" i="7"/>
  <c r="M14" i="7"/>
  <c r="N14" i="7"/>
  <c r="O14" i="7"/>
  <c r="P14" i="7"/>
  <c r="Q14" i="7"/>
  <c r="L15" i="7"/>
  <c r="M15" i="7"/>
  <c r="N15" i="7"/>
  <c r="O15" i="7"/>
  <c r="P15" i="7"/>
  <c r="Q15" i="7"/>
  <c r="L16" i="7"/>
  <c r="M16" i="7"/>
  <c r="N16" i="7"/>
  <c r="O16" i="7"/>
  <c r="P16" i="7"/>
  <c r="Q16" i="7"/>
  <c r="L17" i="7"/>
  <c r="M17" i="7"/>
  <c r="N17" i="7"/>
  <c r="O17" i="7"/>
  <c r="P17" i="7"/>
  <c r="Q17" i="7"/>
  <c r="L18" i="7"/>
  <c r="M18" i="7"/>
  <c r="N18" i="7"/>
  <c r="O18" i="7"/>
  <c r="P18" i="7"/>
  <c r="Q18" i="7"/>
  <c r="L19" i="7"/>
  <c r="M19" i="7"/>
  <c r="N19" i="7"/>
  <c r="O19" i="7"/>
  <c r="P19" i="7"/>
  <c r="Q19" i="7"/>
  <c r="L20" i="7"/>
  <c r="M20" i="7"/>
  <c r="N20" i="7"/>
  <c r="O20" i="7"/>
  <c r="P20" i="7"/>
  <c r="Q20" i="7"/>
  <c r="L21" i="7"/>
  <c r="M21" i="7"/>
  <c r="N21" i="7"/>
  <c r="O21" i="7"/>
  <c r="P21" i="7"/>
  <c r="Q21" i="7"/>
  <c r="M22" i="7"/>
  <c r="T139" i="7"/>
  <c r="I121" i="7"/>
  <c r="I119" i="7"/>
  <c r="I118" i="7"/>
  <c r="I117" i="7"/>
  <c r="I116" i="7"/>
  <c r="I115" i="7"/>
  <c r="I114" i="7"/>
  <c r="I113" i="7"/>
  <c r="I112" i="7"/>
  <c r="I109" i="7"/>
  <c r="I107" i="7"/>
  <c r="I106" i="7"/>
  <c r="I105" i="7"/>
  <c r="I102" i="7"/>
  <c r="I101" i="7"/>
  <c r="I100" i="7"/>
  <c r="I99" i="7"/>
  <c r="I98" i="7"/>
  <c r="I97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H13" i="7"/>
  <c r="D150" i="7" l="1"/>
  <c r="S118" i="7"/>
  <c r="R118" i="7"/>
  <c r="K118" i="7"/>
  <c r="G118" i="7"/>
  <c r="F118" i="7"/>
  <c r="E118" i="7"/>
  <c r="D118" i="7"/>
  <c r="U99" i="7" l="1"/>
  <c r="K99" i="7"/>
  <c r="G99" i="7"/>
  <c r="E99" i="7"/>
  <c r="D99" i="7"/>
  <c r="U65" i="7"/>
  <c r="H65" i="7"/>
  <c r="U31" i="7"/>
  <c r="H31" i="7"/>
  <c r="S96" i="7"/>
  <c r="R96" i="7"/>
  <c r="K96" i="7"/>
  <c r="G96" i="7"/>
  <c r="E96" i="7"/>
  <c r="H96" i="7" s="1"/>
  <c r="D96" i="7"/>
  <c r="S109" i="7" l="1"/>
  <c r="R109" i="7"/>
  <c r="K109" i="7"/>
  <c r="G109" i="7"/>
  <c r="E109" i="7"/>
  <c r="D109" i="7"/>
  <c r="H9" i="7"/>
  <c r="S98" i="7"/>
  <c r="R98" i="7"/>
  <c r="K98" i="7"/>
  <c r="G98" i="7"/>
  <c r="E98" i="7"/>
  <c r="D98" i="7"/>
  <c r="S95" i="7"/>
  <c r="R95" i="7"/>
  <c r="H49" i="7"/>
  <c r="H89" i="7" l="1"/>
  <c r="S117" i="7"/>
  <c r="R117" i="7"/>
  <c r="K117" i="7"/>
  <c r="G117" i="7"/>
  <c r="E117" i="7"/>
  <c r="D117" i="7"/>
  <c r="S114" i="7"/>
  <c r="R114" i="7"/>
  <c r="K114" i="7"/>
  <c r="G114" i="7"/>
  <c r="E114" i="7"/>
  <c r="D114" i="7"/>
  <c r="H177" i="7"/>
  <c r="S115" i="7"/>
  <c r="R115" i="7"/>
  <c r="K115" i="7"/>
  <c r="G115" i="7"/>
  <c r="E115" i="7"/>
  <c r="D115" i="7"/>
  <c r="H80" i="7"/>
  <c r="D69" i="7"/>
  <c r="D10" i="7"/>
  <c r="P125" i="7"/>
  <c r="N125" i="7"/>
  <c r="M125" i="7"/>
  <c r="H125" i="7"/>
  <c r="H134" i="7"/>
  <c r="S100" i="7"/>
  <c r="R100" i="7"/>
  <c r="K100" i="7"/>
  <c r="H98" i="7"/>
  <c r="H99" i="7"/>
  <c r="H101" i="7"/>
  <c r="G100" i="7"/>
  <c r="E100" i="7"/>
  <c r="H100" i="7" s="1"/>
  <c r="D100" i="7"/>
  <c r="O101" i="7" l="1"/>
  <c r="Q101" i="7"/>
  <c r="Q125" i="7"/>
  <c r="O125" i="7"/>
  <c r="D141" i="7" l="1"/>
  <c r="H179" i="7"/>
  <c r="H178" i="7"/>
  <c r="H180" i="7"/>
  <c r="H174" i="7" l="1"/>
  <c r="H176" i="7"/>
  <c r="H181" i="7"/>
  <c r="H182" i="7"/>
  <c r="H183" i="7"/>
  <c r="H173" i="7"/>
  <c r="H170" i="7"/>
  <c r="H169" i="7"/>
  <c r="H163" i="7"/>
  <c r="H164" i="7"/>
  <c r="H162" i="7"/>
  <c r="H135" i="7"/>
  <c r="H136" i="7"/>
  <c r="H137" i="7"/>
  <c r="H138" i="7"/>
  <c r="H140" i="7"/>
  <c r="H143" i="7"/>
  <c r="H144" i="7"/>
  <c r="H145" i="7"/>
  <c r="H146" i="7"/>
  <c r="H147" i="7"/>
  <c r="H148" i="7"/>
  <c r="H149" i="7"/>
  <c r="H150" i="7"/>
  <c r="H151" i="7"/>
  <c r="H152" i="7"/>
  <c r="H141" i="7"/>
  <c r="H154" i="7"/>
  <c r="H155" i="7"/>
  <c r="H156" i="7"/>
  <c r="H157" i="7"/>
  <c r="H158" i="7"/>
  <c r="H133" i="7"/>
  <c r="H127" i="7"/>
  <c r="H128" i="7"/>
  <c r="H129" i="7"/>
  <c r="H126" i="7"/>
  <c r="H120" i="7"/>
  <c r="H103" i="7"/>
  <c r="H104" i="7"/>
  <c r="H108" i="7"/>
  <c r="H109" i="7"/>
  <c r="H95" i="7"/>
  <c r="H60" i="7"/>
  <c r="H61" i="7"/>
  <c r="H62" i="7"/>
  <c r="H63" i="7"/>
  <c r="H64" i="7"/>
  <c r="H78" i="7"/>
  <c r="H66" i="7"/>
  <c r="H67" i="7"/>
  <c r="H68" i="7"/>
  <c r="H70" i="7"/>
  <c r="H72" i="7"/>
  <c r="H73" i="7"/>
  <c r="H74" i="7"/>
  <c r="H76" i="7"/>
  <c r="H77" i="7"/>
  <c r="H79" i="7"/>
  <c r="H81" i="7"/>
  <c r="H82" i="7"/>
  <c r="H83" i="7"/>
  <c r="H84" i="7"/>
  <c r="H85" i="7"/>
  <c r="H86" i="7"/>
  <c r="H87" i="7"/>
  <c r="H69" i="7"/>
  <c r="H88" i="7"/>
  <c r="H75" i="7"/>
  <c r="H90" i="7"/>
  <c r="H59" i="7"/>
  <c r="H26" i="7"/>
  <c r="H27" i="7"/>
  <c r="H28" i="7"/>
  <c r="H29" i="7"/>
  <c r="H30" i="7"/>
  <c r="H32" i="7"/>
  <c r="H33" i="7"/>
  <c r="H34" i="7"/>
  <c r="H35" i="7"/>
  <c r="H38" i="7"/>
  <c r="H39" i="7"/>
  <c r="H40" i="7"/>
  <c r="H41" i="7"/>
  <c r="H42" i="7"/>
  <c r="H43" i="7"/>
  <c r="H44" i="7"/>
  <c r="H45" i="7"/>
  <c r="H46" i="7"/>
  <c r="H47" i="7"/>
  <c r="H48" i="7"/>
  <c r="H50" i="7"/>
  <c r="H51" i="7"/>
  <c r="H52" i="7"/>
  <c r="H53" i="7"/>
  <c r="H54" i="7"/>
  <c r="H25" i="7"/>
  <c r="H6" i="7"/>
  <c r="H7" i="7"/>
  <c r="H8" i="7"/>
  <c r="H11" i="7"/>
  <c r="H12" i="7"/>
  <c r="H14" i="7"/>
  <c r="H15" i="7"/>
  <c r="H16" i="7"/>
  <c r="H17" i="7"/>
  <c r="H18" i="7"/>
  <c r="H19" i="7"/>
  <c r="H20" i="7"/>
  <c r="H10" i="7"/>
  <c r="H21" i="7"/>
  <c r="H5" i="7"/>
  <c r="O120" i="7" l="1"/>
  <c r="Q120" i="7"/>
  <c r="S97" i="7"/>
  <c r="R97" i="7"/>
  <c r="K97" i="7"/>
  <c r="G97" i="7"/>
  <c r="E97" i="7"/>
  <c r="H97" i="7" s="1"/>
  <c r="D97" i="7"/>
  <c r="S121" i="7" l="1"/>
  <c r="R121" i="7"/>
  <c r="K121" i="7"/>
  <c r="G121" i="7"/>
  <c r="E121" i="7"/>
  <c r="H121" i="7" s="1"/>
  <c r="D121" i="7"/>
  <c r="S119" i="7" l="1"/>
  <c r="R119" i="7"/>
  <c r="K119" i="7"/>
  <c r="G119" i="7"/>
  <c r="E119" i="7"/>
  <c r="H119" i="7" s="1"/>
  <c r="D119" i="7"/>
  <c r="S113" i="7"/>
  <c r="R113" i="7"/>
  <c r="K113" i="7"/>
  <c r="G113" i="7"/>
  <c r="E113" i="7"/>
  <c r="H113" i="7" s="1"/>
  <c r="D113" i="7"/>
  <c r="S105" i="7" l="1"/>
  <c r="R105" i="7"/>
  <c r="K105" i="7"/>
  <c r="G105" i="7"/>
  <c r="E105" i="7"/>
  <c r="H105" i="7" s="1"/>
  <c r="D105" i="7"/>
  <c r="S107" i="7" l="1"/>
  <c r="R107" i="7"/>
  <c r="K107" i="7"/>
  <c r="G107" i="7"/>
  <c r="E107" i="7"/>
  <c r="H107" i="7" s="1"/>
  <c r="D107" i="7"/>
  <c r="S102" i="7" l="1"/>
  <c r="R102" i="7"/>
  <c r="K102" i="7"/>
  <c r="G102" i="7"/>
  <c r="E102" i="7"/>
  <c r="H102" i="7" s="1"/>
  <c r="D102" i="7"/>
  <c r="S112" i="7"/>
  <c r="R112" i="7"/>
  <c r="K112" i="7"/>
  <c r="G112" i="7"/>
  <c r="E112" i="7"/>
  <c r="H112" i="7" s="1"/>
  <c r="D112" i="7"/>
  <c r="S106" i="7"/>
  <c r="R106" i="7"/>
  <c r="D106" i="7"/>
  <c r="K106" i="7"/>
  <c r="E106" i="7"/>
  <c r="G106" i="7"/>
  <c r="S104" i="7"/>
  <c r="R104" i="7"/>
  <c r="S103" i="7"/>
  <c r="R103" i="7"/>
  <c r="H106" i="7" l="1"/>
  <c r="H118" i="7"/>
  <c r="H114" i="7" l="1"/>
  <c r="T184" i="7"/>
  <c r="K184" i="7"/>
  <c r="I184" i="7"/>
  <c r="Q173" i="7"/>
  <c r="P173" i="7"/>
  <c r="O173" i="7"/>
  <c r="N173" i="7"/>
  <c r="M173" i="7"/>
  <c r="J173" i="7"/>
  <c r="J170" i="7"/>
  <c r="J169" i="7"/>
  <c r="T165" i="7"/>
  <c r="K165" i="7"/>
  <c r="I165" i="7"/>
  <c r="Q162" i="7"/>
  <c r="P162" i="7"/>
  <c r="O162" i="7"/>
  <c r="N162" i="7"/>
  <c r="M162" i="7"/>
  <c r="J162" i="7"/>
  <c r="K159" i="7"/>
  <c r="I159" i="7"/>
  <c r="T159" i="7"/>
  <c r="Q133" i="7"/>
  <c r="P133" i="7"/>
  <c r="O133" i="7"/>
  <c r="N133" i="7"/>
  <c r="M133" i="7"/>
  <c r="T130" i="7"/>
  <c r="K130" i="7"/>
  <c r="I130" i="7"/>
  <c r="T122" i="7"/>
  <c r="H117" i="7"/>
  <c r="H115" i="7"/>
  <c r="P112" i="7"/>
  <c r="N112" i="7"/>
  <c r="M112" i="7"/>
  <c r="K122" i="7"/>
  <c r="I122" i="7"/>
  <c r="Q95" i="7"/>
  <c r="P95" i="7"/>
  <c r="O95" i="7"/>
  <c r="N95" i="7"/>
  <c r="M95" i="7"/>
  <c r="J95" i="7"/>
  <c r="T91" i="7"/>
  <c r="K91" i="7"/>
  <c r="I91" i="7"/>
  <c r="Q59" i="7"/>
  <c r="P59" i="7"/>
  <c r="O59" i="7"/>
  <c r="N59" i="7"/>
  <c r="M59" i="7"/>
  <c r="T56" i="7"/>
  <c r="K56" i="7"/>
  <c r="I56" i="7"/>
  <c r="Q25" i="7"/>
  <c r="P25" i="7"/>
  <c r="O25" i="7"/>
  <c r="N25" i="7"/>
  <c r="M25" i="7"/>
  <c r="T22" i="7"/>
  <c r="K22" i="7"/>
  <c r="I22" i="7"/>
  <c r="Q5" i="7"/>
  <c r="P5" i="7"/>
  <c r="O5" i="7"/>
  <c r="N5" i="7"/>
  <c r="M5" i="7"/>
  <c r="B9" i="3" l="1"/>
  <c r="D8" i="2"/>
  <c r="J114" i="7"/>
  <c r="J116" i="7"/>
  <c r="J118" i="7"/>
  <c r="J120" i="7"/>
  <c r="J96" i="7"/>
  <c r="J98" i="7"/>
  <c r="J100" i="7"/>
  <c r="J102" i="7"/>
  <c r="J104" i="7"/>
  <c r="J106" i="7"/>
  <c r="J108" i="7"/>
  <c r="J113" i="7"/>
  <c r="J115" i="7"/>
  <c r="J117" i="7"/>
  <c r="J119" i="7"/>
  <c r="J121" i="7"/>
  <c r="J97" i="7"/>
  <c r="J99" i="7"/>
  <c r="J101" i="7"/>
  <c r="J103" i="7"/>
  <c r="J105" i="7"/>
  <c r="J107" i="7"/>
  <c r="J109" i="7"/>
  <c r="M122" i="7"/>
  <c r="L113" i="7"/>
  <c r="L115" i="7"/>
  <c r="L117" i="7"/>
  <c r="L119" i="7"/>
  <c r="L121" i="7"/>
  <c r="L97" i="7"/>
  <c r="L99" i="7"/>
  <c r="L101" i="7"/>
  <c r="L103" i="7"/>
  <c r="L105" i="7"/>
  <c r="L107" i="7"/>
  <c r="L109" i="7"/>
  <c r="L114" i="7"/>
  <c r="L116" i="7"/>
  <c r="L118" i="7"/>
  <c r="L120" i="7"/>
  <c r="L96" i="7"/>
  <c r="L98" i="7"/>
  <c r="L100" i="7"/>
  <c r="L102" i="7"/>
  <c r="L104" i="7"/>
  <c r="L106" i="7"/>
  <c r="L108" i="7"/>
  <c r="J133" i="7"/>
  <c r="J5" i="7"/>
  <c r="J59" i="7"/>
  <c r="L59" i="7"/>
  <c r="L173" i="7"/>
  <c r="L162" i="7"/>
  <c r="L5" i="7"/>
  <c r="T185" i="7"/>
  <c r="L133" i="7"/>
  <c r="L25" i="7"/>
  <c r="L95" i="7"/>
  <c r="Q112" i="7"/>
  <c r="O112" i="7"/>
  <c r="J112" i="7"/>
  <c r="L112" i="7"/>
  <c r="I185" i="7"/>
  <c r="J165" i="7" s="1"/>
  <c r="K185" i="7"/>
  <c r="J25" i="7"/>
  <c r="L56" i="7" l="1"/>
  <c r="L22" i="7"/>
  <c r="J122" i="7"/>
  <c r="L91" i="7"/>
  <c r="J184" i="7"/>
  <c r="J159" i="7"/>
  <c r="J130" i="7"/>
  <c r="J22" i="7"/>
  <c r="L165" i="7"/>
  <c r="L184" i="7"/>
  <c r="L159" i="7"/>
  <c r="L130" i="7"/>
  <c r="L122" i="7"/>
  <c r="J91" i="7"/>
  <c r="J56" i="7"/>
</calcChain>
</file>

<file path=xl/sharedStrings.xml><?xml version="1.0" encoding="utf-8"?>
<sst xmlns="http://schemas.openxmlformats.org/spreadsheetml/2006/main" count="387" uniqueCount="262">
  <si>
    <t>S/N</t>
  </si>
  <si>
    <t>FUND</t>
  </si>
  <si>
    <t>FUND MANAGER</t>
  </si>
  <si>
    <t>TOTAL VALUE OF INVESTMENT (N)</t>
  </si>
  <si>
    <t>TOTAL INCOME (N)</t>
  </si>
  <si>
    <t>TOTAL EXPENSES (N)</t>
  </si>
  <si>
    <t>NET INCOME/LOSS (N)</t>
  </si>
  <si>
    <t xml:space="preserve">NET ASSET VALUE (N) </t>
  </si>
  <si>
    <t>% CHANGE IN NAV</t>
  </si>
  <si>
    <t>EXPENSE RATIO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</si>
  <si>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</si>
  <si>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</si>
  <si>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</si>
  <si>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</si>
  <si>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</si>
  <si>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</si>
  <si>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OPENING NUMBER OF UNITS</t>
  </si>
  <si>
    <t>CLOSING NUMBER OF UNITS</t>
  </si>
  <si>
    <t>EQUITY BASED FUNDS</t>
  </si>
  <si>
    <t>Afrinvest Equity Fund</t>
  </si>
  <si>
    <t>Afrinvest Asset Management Ltd.</t>
  </si>
  <si>
    <t>Anchoria Equity Fund</t>
  </si>
  <si>
    <t>Anchoria Asset Management Limited</t>
  </si>
  <si>
    <t>ARM Aggressive Growth Fund</t>
  </si>
  <si>
    <t xml:space="preserve">ARM Investment Managers Limited </t>
  </si>
  <si>
    <t>AXA Mansard Equity Income Fund</t>
  </si>
  <si>
    <t>AXA Mansard Investments Limited</t>
  </si>
  <si>
    <t>FBN Nigeria Smart Beta Equity Fund</t>
  </si>
  <si>
    <t>FBN Capital Asset Mgt</t>
  </si>
  <si>
    <t>Frontier Fund</t>
  </si>
  <si>
    <t>SCM Capital Limited</t>
  </si>
  <si>
    <t>Futureview Equity Fund</t>
  </si>
  <si>
    <t xml:space="preserve">Futureview Asset Management Limited </t>
  </si>
  <si>
    <t>Guaranty Trust Equity Income Fund</t>
  </si>
  <si>
    <t>Guaranty Trust Fund Managers Limited</t>
  </si>
  <si>
    <t>Legacy Equity Fund</t>
  </si>
  <si>
    <t>First City Asset Management Plc</t>
  </si>
  <si>
    <t>Meristem Equity Market Fund</t>
  </si>
  <si>
    <t>Meristem Wealth Management Limited</t>
  </si>
  <si>
    <t>Pacam Equity Fund</t>
  </si>
  <si>
    <t>PAC Asset Management Ltd.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</si>
  <si>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</si>
  <si>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</si>
  <si>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</si>
  <si>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</si>
  <si>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</si>
  <si>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Cowry Treasurers Limited</t>
  </si>
  <si>
    <t>United Capital Equity Fund</t>
  </si>
  <si>
    <t>United Capital Asset Mgt. Ltd</t>
  </si>
  <si>
    <t>Sub 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</si>
  <si>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</si>
  <si>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</si>
  <si>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</si>
  <si>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</si>
  <si>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</si>
  <si>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</si>
  <si>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ARM Investment Managers Limited</t>
  </si>
  <si>
    <t>AXA Mansard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</si>
  <si>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</si>
  <si>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</si>
  <si>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</si>
  <si>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</si>
  <si>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</si>
  <si>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</si>
  <si>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Limited</t>
  </si>
  <si>
    <t>EDC Money Market Class A</t>
  </si>
  <si>
    <t>EDC Fund Management</t>
  </si>
  <si>
    <t>EDC Money Market Class B</t>
  </si>
  <si>
    <t>Emerging Africa Money Market Fund</t>
  </si>
  <si>
    <t>Emerging Africa Asset Management Limited</t>
  </si>
  <si>
    <t>FAAM Money Market Fund</t>
  </si>
  <si>
    <t>First Ally Asset Management Limited</t>
  </si>
  <si>
    <t>FBN Money Market Fund</t>
  </si>
  <si>
    <t>FBN Capital Asset Mgt. Limited</t>
  </si>
  <si>
    <t>GDL Money Market Fund</t>
  </si>
  <si>
    <t xml:space="preserve">Growth and Development Asset Management Limited </t>
  </si>
  <si>
    <t>Greenwich Plus Money Market</t>
  </si>
  <si>
    <t xml:space="preserve">Greenwich Asst Management Ltd </t>
  </si>
  <si>
    <t>Guaranty Trust Money Market Fund</t>
  </si>
  <si>
    <t>Legacy Money Market Fund</t>
  </si>
  <si>
    <t>Meristem Money Market Fund</t>
  </si>
  <si>
    <t>Norrenberger Money Market Fund</t>
  </si>
  <si>
    <t>Norrenberger Investment and Capital Management Limited</t>
  </si>
  <si>
    <t>NOVA Prime Money Market Fund</t>
  </si>
  <si>
    <t>NOVAMBL Asset Management Limited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</si>
  <si>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</si>
  <si>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</si>
  <si>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</si>
  <si>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</si>
  <si>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</si>
  <si>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</si>
  <si>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</si>
  <si>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</si>
  <si>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 Limited</t>
  </si>
  <si>
    <t>Zenith Money Market Fund</t>
  </si>
  <si>
    <t>Zenith Asset Management Ltd</t>
  </si>
  <si>
    <t>BOND/FIXED INCOME FUNDS</t>
  </si>
  <si>
    <t>Anchoria Fixed Income Fund</t>
  </si>
  <si>
    <t>ARM Short Term-Bond Fund</t>
  </si>
  <si>
    <t>ARM Investment Managers</t>
  </si>
  <si>
    <t>AVA GAM Fixed Income Naira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</si>
  <si>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</si>
  <si>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</si>
  <si>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</si>
  <si>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</si>
  <si>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Assset &amp; Trust Limited</t>
  </si>
  <si>
    <t>Coral Income Fund</t>
  </si>
  <si>
    <t>Cordros Fixed Income Fund</t>
  </si>
  <si>
    <t>Coronation Fixed Income Fund</t>
  </si>
  <si>
    <t>DLM Fixed Income Fund</t>
  </si>
  <si>
    <t>DLM Asset Management Limited</t>
  </si>
  <si>
    <t>EDC Nigeria Fixed Income Fund</t>
  </si>
  <si>
    <t>Emerging Africa Bond Fund</t>
  </si>
  <si>
    <t>GDL Income Fund</t>
  </si>
  <si>
    <t xml:space="preserve">Lead Fixed Income Fund </t>
  </si>
  <si>
    <t>Lead Asset Mgt Ltd</t>
  </si>
  <si>
    <t>Legacy Debt Fund</t>
  </si>
  <si>
    <t>Lotus Halal Fixed Income Fund</t>
  </si>
  <si>
    <t>Lotus Capital Limited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</si>
  <si>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</si>
  <si>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</si>
  <si>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</si>
  <si>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</si>
  <si>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</si>
  <si>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</si>
  <si>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</si>
  <si>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</si>
  <si>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</si>
  <si>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</si>
  <si>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Zenith Income Fund</t>
  </si>
  <si>
    <t>DOLLAR FUND</t>
  </si>
  <si>
    <t>EUROBONDS</t>
  </si>
  <si>
    <t>Afrinvest Dollar Fund</t>
  </si>
  <si>
    <t>ARM Eurobond Fund</t>
  </si>
  <si>
    <t>Emerging Africa Eurobond Fund</t>
  </si>
  <si>
    <t>FBN Dollar Fund (Retail)</t>
  </si>
  <si>
    <t>FBNQuest Asset Management Limited</t>
  </si>
  <si>
    <t>FBN Specialized Dollar Fund</t>
  </si>
  <si>
    <t>Futureview Dollar Fund</t>
  </si>
  <si>
    <t>Futureview Asset Management Limited</t>
  </si>
  <si>
    <t>Legacy USD Bond Fund</t>
  </si>
  <si>
    <t>First City Asset Management Ltd.</t>
  </si>
  <si>
    <t>Nigerian Eurobond Fund</t>
  </si>
  <si>
    <t>Norrenberger Dollar Fund</t>
  </si>
  <si>
    <t>Pacam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</si>
  <si>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</si>
  <si>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</si>
  <si>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</si>
  <si>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</si>
  <si>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</si>
  <si>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</si>
  <si>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</si>
  <si>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</si>
  <si>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 xml:space="preserve">United Capital Global Fixed Income Fund </t>
  </si>
  <si>
    <t>Vantage Dollar Fund</t>
  </si>
  <si>
    <t>REAL ESTATE FUNDS</t>
  </si>
  <si>
    <t>Nigeria Real Estate Investment Trust</t>
  </si>
  <si>
    <t>SFS Real Estate Investment Trust Fund</t>
  </si>
  <si>
    <t>Union Homes REITS</t>
  </si>
  <si>
    <t>UPDC Real Estate Investment Fund</t>
  </si>
  <si>
    <t>Stanbic IBTC Asset Management Limited</t>
  </si>
  <si>
    <t>BALANCED FUNDS</t>
  </si>
  <si>
    <t>AIICO Balanced Fund</t>
  </si>
  <si>
    <t>ARM Discovery Balanced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</si>
  <si>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</si>
  <si>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</si>
  <si>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</si>
  <si>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</si>
  <si>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</si>
  <si>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EDC Balanced Fund</t>
  </si>
  <si>
    <t>EDC Fund Management Limited</t>
  </si>
  <si>
    <t>Emerging Africa Balanced-Diversity Fund</t>
  </si>
  <si>
    <t>FBN Balanced Fund</t>
  </si>
  <si>
    <t>GDL Canary Balanced Fund</t>
  </si>
  <si>
    <t>Greenwich Balanced Fund</t>
  </si>
  <si>
    <t>Guaranty Trust Balanced Fund</t>
  </si>
  <si>
    <t xml:space="preserve">Lead Balanced Fund </t>
  </si>
  <si>
    <t>Nigeria Energy Sector Fund</t>
  </si>
  <si>
    <t xml:space="preserve"> </t>
  </si>
  <si>
    <t>NOVA Hybrid Balanced Fund</t>
  </si>
  <si>
    <t>PACAM Balanced Fund</t>
  </si>
  <si>
    <t>Stanbic IBTC Balanced Fund</t>
  </si>
  <si>
    <t>United Capital Balanced Fund</t>
  </si>
  <si>
    <t>ValuAlliance Value Fund</t>
  </si>
  <si>
    <t>Wealth For Women Fund</t>
  </si>
  <si>
    <t>Women's Balanced Fund</t>
  </si>
  <si>
    <t>Zenith Balanced Strategy Fund</t>
  </si>
  <si>
    <t>ETHICAL FUNDS</t>
  </si>
  <si>
    <t>ARM Ethical Fund</t>
  </si>
  <si>
    <t>Stanbic IBTC Ethical Fund</t>
  </si>
  <si>
    <t>Zenith ESG Impact Fund</t>
  </si>
  <si>
    <t>SHARI'AH COMPLIANT FUNDS</t>
  </si>
  <si>
    <t>EQUITIES</t>
  </si>
  <si>
    <t>Lotus Halal Investment  Fund</t>
  </si>
  <si>
    <t>Stanbic IBTC Imaan Fund</t>
  </si>
  <si>
    <t>Capital Trust Halal Fixed Income Fund</t>
  </si>
  <si>
    <t>Capital Trust Investments &amp; Asset Mgt. Ltd</t>
  </si>
  <si>
    <t>Cordros Halal Fixed Income Fund</t>
  </si>
  <si>
    <t>EDC Halal Fund</t>
  </si>
  <si>
    <t>FBN Halal Fund</t>
  </si>
  <si>
    <t>Norrenberger Islamic Fund</t>
  </si>
  <si>
    <t>Stanbic IBTC Shariah Fixed Income Fund</t>
  </si>
  <si>
    <t>United Capital Sukuk Fund</t>
  </si>
  <si>
    <t>Grand Total</t>
  </si>
  <si>
    <t>Note:</t>
  </si>
  <si>
    <t>FUNDS</t>
  </si>
  <si>
    <t>BONDS/FIXED INCOME FUNDS</t>
  </si>
  <si>
    <t>DOLLAR FUNDS</t>
  </si>
  <si>
    <t>REAL ESTATE INVESTMENT TRUST</t>
  </si>
  <si>
    <t>SHARI'AH COMPLAINT FUNDS</t>
  </si>
  <si>
    <t>UNIT HOLDERS</t>
  </si>
  <si>
    <t>ARM Fixed Income Fund</t>
  </si>
  <si>
    <t>UNREALIZED CAPITAL GAINS/LOSS (N)</t>
  </si>
  <si>
    <t>Cowry Balanced Fund</t>
  </si>
  <si>
    <t>The Nigeria Football Fund</t>
  </si>
  <si>
    <t>GTI Asset Management &amp; Trust Limited</t>
  </si>
  <si>
    <t>MONTHLY UPDATE ON REGISTERED MUTUAL FUNDS AS AT 31ST MARCH, 2024</t>
  </si>
  <si>
    <t>FSDH Halal Fund</t>
  </si>
  <si>
    <t>Norrenberger Investment &amp; Capital Mgt Ltd</t>
  </si>
  <si>
    <t>Marble Halal Commodities Fund</t>
  </si>
  <si>
    <t xml:space="preserve">Marble Capital Limited </t>
  </si>
  <si>
    <t>Marble Halal Fixed Income Fund</t>
  </si>
  <si>
    <r>
      <t>US$/NG</t>
    </r>
    <r>
      <rPr>
        <strike/>
        <sz val="10"/>
        <color rgb="FFFFFFFF"/>
        <rFont val="Times New Roman"/>
        <family val="1"/>
      </rPr>
      <t>N</t>
    </r>
    <r>
      <rPr>
        <sz val="10"/>
        <color rgb="FFFFFFFF"/>
        <rFont val="Times New Roman"/>
        <family val="1"/>
      </rPr>
      <t xml:space="preserve"> I&amp;E as at 28th March, 2024 = N1,330.76</t>
    </r>
  </si>
  <si>
    <t>Lead Dollar Fixed Income Fund</t>
  </si>
  <si>
    <t>Lead Asset Management Limited</t>
  </si>
  <si>
    <t>CardinalStone Dollar Fund</t>
  </si>
  <si>
    <t>Comercio Partners Dollar Fund</t>
  </si>
  <si>
    <t>Comercio Partners Asset Management Limited</t>
  </si>
  <si>
    <t>Cowry Eurobond Fund</t>
  </si>
  <si>
    <t>EDC Dollar Fund</t>
  </si>
  <si>
    <t>Comercio Partners Fixed Income Fund</t>
  </si>
  <si>
    <t>Cowry Fixed Income Fund</t>
  </si>
  <si>
    <t>FBN Bond Fund</t>
  </si>
  <si>
    <t>Guaranty Trust Fixed Income Fund</t>
  </si>
  <si>
    <t>Nigeria Bond Fund</t>
  </si>
  <si>
    <t>Norrenberger Investment &amp; Capital Mgt. Ltd.</t>
  </si>
  <si>
    <t>Utica Custodian Assured Fixed Income Fund</t>
  </si>
  <si>
    <t>Utica Capital Limited</t>
  </si>
  <si>
    <t>Alpha Morgan Balanced Fund</t>
  </si>
  <si>
    <t>Alpha Morgan Capital Managers Limited</t>
  </si>
  <si>
    <t>Housing Solution Fund</t>
  </si>
  <si>
    <t>FUNDCO Capital Managers Limited</t>
  </si>
  <si>
    <t>21,220,000</t>
  </si>
  <si>
    <t>Cowry Equity Fund</t>
  </si>
  <si>
    <t>CardinalStone Equity Fund</t>
  </si>
  <si>
    <t>Growth and Development Asset Mgt Ltd</t>
  </si>
  <si>
    <t xml:space="preserve">Growth and Development Asset Mgt Ltd </t>
  </si>
  <si>
    <t>Norrenberger Turbo Fixed Income Fund</t>
  </si>
  <si>
    <t>Coral Money Market Fund</t>
  </si>
  <si>
    <t>25,843,286.62</t>
  </si>
  <si>
    <t>Chapel Hill Denham Money Market Fund</t>
  </si>
  <si>
    <t>Page Money Market Fund</t>
  </si>
  <si>
    <t>Page Asset Management Limited</t>
  </si>
  <si>
    <t>AIICO Eurobond Fund</t>
  </si>
  <si>
    <t>Comercio Partners Money Market Fund</t>
  </si>
  <si>
    <t>NET ASSET VALUE (N) PREVIOUS - FEBRUARY</t>
  </si>
  <si>
    <t>2,211,454,625.20</t>
  </si>
  <si>
    <t>% OF TOTAL</t>
  </si>
  <si>
    <t>January 2024</t>
  </si>
  <si>
    <t>February 2024</t>
  </si>
  <si>
    <t>March 2024</t>
  </si>
  <si>
    <t>The chart above shows that the Dollar Fund (Eurobonds and Fixed Income) has the highest share of the Aggregate Net Asset Value (NAV) at 46.30% followed by Money Market Fund  with 34.56%, Bond/Fixed Income Fund at 10.43%, Real Estate Investment Trust at 3.64%.  Next is Balanced Fund at 1.90%, Shari'ah Compliant Fund at 1.86%, Equity Fund at 1.11%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</si>
</sst>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3" formatCode="_(* #,##0.00_);_(* \(#,##0.00\);_(* &quot;-&quot;??_);_(@_)"/>
    <numFmt numFmtId="164" formatCode="_-* #,##0.00_-;\-* #,##0.00_-;_-* &quot;-&quot;??_-;_-@_-"/>
    <numFmt numFmtId="165" formatCode="0;[Red]0"/>
    <numFmt numFmtId="166" formatCode="mmm\-yyyy"/>
    <numFmt numFmtId="167" formatCode="dd/mm/yy;@"/>
    <numFmt numFmtId="168" formatCode="[$-409]d\-mmm\-yy;@"/>
    <numFmt numFmtId="169" formatCode="&quot;Yes&quot;;&quot;Yes&quot;;&quot;No&quot;"/>
    <numFmt numFmtId="170" formatCode="0.00_)"/>
    <numFmt numFmtId="171" formatCode="_(* #,##0_);_(* \(#,##0\);_(* &quot;-&quot;??_);_(@_)"/>
    <numFmt numFmtId="172" formatCode="&quot; &quot;* #,##0.00&quot; &quot;;&quot;-&quot;* #,##0.00&quot; &quot;;&quot; &quot;* &quot;-&quot;??&quot; &quot;"/>
    <numFmt numFmtId="173" formatCode="&quot; &quot;* #,##0&quot; &quot;;&quot;-&quot;* #,##0&quot; &quot;;&quot; &quot;* &quot;-&quot;??&quot; &quot;"/>
    <numFmt numFmtId="174" formatCode="_-* #,##0_-;\-* #,##0_-;_-* &quot;-&quot;??_-;_-@_-"/>
    <numFmt numFmtId="175" formatCode="&quot; &quot;* #,##0.00&quot; &quot;;&quot; &quot;* \(#,##0.00\);&quot; &quot;* &quot;-&quot;??&quot; &quot;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8"/>
      <color theme="0"/>
      <name val="Arial Narrow"/>
      <family val="2"/>
    </font>
    <font>
      <sz val="11"/>
      <color theme="0"/>
      <name val="Arial Narrow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entury Gothic"/>
      <family val="2"/>
    </font>
    <font>
      <sz val="10"/>
      <color rgb="FF000000"/>
      <name val="Arial"/>
      <family val="2"/>
    </font>
    <font>
      <b/>
      <sz val="10"/>
      <name val="Century Gothic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color theme="0"/>
      <name val="Times New Roman"/>
      <family val="1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rgb="FF9C5700"/>
      <name val="Calibri"/>
      <family val="2"/>
      <scheme val="minor"/>
    </font>
    <font>
      <b/>
      <i/>
      <sz val="16"/>
      <name val="Helv"/>
      <charset val="134"/>
    </font>
    <font>
      <sz val="10"/>
      <color theme="1"/>
      <name val="Futura Bk BT"/>
      <charset val="134"/>
    </font>
    <font>
      <sz val="18"/>
      <color theme="3"/>
      <name val="Calibri Light"/>
      <family val="2"/>
      <scheme val="major"/>
    </font>
    <font>
      <b/>
      <sz val="18"/>
      <color theme="3"/>
      <name val="Calibri Light"/>
      <family val="2"/>
      <scheme val="major"/>
    </font>
    <font>
      <sz val="10"/>
      <color rgb="FFFFFFFF"/>
      <name val="Times New Roman"/>
      <family val="1"/>
    </font>
    <font>
      <strike/>
      <sz val="10"/>
      <color rgb="FFFFFFFF"/>
      <name val="Times New Roman"/>
      <family val="1"/>
    </font>
    <font>
      <sz val="11"/>
      <color theme="1"/>
      <name val="Calibri"/>
      <family val="2"/>
      <scheme val="minor"/>
    </font>
    <font>
      <sz val="8"/>
      <name val="Century Gothic"/>
      <family val="2"/>
    </font>
    <font>
      <b/>
      <sz val="32"/>
      <color indexed="9"/>
      <name val="Segoe UI Black"/>
      <family val="2"/>
    </font>
    <font>
      <b/>
      <sz val="8"/>
      <name val="Century Gothic"/>
      <family val="2"/>
    </font>
    <font>
      <sz val="8"/>
      <name val="Arial Narrow"/>
      <family val="2"/>
    </font>
    <font>
      <b/>
      <sz val="9"/>
      <name val="Century Gothic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0"/>
      <name val="Calibri"/>
      <family val="2"/>
      <scheme val="minor"/>
    </font>
    <font>
      <b/>
      <sz val="8"/>
      <color rgb="FF00B050"/>
      <name val="Century Gothic"/>
      <family val="2"/>
    </font>
    <font>
      <b/>
      <sz val="10"/>
      <color theme="0"/>
      <name val="Arial Narrow"/>
      <family val="2"/>
    </font>
    <font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3" tint="0.79989013336588644"/>
      </left>
      <right style="thin">
        <color theme="3" tint="0.79989013336588644"/>
      </right>
      <top style="thin">
        <color theme="3" tint="0.79989013336588644"/>
      </top>
      <bottom style="thin">
        <color theme="3" tint="0.799890133365886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 style="thin">
        <color theme="8" tint="0.79998168889431442"/>
      </left>
      <right style="thin">
        <color theme="8" tint="0.79998168889431442"/>
      </right>
      <top style="thin">
        <color theme="8" tint="0.79998168889431442"/>
      </top>
      <bottom style="thin">
        <color theme="8" tint="0.79998168889431442"/>
      </bottom>
      <diagonal/>
    </border>
  </borders>
  <cellStyleXfs count="464">
    <xf numFmtId="0" fontId="0" fillId="0" borderId="0"/>
    <xf numFmtId="164" fontId="27" fillId="0" borderId="0" applyFont="0" applyFill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1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165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3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8" fontId="14" fillId="0" borderId="0" applyFont="0" applyFill="0" applyBorder="0" applyAlignment="0" applyProtection="0"/>
    <xf numFmtId="5" fontId="19" fillId="0" borderId="0" applyFont="0" applyFill="0" applyBorder="0" applyAlignment="0" applyProtection="0"/>
    <xf numFmtId="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20" fillId="10" borderId="0" applyNumberFormat="0" applyBorder="0" applyAlignment="0" applyProtection="0"/>
    <xf numFmtId="17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49" fontId="14" fillId="0" borderId="0"/>
    <xf numFmtId="49" fontId="14" fillId="0" borderId="0"/>
    <xf numFmtId="49" fontId="14" fillId="0" borderId="0"/>
    <xf numFmtId="49" fontId="14" fillId="0" borderId="0"/>
    <xf numFmtId="0" fontId="14" fillId="0" borderId="0"/>
    <xf numFmtId="37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9" fillId="0" borderId="0"/>
    <xf numFmtId="0" fontId="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0" fontId="27" fillId="9" borderId="4" applyNumberFormat="0" applyFont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2" borderId="0" xfId="0" applyFont="1" applyFill="1" applyAlignment="1">
      <alignment wrapText="1"/>
    </xf>
    <xf numFmtId="4" fontId="5" fillId="2" borderId="0" xfId="0" applyNumberFormat="1" applyFont="1" applyFill="1"/>
    <xf numFmtId="4" fontId="5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/>
    <xf numFmtId="164" fontId="5" fillId="2" borderId="0" xfId="1" applyFont="1" applyFill="1" applyBorder="1" applyAlignment="1">
      <alignment horizontal="right" vertical="top" wrapText="1"/>
    </xf>
    <xf numFmtId="164" fontId="4" fillId="2" borderId="0" xfId="1" applyFont="1" applyFill="1" applyBorder="1" applyAlignment="1">
      <alignment horizontal="right" vertical="top" wrapText="1"/>
    </xf>
    <xf numFmtId="0" fontId="8" fillId="0" borderId="0" xfId="0" applyFont="1"/>
    <xf numFmtId="0" fontId="9" fillId="4" borderId="0" xfId="0" applyFont="1" applyFill="1"/>
    <xf numFmtId="0" fontId="9" fillId="0" borderId="0" xfId="0" applyFont="1"/>
    <xf numFmtId="49" fontId="10" fillId="6" borderId="3" xfId="0" applyNumberFormat="1" applyFont="1" applyFill="1" applyBorder="1" applyAlignment="1">
      <alignment horizontal="center" vertical="top" wrapText="1"/>
    </xf>
    <xf numFmtId="164" fontId="10" fillId="6" borderId="3" xfId="1" applyFont="1" applyFill="1" applyBorder="1" applyAlignment="1">
      <alignment horizontal="center" vertical="top" wrapText="1"/>
    </xf>
    <xf numFmtId="0" fontId="11" fillId="0" borderId="0" xfId="0" applyFont="1"/>
    <xf numFmtId="0" fontId="9" fillId="2" borderId="0" xfId="0" applyFont="1" applyFill="1"/>
    <xf numFmtId="0" fontId="15" fillId="2" borderId="0" xfId="0" applyFont="1" applyFill="1"/>
    <xf numFmtId="164" fontId="9" fillId="2" borderId="0" xfId="1" applyFont="1" applyFill="1" applyBorder="1" applyAlignment="1"/>
    <xf numFmtId="0" fontId="16" fillId="8" borderId="0" xfId="0" applyFont="1" applyFill="1" applyAlignment="1">
      <alignment horizontal="right" vertical="center"/>
    </xf>
    <xf numFmtId="0" fontId="17" fillId="2" borderId="0" xfId="0" applyFont="1" applyFill="1"/>
    <xf numFmtId="172" fontId="13" fillId="2" borderId="0" xfId="0" applyNumberFormat="1" applyFont="1" applyFill="1"/>
    <xf numFmtId="175" fontId="13" fillId="2" borderId="0" xfId="0" applyNumberFormat="1" applyFont="1" applyFill="1"/>
    <xf numFmtId="0" fontId="25" fillId="8" borderId="0" xfId="0" applyFont="1" applyFill="1" applyAlignment="1">
      <alignment horizontal="left"/>
    </xf>
    <xf numFmtId="49" fontId="28" fillId="2" borderId="2" xfId="0" applyNumberFormat="1" applyFont="1" applyFill="1" applyBorder="1" applyAlignment="1">
      <alignment wrapText="1"/>
    </xf>
    <xf numFmtId="49" fontId="28" fillId="2" borderId="2" xfId="0" applyNumberFormat="1" applyFont="1" applyFill="1" applyBorder="1"/>
    <xf numFmtId="172" fontId="28" fillId="2" borderId="2" xfId="0" applyNumberFormat="1" applyFont="1" applyFill="1" applyBorder="1"/>
    <xf numFmtId="164" fontId="28" fillId="2" borderId="2" xfId="1" applyFont="1" applyFill="1" applyBorder="1"/>
    <xf numFmtId="49" fontId="28" fillId="2" borderId="2" xfId="0" applyNumberFormat="1" applyFont="1" applyFill="1" applyBorder="1" applyAlignment="1">
      <alignment vertical="top" wrapText="1"/>
    </xf>
    <xf numFmtId="164" fontId="28" fillId="2" borderId="2" xfId="1" applyFont="1" applyFill="1" applyBorder="1" applyAlignment="1"/>
    <xf numFmtId="10" fontId="28" fillId="2" borderId="2" xfId="0" applyNumberFormat="1" applyFont="1" applyFill="1" applyBorder="1" applyAlignment="1">
      <alignment horizontal="center"/>
    </xf>
    <xf numFmtId="0" fontId="28" fillId="2" borderId="2" xfId="0" applyFont="1" applyFill="1" applyBorder="1"/>
    <xf numFmtId="4" fontId="28" fillId="2" borderId="2" xfId="0" applyNumberFormat="1" applyFont="1" applyFill="1" applyBorder="1" applyAlignment="1">
      <alignment wrapText="1"/>
    </xf>
    <xf numFmtId="0" fontId="28" fillId="2" borderId="2" xfId="0" applyFont="1" applyFill="1" applyBorder="1" applyAlignment="1">
      <alignment wrapText="1"/>
    </xf>
    <xf numFmtId="173" fontId="28" fillId="2" borderId="2" xfId="0" applyNumberFormat="1" applyFont="1" applyFill="1" applyBorder="1" applyAlignment="1">
      <alignment horizontal="right" wrapText="1"/>
    </xf>
    <xf numFmtId="164" fontId="30" fillId="2" borderId="2" xfId="1" applyFont="1" applyFill="1" applyBorder="1" applyAlignment="1">
      <alignment horizontal="left"/>
    </xf>
    <xf numFmtId="164" fontId="28" fillId="2" borderId="2" xfId="1" applyFont="1" applyFill="1" applyBorder="1" applyAlignment="1">
      <alignment horizontal="left"/>
    </xf>
    <xf numFmtId="164" fontId="28" fillId="0" borderId="2" xfId="1" applyFont="1" applyBorder="1"/>
    <xf numFmtId="164" fontId="28" fillId="28" borderId="2" xfId="1" applyFont="1" applyFill="1" applyBorder="1" applyAlignment="1">
      <alignment horizontal="left"/>
    </xf>
    <xf numFmtId="164" fontId="28" fillId="0" borderId="2" xfId="1" applyFont="1" applyBorder="1" applyAlignment="1"/>
    <xf numFmtId="164" fontId="28" fillId="28" borderId="2" xfId="1" applyFont="1" applyFill="1" applyBorder="1"/>
    <xf numFmtId="164" fontId="28" fillId="0" borderId="2" xfId="1" applyFont="1" applyBorder="1" applyAlignment="1">
      <alignment horizontal="right"/>
    </xf>
    <xf numFmtId="164" fontId="28" fillId="0" borderId="2" xfId="1" applyFont="1" applyBorder="1" applyAlignment="1">
      <alignment vertical="center"/>
    </xf>
    <xf numFmtId="164" fontId="28" fillId="2" borderId="2" xfId="1" applyFont="1" applyFill="1" applyBorder="1" applyAlignment="1">
      <alignment horizontal="right" vertical="top" wrapText="1"/>
    </xf>
    <xf numFmtId="4" fontId="28" fillId="2" borderId="2" xfId="463" applyNumberFormat="1" applyFont="1" applyFill="1" applyBorder="1" applyAlignment="1">
      <alignment wrapText="1"/>
    </xf>
    <xf numFmtId="0" fontId="28" fillId="2" borderId="2" xfId="463" applyFont="1" applyFill="1" applyBorder="1" applyAlignment="1">
      <alignment wrapText="1"/>
    </xf>
    <xf numFmtId="164" fontId="28" fillId="2" borderId="2" xfId="1" applyFont="1" applyFill="1" applyBorder="1" applyAlignment="1">
      <alignment horizontal="center"/>
    </xf>
    <xf numFmtId="164" fontId="28" fillId="2" borderId="2" xfId="1" applyFont="1" applyFill="1" applyBorder="1" applyAlignment="1">
      <alignment horizontal="center" vertical="top" wrapText="1"/>
    </xf>
    <xf numFmtId="164" fontId="28" fillId="2" borderId="2" xfId="1" applyFont="1" applyFill="1" applyBorder="1" applyAlignment="1">
      <alignment wrapText="1"/>
    </xf>
    <xf numFmtId="164" fontId="28" fillId="2" borderId="2" xfId="1" applyFont="1" applyFill="1" applyBorder="1" applyAlignment="1">
      <alignment vertical="center" wrapText="1"/>
    </xf>
    <xf numFmtId="164" fontId="28" fillId="2" borderId="2" xfId="1" applyFont="1" applyFill="1" applyBorder="1" applyAlignment="1">
      <alignment horizontal="right"/>
    </xf>
    <xf numFmtId="10" fontId="30" fillId="29" borderId="2" xfId="0" applyNumberFormat="1" applyFont="1" applyFill="1" applyBorder="1" applyAlignment="1">
      <alignment horizontal="center" vertical="center"/>
    </xf>
    <xf numFmtId="10" fontId="28" fillId="29" borderId="2" xfId="0" applyNumberFormat="1" applyFont="1" applyFill="1" applyBorder="1" applyAlignment="1">
      <alignment horizontal="center" vertical="center"/>
    </xf>
    <xf numFmtId="172" fontId="28" fillId="29" borderId="2" xfId="0" applyNumberFormat="1" applyFont="1" applyFill="1" applyBorder="1" applyAlignment="1">
      <alignment horizontal="right" vertical="center"/>
    </xf>
    <xf numFmtId="164" fontId="28" fillId="2" borderId="2" xfId="1" applyFont="1" applyFill="1" applyBorder="1" applyAlignment="1">
      <alignment vertical="top" wrapText="1"/>
    </xf>
    <xf numFmtId="173" fontId="28" fillId="2" borderId="2" xfId="0" applyNumberFormat="1" applyFont="1" applyFill="1" applyBorder="1" applyAlignment="1">
      <alignment horizontal="center" wrapText="1"/>
    </xf>
    <xf numFmtId="172" fontId="30" fillId="2" borderId="2" xfId="0" applyNumberFormat="1" applyFont="1" applyFill="1" applyBorder="1"/>
    <xf numFmtId="10" fontId="30" fillId="2" borderId="2" xfId="0" applyNumberFormat="1" applyFont="1" applyFill="1" applyBorder="1" applyAlignment="1">
      <alignment horizontal="center"/>
    </xf>
    <xf numFmtId="164" fontId="30" fillId="2" borderId="2" xfId="1" applyFont="1" applyFill="1" applyBorder="1"/>
    <xf numFmtId="164" fontId="30" fillId="2" borderId="2" xfId="1" applyFont="1" applyFill="1" applyBorder="1" applyAlignment="1"/>
    <xf numFmtId="164" fontId="28" fillId="2" borderId="2" xfId="1" applyFont="1" applyFill="1" applyBorder="1" applyAlignment="1">
      <alignment horizontal="left" vertical="top" wrapText="1"/>
    </xf>
    <xf numFmtId="174" fontId="28" fillId="2" borderId="2" xfId="1" applyNumberFormat="1" applyFont="1" applyFill="1" applyBorder="1" applyAlignment="1">
      <alignment horizontal="center" wrapText="1"/>
    </xf>
    <xf numFmtId="164" fontId="30" fillId="2" borderId="2" xfId="1" applyFont="1" applyFill="1" applyBorder="1" applyAlignment="1">
      <alignment wrapText="1"/>
    </xf>
    <xf numFmtId="164" fontId="28" fillId="2" borderId="7" xfId="1" applyFont="1" applyFill="1" applyBorder="1"/>
    <xf numFmtId="172" fontId="28" fillId="29" borderId="2" xfId="0" applyNumberFormat="1" applyFont="1" applyFill="1" applyBorder="1" applyAlignment="1">
      <alignment horizontal="center" vertical="center"/>
    </xf>
    <xf numFmtId="172" fontId="30" fillId="29" borderId="2" xfId="0" applyNumberFormat="1" applyFont="1" applyFill="1" applyBorder="1" applyAlignment="1">
      <alignment horizontal="center" vertical="center"/>
    </xf>
    <xf numFmtId="172" fontId="30" fillId="29" borderId="2" xfId="0" applyNumberFormat="1" applyFont="1" applyFill="1" applyBorder="1" applyAlignment="1">
      <alignment horizontal="right" vertical="center"/>
    </xf>
    <xf numFmtId="10" fontId="30" fillId="29" borderId="2" xfId="0" applyNumberFormat="1" applyFont="1" applyFill="1" applyBorder="1" applyAlignment="1">
      <alignment horizontal="right" vertical="center"/>
    </xf>
    <xf numFmtId="164" fontId="28" fillId="2" borderId="2" xfId="1" applyFont="1" applyFill="1" applyBorder="1" applyAlignment="1">
      <alignment horizontal="right" wrapText="1"/>
    </xf>
    <xf numFmtId="0" fontId="33" fillId="0" borderId="0" xfId="0" applyFont="1" applyAlignment="1">
      <alignment horizontal="right"/>
    </xf>
    <xf numFmtId="16" fontId="34" fillId="2" borderId="0" xfId="0" applyNumberFormat="1" applyFont="1" applyFill="1"/>
    <xf numFmtId="164" fontId="31" fillId="2" borderId="0" xfId="1" applyFont="1" applyFill="1" applyBorder="1"/>
    <xf numFmtId="164" fontId="8" fillId="0" borderId="0" xfId="1" applyFont="1" applyBorder="1"/>
    <xf numFmtId="4" fontId="35" fillId="2" borderId="0" xfId="0" applyNumberFormat="1" applyFont="1" applyFill="1"/>
    <xf numFmtId="172" fontId="28" fillId="2" borderId="0" xfId="0" applyNumberFormat="1" applyFont="1" applyFill="1"/>
    <xf numFmtId="4" fontId="35" fillId="2" borderId="0" xfId="0" applyNumberFormat="1" applyFont="1" applyFill="1" applyAlignment="1">
      <alignment horizontal="right"/>
    </xf>
    <xf numFmtId="4" fontId="31" fillId="2" borderId="0" xfId="0" applyNumberFormat="1" applyFont="1" applyFill="1" applyAlignment="1">
      <alignment horizontal="right"/>
    </xf>
    <xf numFmtId="0" fontId="34" fillId="0" borderId="0" xfId="0" applyFont="1" applyAlignment="1">
      <alignment horizontal="right"/>
    </xf>
    <xf numFmtId="4" fontId="31" fillId="2" borderId="0" xfId="0" applyNumberFormat="1" applyFont="1" applyFill="1"/>
    <xf numFmtId="164" fontId="31" fillId="2" borderId="2" xfId="1" applyFont="1" applyFill="1" applyBorder="1"/>
    <xf numFmtId="164" fontId="31" fillId="2" borderId="2" xfId="1" applyFont="1" applyFill="1" applyBorder="1" applyAlignment="1">
      <alignment horizontal="right" vertical="top" wrapText="1"/>
    </xf>
    <xf numFmtId="43" fontId="8" fillId="0" borderId="0" xfId="200" applyFont="1"/>
    <xf numFmtId="4" fontId="31" fillId="2" borderId="2" xfId="0" applyNumberFormat="1" applyFont="1" applyFill="1" applyBorder="1"/>
    <xf numFmtId="4" fontId="31" fillId="2" borderId="2" xfId="0" applyNumberFormat="1" applyFont="1" applyFill="1" applyBorder="1" applyAlignment="1">
      <alignment horizontal="right"/>
    </xf>
    <xf numFmtId="0" fontId="35" fillId="0" borderId="0" xfId="0" applyFont="1" applyAlignment="1">
      <alignment horizontal="right"/>
    </xf>
    <xf numFmtId="4" fontId="35" fillId="2" borderId="1" xfId="0" applyNumberFormat="1" applyFont="1" applyFill="1" applyBorder="1" applyAlignment="1">
      <alignment horizontal="right"/>
    </xf>
    <xf numFmtId="164" fontId="28" fillId="2" borderId="2" xfId="1" applyFont="1" applyFill="1" applyBorder="1" applyAlignment="1">
      <alignment vertical="center"/>
    </xf>
    <xf numFmtId="164" fontId="28" fillId="2" borderId="2" xfId="1" applyFont="1" applyFill="1" applyBorder="1" applyAlignment="1">
      <alignment horizontal="right" vertical="center"/>
    </xf>
    <xf numFmtId="164" fontId="28" fillId="2" borderId="2" xfId="1" applyFont="1" applyFill="1" applyBorder="1" applyAlignment="1" applyProtection="1"/>
    <xf numFmtId="164" fontId="28" fillId="2" borderId="5" xfId="1" applyFont="1" applyFill="1" applyBorder="1"/>
    <xf numFmtId="49" fontId="29" fillId="5" borderId="5" xfId="0" applyNumberFormat="1" applyFont="1" applyFill="1" applyBorder="1" applyAlignment="1">
      <alignment horizontal="center"/>
    </xf>
    <xf numFmtId="0" fontId="29" fillId="5" borderId="5" xfId="0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top" wrapText="1"/>
    </xf>
    <xf numFmtId="49" fontId="12" fillId="2" borderId="6" xfId="0" applyNumberFormat="1" applyFont="1" applyFill="1" applyBorder="1" applyAlignment="1">
      <alignment horizontal="center" vertical="top" wrapText="1"/>
    </xf>
    <xf numFmtId="164" fontId="30" fillId="2" borderId="2" xfId="1" applyFont="1" applyFill="1" applyBorder="1" applyAlignment="1">
      <alignment horizontal="right"/>
    </xf>
    <xf numFmtId="173" fontId="28" fillId="2" borderId="2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 vertical="top" wrapText="1"/>
    </xf>
    <xf numFmtId="49" fontId="28" fillId="2" borderId="2" xfId="0" applyNumberFormat="1" applyFont="1" applyFill="1" applyBorder="1" applyAlignment="1">
      <alignment horizontal="center" wrapText="1"/>
    </xf>
    <xf numFmtId="49" fontId="30" fillId="2" borderId="2" xfId="0" applyNumberFormat="1" applyFont="1" applyFill="1" applyBorder="1" applyAlignment="1">
      <alignment horizontal="right"/>
    </xf>
    <xf numFmtId="172" fontId="32" fillId="2" borderId="2" xfId="0" applyNumberFormat="1" applyFont="1" applyFill="1" applyBorder="1" applyAlignment="1">
      <alignment horizontal="center" wrapText="1"/>
    </xf>
    <xf numFmtId="173" fontId="28" fillId="2" borderId="2" xfId="0" applyNumberFormat="1" applyFont="1" applyFill="1" applyBorder="1" applyAlignment="1">
      <alignment horizontal="center" wrapText="1"/>
    </xf>
    <xf numFmtId="164" fontId="12" fillId="2" borderId="2" xfId="1" applyFont="1" applyFill="1" applyBorder="1" applyAlignment="1">
      <alignment horizontal="center"/>
    </xf>
    <xf numFmtId="0" fontId="32" fillId="2" borderId="2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10" fontId="37" fillId="2" borderId="2" xfId="0" applyNumberFormat="1" applyFont="1" applyFill="1" applyBorder="1" applyAlignment="1">
      <alignment horizontal="center"/>
    </xf>
    <xf numFmtId="0" fontId="38" fillId="0" borderId="2" xfId="0" applyFont="1" applyBorder="1" applyAlignment="1">
      <alignment horizontal="right"/>
    </xf>
    <xf numFmtId="16" fontId="38" fillId="2" borderId="2" xfId="0" quotePrefix="1" applyNumberFormat="1" applyFont="1" applyFill="1" applyBorder="1" applyAlignment="1">
      <alignment horizontal="right"/>
    </xf>
    <xf numFmtId="164" fontId="39" fillId="2" borderId="2" xfId="1" applyFont="1" applyFill="1" applyBorder="1" applyAlignment="1">
      <alignment horizontal="right" vertical="top" wrapText="1"/>
    </xf>
    <xf numFmtId="164" fontId="39" fillId="2" borderId="2" xfId="1" applyFont="1" applyFill="1" applyBorder="1"/>
    <xf numFmtId="4" fontId="39" fillId="2" borderId="2" xfId="0" applyNumberFormat="1" applyFont="1" applyFill="1" applyBorder="1"/>
    <xf numFmtId="4" fontId="39" fillId="2" borderId="2" xfId="0" applyNumberFormat="1" applyFont="1" applyFill="1" applyBorder="1" applyAlignment="1">
      <alignment horizontal="right"/>
    </xf>
    <xf numFmtId="172" fontId="39" fillId="2" borderId="2" xfId="0" applyNumberFormat="1" applyFont="1" applyFill="1" applyBorder="1"/>
    <xf numFmtId="0" fontId="3" fillId="0" borderId="1" xfId="0" applyFont="1" applyBorder="1" applyAlignment="1">
      <alignment horizontal="right"/>
    </xf>
    <xf numFmtId="0" fontId="40" fillId="0" borderId="0" xfId="0" applyFont="1" applyBorder="1" applyAlignment="1">
      <alignment horizontal="right"/>
    </xf>
    <xf numFmtId="0" fontId="36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171" fontId="2" fillId="0" borderId="0" xfId="200" applyNumberFormat="1" applyFont="1"/>
    <xf numFmtId="0" fontId="40" fillId="0" borderId="0" xfId="0" applyFont="1" applyAlignment="1">
      <alignment horizontal="right"/>
    </xf>
    <xf numFmtId="16" fontId="40" fillId="2" borderId="0" xfId="0" quotePrefix="1" applyNumberFormat="1" applyFont="1" applyFill="1" applyAlignment="1">
      <alignment horizontal="right" wrapText="1"/>
    </xf>
    <xf numFmtId="0" fontId="40" fillId="0" borderId="0" xfId="0" applyFont="1" applyAlignment="1">
      <alignment horizontal="right" wrapText="1"/>
    </xf>
    <xf numFmtId="43" fontId="2" fillId="0" borderId="0" xfId="200" applyFont="1" applyBorder="1"/>
    <xf numFmtId="43" fontId="41" fillId="0" borderId="0" xfId="200" applyFont="1" applyBorder="1"/>
    <xf numFmtId="49" fontId="12" fillId="30" borderId="2" xfId="0" applyNumberFormat="1" applyFont="1" applyFill="1" applyBorder="1" applyAlignment="1">
      <alignment horizontal="right"/>
    </xf>
    <xf numFmtId="164" fontId="12" fillId="30" borderId="2" xfId="1" applyFont="1" applyFill="1" applyBorder="1"/>
    <xf numFmtId="10" fontId="12" fillId="30" borderId="2" xfId="0" applyNumberFormat="1" applyFont="1" applyFill="1" applyBorder="1"/>
    <xf numFmtId="10" fontId="12" fillId="30" borderId="2" xfId="0" applyNumberFormat="1" applyFont="1" applyFill="1" applyBorder="1" applyAlignment="1">
      <alignment horizontal="right" vertical="center"/>
    </xf>
    <xf numFmtId="172" fontId="12" fillId="30" borderId="2" xfId="0" applyNumberFormat="1" applyFont="1" applyFill="1" applyBorder="1" applyAlignment="1">
      <alignment horizontal="right" vertical="center"/>
    </xf>
  </cellXfs>
  <cellStyles count="464">
    <cellStyle name="20% - Accent1 2" xfId="2"/>
    <cellStyle name="20% - Accent1 2 2" xfId="3"/>
    <cellStyle name="20% - Accent1 2 3" xfId="4"/>
    <cellStyle name="20% - Accent1 3" xfId="5"/>
    <cellStyle name="20% - Accent1 3 2" xfId="6"/>
    <cellStyle name="20% - Accent1 3 3" xfId="7"/>
    <cellStyle name="20% - Accent1 4" xfId="8"/>
    <cellStyle name="20% - Accent1 4 2" xfId="9"/>
    <cellStyle name="20% - Accent1 5" xfId="10"/>
    <cellStyle name="20% - Accent1 6" xfId="11"/>
    <cellStyle name="20% - Accent2 2" xfId="12"/>
    <cellStyle name="20% - Accent2 2 2" xfId="13"/>
    <cellStyle name="20% - Accent2 2 3" xfId="14"/>
    <cellStyle name="20% - Accent2 3" xfId="15"/>
    <cellStyle name="20% - Accent2 3 2" xfId="16"/>
    <cellStyle name="20% - Accent2 3 3" xfId="17"/>
    <cellStyle name="20% - Accent2 4" xfId="18"/>
    <cellStyle name="20% - Accent2 4 2" xfId="19"/>
    <cellStyle name="20% - Accent2 5" xfId="20"/>
    <cellStyle name="20% - Accent2 6" xfId="21"/>
    <cellStyle name="20% - Accent3 2" xfId="22"/>
    <cellStyle name="20% - Accent3 2 2" xfId="23"/>
    <cellStyle name="20% - Accent3 2 3" xfId="24"/>
    <cellStyle name="20% - Accent3 3" xfId="25"/>
    <cellStyle name="20% - Accent3 3 2" xfId="26"/>
    <cellStyle name="20% - Accent3 3 3" xfId="27"/>
    <cellStyle name="20% - Accent3 4" xfId="28"/>
    <cellStyle name="20% - Accent3 4 2" xfId="29"/>
    <cellStyle name="20% - Accent3 5" xfId="30"/>
    <cellStyle name="20% - Accent3 6" xfId="31"/>
    <cellStyle name="20% - Accent4 2" xfId="32"/>
    <cellStyle name="20% - Accent4 2 2" xfId="33"/>
    <cellStyle name="20% - Accent4 2 3" xfId="34"/>
    <cellStyle name="20% - Accent4 3" xfId="35"/>
    <cellStyle name="20% - Accent4 3 2" xfId="36"/>
    <cellStyle name="20% - Accent4 3 3" xfId="37"/>
    <cellStyle name="20% - Accent4 4" xfId="38"/>
    <cellStyle name="20% - Accent4 4 2" xfId="39"/>
    <cellStyle name="20% - Accent4 5" xfId="40"/>
    <cellStyle name="20% - Accent4 6" xfId="41"/>
    <cellStyle name="20% - Accent5 2" xfId="42"/>
    <cellStyle name="20% - Accent5 2 2" xfId="43"/>
    <cellStyle name="20% - Accent5 2 3" xfId="44"/>
    <cellStyle name="20% - Accent5 3" xfId="45"/>
    <cellStyle name="20% - Accent5 3 2" xfId="46"/>
    <cellStyle name="20% - Accent5 3 3" xfId="47"/>
    <cellStyle name="20% - Accent5 4" xfId="48"/>
    <cellStyle name="20% - Accent5 4 2" xfId="49"/>
    <cellStyle name="20% - Accent5 5" xfId="50"/>
    <cellStyle name="20% - Accent5 6" xfId="51"/>
    <cellStyle name="20% - Accent6 2" xfId="52"/>
    <cellStyle name="20% - Accent6 2 2" xfId="53"/>
    <cellStyle name="20% - Accent6 2 3" xfId="54"/>
    <cellStyle name="20% - Accent6 3" xfId="55"/>
    <cellStyle name="20% - Accent6 3 2" xfId="56"/>
    <cellStyle name="20% - Accent6 3 3" xfId="57"/>
    <cellStyle name="20% - Accent6 4" xfId="58"/>
    <cellStyle name="20% - Accent6 4 2" xfId="59"/>
    <cellStyle name="20% - Accent6 5" xfId="60"/>
    <cellStyle name="20% - Accent6 6" xfId="61"/>
    <cellStyle name="40% - Accent1 2" xfId="62"/>
    <cellStyle name="40% - Accent1 2 2" xfId="63"/>
    <cellStyle name="40% - Accent1 2 3" xfId="64"/>
    <cellStyle name="40% - Accent1 3" xfId="65"/>
    <cellStyle name="40% - Accent1 3 2" xfId="66"/>
    <cellStyle name="40% - Accent1 3 3" xfId="67"/>
    <cellStyle name="40% - Accent1 4" xfId="68"/>
    <cellStyle name="40% - Accent1 4 2" xfId="69"/>
    <cellStyle name="40% - Accent1 5" xfId="70"/>
    <cellStyle name="40% - Accent1 6" xfId="71"/>
    <cellStyle name="40% - Accent2 2" xfId="72"/>
    <cellStyle name="40% - Accent2 2 2" xfId="73"/>
    <cellStyle name="40% - Accent2 2 3" xfId="74"/>
    <cellStyle name="40% - Accent2 3" xfId="75"/>
    <cellStyle name="40% - Accent2 3 2" xfId="76"/>
    <cellStyle name="40% - Accent2 3 3" xfId="77"/>
    <cellStyle name="40% - Accent2 4" xfId="78"/>
    <cellStyle name="40% - Accent2 4 2" xfId="79"/>
    <cellStyle name="40% - Accent2 5" xfId="80"/>
    <cellStyle name="40% - Accent2 6" xfId="81"/>
    <cellStyle name="40% - Accent3 2" xfId="82"/>
    <cellStyle name="40% - Accent3 2 2" xfId="83"/>
    <cellStyle name="40% - Accent3 2 3" xfId="84"/>
    <cellStyle name="40% - Accent3 3" xfId="85"/>
    <cellStyle name="40% - Accent3 3 2" xfId="86"/>
    <cellStyle name="40% - Accent3 3 3" xfId="87"/>
    <cellStyle name="40% - Accent3 4" xfId="88"/>
    <cellStyle name="40% - Accent3 4 2" xfId="89"/>
    <cellStyle name="40% - Accent3 5" xfId="90"/>
    <cellStyle name="40% - Accent3 6" xfId="91"/>
    <cellStyle name="40% - Accent4 2" xfId="92"/>
    <cellStyle name="40% - Accent4 2 2" xfId="93"/>
    <cellStyle name="40% - Accent4 2 3" xfId="94"/>
    <cellStyle name="40% - Accent4 3" xfId="95"/>
    <cellStyle name="40% - Accent4 3 2" xfId="96"/>
    <cellStyle name="40% - Accent4 3 3" xfId="97"/>
    <cellStyle name="40% - Accent4 4" xfId="98"/>
    <cellStyle name="40% - Accent4 4 2" xfId="99"/>
    <cellStyle name="40% - Accent4 5" xfId="100"/>
    <cellStyle name="40% - Accent4 6" xfId="101"/>
    <cellStyle name="40% - Accent5 2" xfId="102"/>
    <cellStyle name="40% - Accent5 2 2" xfId="103"/>
    <cellStyle name="40% - Accent5 2 3" xfId="104"/>
    <cellStyle name="40% - Accent5 3" xfId="105"/>
    <cellStyle name="40% - Accent5 3 2" xfId="106"/>
    <cellStyle name="40% - Accent5 3 3" xfId="107"/>
    <cellStyle name="40% - Accent5 4" xfId="108"/>
    <cellStyle name="40% - Accent5 4 2" xfId="109"/>
    <cellStyle name="40% - Accent5 5" xfId="110"/>
    <cellStyle name="40% - Accent5 6" xfId="111"/>
    <cellStyle name="40% - Accent6 2" xfId="112"/>
    <cellStyle name="40% - Accent6 2 2" xfId="113"/>
    <cellStyle name="40% - Accent6 2 3" xfId="114"/>
    <cellStyle name="40% - Accent6 3" xfId="115"/>
    <cellStyle name="40% - Accent6 3 2" xfId="116"/>
    <cellStyle name="40% - Accent6 3 3" xfId="117"/>
    <cellStyle name="40% - Accent6 4" xfId="118"/>
    <cellStyle name="40% - Accent6 4 2" xfId="119"/>
    <cellStyle name="40% - Accent6 5" xfId="120"/>
    <cellStyle name="40% - Accent6 6" xfId="121"/>
    <cellStyle name="60% - Accent1 2" xfId="122"/>
    <cellStyle name="60% - Accent1 2 2" xfId="123"/>
    <cellStyle name="60% - Accent1 2 3" xfId="124"/>
    <cellStyle name="60% - Accent1 3" xfId="125"/>
    <cellStyle name="60% - Accent1 3 2" xfId="126"/>
    <cellStyle name="60% - Accent1 3 3" xfId="127"/>
    <cellStyle name="60% - Accent1 4" xfId="128"/>
    <cellStyle name="60% - Accent1 4 2" xfId="129"/>
    <cellStyle name="60% - Accent1 5" xfId="130"/>
    <cellStyle name="60% - Accent1 6" xfId="131"/>
    <cellStyle name="60% - Accent2 2" xfId="132"/>
    <cellStyle name="60% - Accent2 2 2" xfId="133"/>
    <cellStyle name="60% - Accent2 2 3" xfId="134"/>
    <cellStyle name="60% - Accent2 3" xfId="135"/>
    <cellStyle name="60% - Accent2 3 2" xfId="136"/>
    <cellStyle name="60% - Accent2 3 3" xfId="137"/>
    <cellStyle name="60% - Accent2 4" xfId="138"/>
    <cellStyle name="60% - Accent2 4 2" xfId="139"/>
    <cellStyle name="60% - Accent2 5" xfId="140"/>
    <cellStyle name="60% - Accent2 6" xfId="141"/>
    <cellStyle name="60% - Accent3 2" xfId="142"/>
    <cellStyle name="60% - Accent3 2 2" xfId="143"/>
    <cellStyle name="60% - Accent3 2 3" xfId="144"/>
    <cellStyle name="60% - Accent3 3" xfId="145"/>
    <cellStyle name="60% - Accent3 3 2" xfId="146"/>
    <cellStyle name="60% - Accent3 3 3" xfId="147"/>
    <cellStyle name="60% - Accent3 4" xfId="148"/>
    <cellStyle name="60% - Accent3 4 2" xfId="149"/>
    <cellStyle name="60% - Accent3 5" xfId="150"/>
    <cellStyle name="60% - Accent3 6" xfId="151"/>
    <cellStyle name="60% - Accent4 2" xfId="152"/>
    <cellStyle name="60% - Accent4 2 2" xfId="153"/>
    <cellStyle name="60% - Accent4 2 3" xfId="154"/>
    <cellStyle name="60% - Accent4 3" xfId="155"/>
    <cellStyle name="60% - Accent4 3 2" xfId="156"/>
    <cellStyle name="60% - Accent4 3 3" xfId="157"/>
    <cellStyle name="60% - Accent4 4" xfId="158"/>
    <cellStyle name="60% - Accent4 4 2" xfId="159"/>
    <cellStyle name="60% - Accent4 5" xfId="160"/>
    <cellStyle name="60% - Accent4 6" xfId="161"/>
    <cellStyle name="60% - Accent5 2" xfId="162"/>
    <cellStyle name="60% - Accent5 2 2" xfId="163"/>
    <cellStyle name="60% - Accent5 2 3" xfId="164"/>
    <cellStyle name="60% - Accent5 3" xfId="165"/>
    <cellStyle name="60% - Accent5 3 2" xfId="166"/>
    <cellStyle name="60% - Accent5 3 3" xfId="167"/>
    <cellStyle name="60% - Accent5 4" xfId="168"/>
    <cellStyle name="60% - Accent5 4 2" xfId="169"/>
    <cellStyle name="60% - Accent5 5" xfId="170"/>
    <cellStyle name="60% - Accent5 6" xfId="171"/>
    <cellStyle name="60% - Accent6 2" xfId="172"/>
    <cellStyle name="60% - Accent6 2 2" xfId="173"/>
    <cellStyle name="60% - Accent6 2 3" xfId="174"/>
    <cellStyle name="60% - Accent6 3" xfId="175"/>
    <cellStyle name="60% - Accent6 3 2" xfId="176"/>
    <cellStyle name="60% - Accent6 3 3" xfId="177"/>
    <cellStyle name="60% - Accent6 4" xfId="178"/>
    <cellStyle name="60% - Accent6 4 2" xfId="179"/>
    <cellStyle name="60% - Accent6 5" xfId="180"/>
    <cellStyle name="60% - Accent6 6" xfId="181"/>
    <cellStyle name="Comma" xfId="1" builtinId="3"/>
    <cellStyle name="Comma 10" xfId="182"/>
    <cellStyle name="Comma 10 13" xfId="183"/>
    <cellStyle name="Comma 11" xfId="184"/>
    <cellStyle name="Comma 12" xfId="185"/>
    <cellStyle name="Comma 12 2" xfId="186"/>
    <cellStyle name="Comma 12 3" xfId="187"/>
    <cellStyle name="Comma 13" xfId="188"/>
    <cellStyle name="Comma 13 2" xfId="189"/>
    <cellStyle name="Comma 13 3" xfId="190"/>
    <cellStyle name="Comma 14" xfId="191"/>
    <cellStyle name="Comma 15" xfId="192"/>
    <cellStyle name="Comma 15 2" xfId="193"/>
    <cellStyle name="Comma 15 3" xfId="194"/>
    <cellStyle name="Comma 16" xfId="195"/>
    <cellStyle name="Comma 16 2" xfId="196"/>
    <cellStyle name="Comma 16 3" xfId="197"/>
    <cellStyle name="Comma 17" xfId="198"/>
    <cellStyle name="Comma 18" xfId="199"/>
    <cellStyle name="Comma 2" xfId="200"/>
    <cellStyle name="Comma 2 10" xfId="201"/>
    <cellStyle name="Comma 2 10 2" xfId="202"/>
    <cellStyle name="Comma 2 11" xfId="203"/>
    <cellStyle name="Comma 2 11 2" xfId="204"/>
    <cellStyle name="Comma 2 12" xfId="205"/>
    <cellStyle name="Comma 2 13" xfId="206"/>
    <cellStyle name="Comma 2 2" xfId="207"/>
    <cellStyle name="Comma 2 2 2" xfId="208"/>
    <cellStyle name="Comma 2 2 2 2" xfId="209"/>
    <cellStyle name="Comma 2 2 2 2 2" xfId="210"/>
    <cellStyle name="Comma 2 2 2 2 3" xfId="211"/>
    <cellStyle name="Comma 2 2 2 3" xfId="212"/>
    <cellStyle name="Comma 2 3" xfId="213"/>
    <cellStyle name="Comma 2 3 2" xfId="214"/>
    <cellStyle name="Comma 2 4" xfId="215"/>
    <cellStyle name="Comma 2 4 2" xfId="216"/>
    <cellStyle name="Comma 2 5" xfId="217"/>
    <cellStyle name="Comma 2 5 2" xfId="218"/>
    <cellStyle name="Comma 2 6" xfId="219"/>
    <cellStyle name="Comma 2 6 2" xfId="220"/>
    <cellStyle name="Comma 2 7" xfId="221"/>
    <cellStyle name="Comma 2 7 2" xfId="222"/>
    <cellStyle name="Comma 2 8" xfId="223"/>
    <cellStyle name="Comma 2 8 2" xfId="224"/>
    <cellStyle name="Comma 2 9" xfId="225"/>
    <cellStyle name="Comma 2 9 2" xfId="226"/>
    <cellStyle name="Comma 3" xfId="227"/>
    <cellStyle name="Comma 3 2" xfId="228"/>
    <cellStyle name="Comma 3 2 2" xfId="229"/>
    <cellStyle name="Comma 3 3" xfId="230"/>
    <cellStyle name="Comma 3 4" xfId="231"/>
    <cellStyle name="Comma 3 4 3" xfId="232"/>
    <cellStyle name="Comma 3 4 4" xfId="233"/>
    <cellStyle name="Comma 4" xfId="234"/>
    <cellStyle name="Comma 4 2" xfId="235"/>
    <cellStyle name="Comma 4 3" xfId="236"/>
    <cellStyle name="Comma 5" xfId="237"/>
    <cellStyle name="Comma 6" xfId="238"/>
    <cellStyle name="Comma 7" xfId="239"/>
    <cellStyle name="Comma 8" xfId="240"/>
    <cellStyle name="Comma 8 2" xfId="241"/>
    <cellStyle name="Comma 9" xfId="242"/>
    <cellStyle name="Neutral 2" xfId="243"/>
    <cellStyle name="Normal" xfId="0" builtinId="0"/>
    <cellStyle name="Normal - Style1" xfId="244"/>
    <cellStyle name="Normal 10" xfId="245"/>
    <cellStyle name="Normal 10 2" xfId="246"/>
    <cellStyle name="Normal 10 3" xfId="247"/>
    <cellStyle name="Normal 11" xfId="248"/>
    <cellStyle name="Normal 11 2" xfId="249"/>
    <cellStyle name="Normal 11 3" xfId="250"/>
    <cellStyle name="Normal 12" xfId="251"/>
    <cellStyle name="Normal 12 2" xfId="252"/>
    <cellStyle name="Normal 12 2 2" xfId="253"/>
    <cellStyle name="Normal 12 2 3" xfId="254"/>
    <cellStyle name="Normal 12 3" xfId="255"/>
    <cellStyle name="Normal 12 4" xfId="256"/>
    <cellStyle name="Normal 13" xfId="257"/>
    <cellStyle name="Normal 13 2" xfId="258"/>
    <cellStyle name="Normal 13 3" xfId="259"/>
    <cellStyle name="Normal 14" xfId="260"/>
    <cellStyle name="Normal 14 2" xfId="261"/>
    <cellStyle name="Normal 15" xfId="262"/>
    <cellStyle name="Normal 15 2" xfId="263"/>
    <cellStyle name="Normal 15 3" xfId="264"/>
    <cellStyle name="Normal 16" xfId="265"/>
    <cellStyle name="Normal 16 2" xfId="266"/>
    <cellStyle name="Normal 16 3" xfId="267"/>
    <cellStyle name="Normal 17" xfId="268"/>
    <cellStyle name="Normal 17 2" xfId="269"/>
    <cellStyle name="Normal 17 3" xfId="270"/>
    <cellStyle name="Normal 18" xfId="271"/>
    <cellStyle name="Normal 18 2" xfId="272"/>
    <cellStyle name="Normal 18 3" xfId="273"/>
    <cellStyle name="Normal 19" xfId="274"/>
    <cellStyle name="Normal 19 2" xfId="275"/>
    <cellStyle name="Normal 19 3" xfId="276"/>
    <cellStyle name="Normal 2" xfId="277"/>
    <cellStyle name="Normal 2 2" xfId="278"/>
    <cellStyle name="Normal 2 2 2" xfId="279"/>
    <cellStyle name="Normal 2 3" xfId="280"/>
    <cellStyle name="Normal 2 4" xfId="281"/>
    <cellStyle name="Normal 2 5" xfId="282"/>
    <cellStyle name="Normal 2 6" xfId="283"/>
    <cellStyle name="Normal 20" xfId="284"/>
    <cellStyle name="Normal 20 2" xfId="285"/>
    <cellStyle name="Normal 20 3" xfId="286"/>
    <cellStyle name="Normal 21" xfId="287"/>
    <cellStyle name="Normal 21 2" xfId="288"/>
    <cellStyle name="Normal 21 3" xfId="289"/>
    <cellStyle name="Normal 22" xfId="290"/>
    <cellStyle name="Normal 22 2" xfId="291"/>
    <cellStyle name="Normal 22 3" xfId="292"/>
    <cellStyle name="Normal 23" xfId="293"/>
    <cellStyle name="Normal 23 2" xfId="294"/>
    <cellStyle name="Normal 23 3" xfId="295"/>
    <cellStyle name="Normal 24" xfId="296"/>
    <cellStyle name="Normal 24 2" xfId="297"/>
    <cellStyle name="Normal 24 3" xfId="298"/>
    <cellStyle name="Normal 25" xfId="299"/>
    <cellStyle name="Normal 25 2" xfId="300"/>
    <cellStyle name="Normal 25 3" xfId="301"/>
    <cellStyle name="Normal 26" xfId="302"/>
    <cellStyle name="Normal 26 2" xfId="303"/>
    <cellStyle name="Normal 26 3" xfId="304"/>
    <cellStyle name="Normal 27" xfId="305"/>
    <cellStyle name="Normal 27 2" xfId="306"/>
    <cellStyle name="Normal 27 2 2" xfId="307"/>
    <cellStyle name="Normal 27 3" xfId="308"/>
    <cellStyle name="Normal 28" xfId="309"/>
    <cellStyle name="Normal 28 2" xfId="310"/>
    <cellStyle name="Normal 29" xfId="311"/>
    <cellStyle name="Normal 29 2" xfId="312"/>
    <cellStyle name="Normal 3" xfId="313"/>
    <cellStyle name="Normal 3 2" xfId="314"/>
    <cellStyle name="Normal 3 2 2" xfId="315"/>
    <cellStyle name="Normal 3 2 3" xfId="316"/>
    <cellStyle name="Normal 3 3" xfId="317"/>
    <cellStyle name="Normal 3 4" xfId="318"/>
    <cellStyle name="Normal 30" xfId="319"/>
    <cellStyle name="Normal 30 2" xfId="320"/>
    <cellStyle name="Normal 31" xfId="321"/>
    <cellStyle name="Normal 31 2" xfId="322"/>
    <cellStyle name="Normal 32" xfId="323"/>
    <cellStyle name="Normal 32 2" xfId="324"/>
    <cellStyle name="Normal 33" xfId="325"/>
    <cellStyle name="Normal 33 2" xfId="326"/>
    <cellStyle name="Normal 34" xfId="327"/>
    <cellStyle name="Normal 34 2" xfId="328"/>
    <cellStyle name="Normal 35" xfId="329"/>
    <cellStyle name="Normal 35 2" xfId="330"/>
    <cellStyle name="Normal 36" xfId="331"/>
    <cellStyle name="Normal 36 2" xfId="332"/>
    <cellStyle name="Normal 37" xfId="333"/>
    <cellStyle name="Normal 37 2" xfId="334"/>
    <cellStyle name="Normal 38" xfId="335"/>
    <cellStyle name="Normal 38 2" xfId="336"/>
    <cellStyle name="Normal 39" xfId="337"/>
    <cellStyle name="Normal 39 2" xfId="338"/>
    <cellStyle name="Normal 4" xfId="339"/>
    <cellStyle name="Normal 4 2" xfId="340"/>
    <cellStyle name="Normal 40" xfId="341"/>
    <cellStyle name="Normal 40 2" xfId="342"/>
    <cellStyle name="Normal 41" xfId="343"/>
    <cellStyle name="Normal 41 2" xfId="344"/>
    <cellStyle name="Normal 42" xfId="345"/>
    <cellStyle name="Normal 42 2" xfId="346"/>
    <cellStyle name="Normal 43" xfId="347"/>
    <cellStyle name="Normal 43 2" xfId="348"/>
    <cellStyle name="Normal 44" xfId="349"/>
    <cellStyle name="Normal 44 2" xfId="350"/>
    <cellStyle name="Normal 45" xfId="351"/>
    <cellStyle name="Normal 45 2" xfId="352"/>
    <cellStyle name="Normal 46" xfId="353"/>
    <cellStyle name="Normal 46 2" xfId="354"/>
    <cellStyle name="Normal 47" xfId="355"/>
    <cellStyle name="Normal 47 2" xfId="356"/>
    <cellStyle name="Normal 48" xfId="357"/>
    <cellStyle name="Normal 48 2" xfId="358"/>
    <cellStyle name="Normal 49" xfId="359"/>
    <cellStyle name="Normal 49 2" xfId="360"/>
    <cellStyle name="Normal 5" xfId="361"/>
    <cellStyle name="Normal 50" xfId="362"/>
    <cellStyle name="Normal 50 2" xfId="363"/>
    <cellStyle name="Normal 51" xfId="364"/>
    <cellStyle name="Normal 51 2" xfId="365"/>
    <cellStyle name="Normal 52" xfId="366"/>
    <cellStyle name="Normal 52 2" xfId="367"/>
    <cellStyle name="Normal 53" xfId="368"/>
    <cellStyle name="Normal 53 2" xfId="369"/>
    <cellStyle name="Normal 54" xfId="370"/>
    <cellStyle name="Normal 54 2" xfId="371"/>
    <cellStyle name="Normal 55" xfId="372"/>
    <cellStyle name="Normal 55 2" xfId="373"/>
    <cellStyle name="Normal 56" xfId="374"/>
    <cellStyle name="Normal 56 2" xfId="375"/>
    <cellStyle name="Normal 57" xfId="376"/>
    <cellStyle name="Normal 57 2" xfId="377"/>
    <cellStyle name="Normal 58" xfId="378"/>
    <cellStyle name="Normal 58 2" xfId="379"/>
    <cellStyle name="Normal 59" xfId="380"/>
    <cellStyle name="Normal 59 2" xfId="381"/>
    <cellStyle name="Normal 6" xfId="382"/>
    <cellStyle name="Normal 6 2" xfId="383"/>
    <cellStyle name="Normal 6 3" xfId="384"/>
    <cellStyle name="Normal 60" xfId="385"/>
    <cellStyle name="Normal 60 2" xfId="386"/>
    <cellStyle name="Normal 61" xfId="387"/>
    <cellStyle name="Normal 61 2" xfId="388"/>
    <cellStyle name="Normal 62" xfId="389"/>
    <cellStyle name="Normal 62 2" xfId="390"/>
    <cellStyle name="Normal 63" xfId="391"/>
    <cellStyle name="Normal 63 2" xfId="392"/>
    <cellStyle name="Normal 64" xfId="393"/>
    <cellStyle name="Normal 64 2" xfId="394"/>
    <cellStyle name="Normal 65" xfId="395"/>
    <cellStyle name="Normal 65 2" xfId="396"/>
    <cellStyle name="Normal 66" xfId="397"/>
    <cellStyle name="Normal 66 2" xfId="398"/>
    <cellStyle name="Normal 67" xfId="399"/>
    <cellStyle name="Normal 67 2" xfId="400"/>
    <cellStyle name="Normal 68" xfId="401"/>
    <cellStyle name="Normal 68 2" xfId="402"/>
    <cellStyle name="Normal 69" xfId="403"/>
    <cellStyle name="Normal 69 2" xfId="404"/>
    <cellStyle name="Normal 7" xfId="405"/>
    <cellStyle name="Normal 7 2" xfId="406"/>
    <cellStyle name="Normal 7 3" xfId="407"/>
    <cellStyle name="Normal 70" xfId="408"/>
    <cellStyle name="Normal 71" xfId="409"/>
    <cellStyle name="Normal 72" xfId="410"/>
    <cellStyle name="Normal 73" xfId="411"/>
    <cellStyle name="Normal 74" xfId="412"/>
    <cellStyle name="Normal 75" xfId="463"/>
    <cellStyle name="Normal 8" xfId="413"/>
    <cellStyle name="Normal 8 2" xfId="414"/>
    <cellStyle name="Normal 8 3" xfId="415"/>
    <cellStyle name="Normal 9" xfId="416"/>
    <cellStyle name="Normal 9 2" xfId="417"/>
    <cellStyle name="Normal 9 3" xfId="418"/>
    <cellStyle name="Note 10" xfId="419"/>
    <cellStyle name="Note 10 2" xfId="420"/>
    <cellStyle name="Note 10 3" xfId="421"/>
    <cellStyle name="Note 11" xfId="422"/>
    <cellStyle name="Note 11 2" xfId="423"/>
    <cellStyle name="Note 11 3" xfId="424"/>
    <cellStyle name="Note 12" xfId="425"/>
    <cellStyle name="Note 12 2" xfId="426"/>
    <cellStyle name="Note 12 3" xfId="427"/>
    <cellStyle name="Note 13" xfId="428"/>
    <cellStyle name="Note 13 2" xfId="429"/>
    <cellStyle name="Note 14" xfId="430"/>
    <cellStyle name="Note 14 2" xfId="431"/>
    <cellStyle name="Note 2" xfId="432"/>
    <cellStyle name="Note 2 2" xfId="433"/>
    <cellStyle name="Note 2 3" xfId="434"/>
    <cellStyle name="Note 3" xfId="435"/>
    <cellStyle name="Note 3 2" xfId="436"/>
    <cellStyle name="Note 3 3" xfId="437"/>
    <cellStyle name="Note 4" xfId="438"/>
    <cellStyle name="Note 4 2" xfId="439"/>
    <cellStyle name="Note 4 3" xfId="440"/>
    <cellStyle name="Note 5" xfId="441"/>
    <cellStyle name="Note 5 2" xfId="442"/>
    <cellStyle name="Note 5 3" xfId="443"/>
    <cellStyle name="Note 6" xfId="444"/>
    <cellStyle name="Note 6 2" xfId="445"/>
    <cellStyle name="Note 6 3" xfId="446"/>
    <cellStyle name="Note 7" xfId="447"/>
    <cellStyle name="Note 7 2" xfId="448"/>
    <cellStyle name="Note 7 3" xfId="449"/>
    <cellStyle name="Note 8" xfId="450"/>
    <cellStyle name="Note 8 2" xfId="451"/>
    <cellStyle name="Note 8 3" xfId="452"/>
    <cellStyle name="Note 9" xfId="453"/>
    <cellStyle name="Note 9 2" xfId="454"/>
    <cellStyle name="Note 9 3" xfId="455"/>
    <cellStyle name="Percent 2" xfId="456"/>
    <cellStyle name="Percent 2 2" xfId="457"/>
    <cellStyle name="Percent 2 2 2" xfId="458"/>
    <cellStyle name="Percent 3" xfId="459"/>
    <cellStyle name="Percent 4" xfId="460"/>
    <cellStyle name="Title 2" xfId="461"/>
    <cellStyle name="Title 3" xfId="462"/>
  </cellStyles>
  <dxfs count="0"/>
  <tableStyles count="0" defaultTableStyle="TableStyleMedium2" defaultPivotStyle="PivotStyleLight16"/>
  <colors>
    <mruColors>
      <color rgb="FF000000"/>
      <color rgb="FF66CCFF"/>
      <color rgb="FF0C685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904179248672792E-2"/>
          <c:y val="0.1111454109985755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January 2024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_(* #,##0.00_);_(* \(#,##0.00\);_(* "-"??_);_(@_)</c:formatCode>
                <c:ptCount val="8"/>
                <c:pt idx="0">
                  <c:v>29.579571642289327</c:v>
                </c:pt>
                <c:pt idx="1">
                  <c:v>954.71678990712985</c:v>
                </c:pt>
                <c:pt idx="2">
                  <c:v>297.26469795871998</c:v>
                </c:pt>
                <c:pt idx="3">
                  <c:v>1167.7321175052934</c:v>
                </c:pt>
                <c:pt idx="4">
                  <c:v>97.676603718220008</c:v>
                </c:pt>
                <c:pt idx="5">
                  <c:v>46.187915048359997</c:v>
                </c:pt>
                <c:pt idx="6">
                  <c:v>5.2162301487600002</c:v>
                </c:pt>
                <c:pt idx="7">
                  <c:v>46.768829487220003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C-4CE6-8340-267A4224C0F3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February 2024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_(* #,##0.00_);_(* \(#,##0.00\);_(* "-"??_);_(@_)</c:formatCode>
                <c:ptCount val="8"/>
                <c:pt idx="0">
                  <c:v>27.968292639349997</c:v>
                </c:pt>
                <c:pt idx="1">
                  <c:v>959.12521671342017</c:v>
                </c:pt>
                <c:pt idx="2">
                  <c:v>290.37195049995</c:v>
                </c:pt>
                <c:pt idx="3">
                  <c:v>1387.5869787181832</c:v>
                </c:pt>
                <c:pt idx="4">
                  <c:v>98.105620467190008</c:v>
                </c:pt>
                <c:pt idx="5">
                  <c:v>48.771441661730002</c:v>
                </c:pt>
                <c:pt idx="6">
                  <c:v>5.10283750362</c:v>
                </c:pt>
                <c:pt idx="7">
                  <c:v>49.092967262560002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C-4CE6-8340-267A4224C0F3}"/>
            </c:ext>
          </c:extLst>
        </c:ser>
        <c:ser>
          <c:idx val="2"/>
          <c:order val="2"/>
          <c:tx>
            <c:strRef>
              <c:f>'NAV Comparison'!$D$4</c:f>
              <c:strCache>
                <c:ptCount val="1"/>
                <c:pt idx="0">
                  <c:v>March 2024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8.461770927772741E-3"/>
                  <c:y val="4.8596743664807926E-17"/>
                </c:manualLayout>
              </c:layout>
              <c:tx>
                <c:rich>
                  <a:bodyPr/>
                  <a:lstStyle/>
                  <a:p>
                    <a:fld id="{13BCF690-98EA-45E1-96C2-F9FB6227021E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91C-49A5-9CC2-8DC1693DA59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993C6E2-CD8E-4607-83A7-41614D79E497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91C-49A5-9CC2-8DC1693DA59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ACAB2E2-459C-49D5-A8BB-2516E0D09DA6}" type="VALUE">
                      <a:rPr lang="en-US">
                        <a:solidFill>
                          <a:sysClr val="windowText" lastClr="000000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91C-49A5-9CC2-8DC1693DA595}"/>
                </c:ext>
              </c:extLst>
            </c:dLbl>
            <c:dLbl>
              <c:idx val="4"/>
              <c:layout>
                <c:manualLayout>
                  <c:x val="0"/>
                  <c:y val="-1.59045725646123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91C-49A5-9CC2-8DC1693DA595}"/>
                </c:ext>
              </c:extLst>
            </c:dLbl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ysClr val="windowText" lastClr="000000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Comparison'!$D$5:$D$12</c:f>
              <c:numCache>
                <c:formatCode>_(* #,##0.00_);_(* \(#,##0.00\);_(* "-"??_);_(@_)</c:formatCode>
                <c:ptCount val="8"/>
                <c:pt idx="0">
                  <c:v>29.297637748509999</c:v>
                </c:pt>
                <c:pt idx="1">
                  <c:v>915.75584160342009</c:v>
                </c:pt>
                <c:pt idx="2">
                  <c:v>276.33373600948005</c:v>
                </c:pt>
                <c:pt idx="3">
                  <c:v>1226.7907003653677</c:v>
                </c:pt>
                <c:pt idx="4">
                  <c:v>96.56167960194999</c:v>
                </c:pt>
                <c:pt idx="5">
                  <c:v>50.315976593890007</c:v>
                </c:pt>
                <c:pt idx="6">
                  <c:v>5.2130188426900004</c:v>
                </c:pt>
                <c:pt idx="7">
                  <c:v>49.36467417734999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C-46B1-9570-651A6588DB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</c:rich>
      </c:tx>
      <c:layout>
        <c:manualLayout>
          <c:xMode val="edge"/>
          <c:yMode val="edge"/>
          <c:x val="0.231843809708693"/>
          <c:y val="9.3377148481089307E-3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217560112984199"/>
          <c:y val="0.167450900141421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March 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BE4-4C0C-A12A-7945BB6BD80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BE4-4C0C-A12A-7945BB6BD80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BE4-4C0C-A12A-7945BB6BD802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BE4-4C0C-A12A-7945BB6BD802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BE4-4C0C-A12A-7945BB6BD802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BE4-4C0C-A12A-7945BB6BD802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BE4-4C0C-A12A-7945BB6BD802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BE4-4C0C-A12A-7945BB6BD802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E4-4C0C-A12A-7945BB6BD802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E4-4C0C-A12A-7945BB6BD802}"/>
                </c:ext>
              </c:extLst>
            </c:dLbl>
            <c:dLbl>
              <c:idx val="2"/>
              <c:layout>
                <c:manualLayout>
                  <c:x val="-6.3908902826365604E-2"/>
                  <c:y val="-8.28561132914906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BE4-4C0C-A12A-7945BB6BD802}"/>
                </c:ext>
              </c:extLst>
            </c:dLbl>
            <c:dLbl>
              <c:idx val="3"/>
              <c:layout>
                <c:manualLayout>
                  <c:x val="-2.6526955148730099E-2"/>
                  <c:y val="-6.35230201901428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BE4-4C0C-A12A-7945BB6BD802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BE4-4C0C-A12A-7945BB6BD802}"/>
                </c:ext>
              </c:extLst>
            </c:dLbl>
            <c:dLbl>
              <c:idx val="5"/>
              <c:layout>
                <c:manualLayout>
                  <c:x val="0.17345977414073499"/>
                  <c:y val="7.18087014623515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2BE4-4C0C-A12A-7945BB6BD802}"/>
                </c:ext>
              </c:extLst>
            </c:dLbl>
            <c:dLbl>
              <c:idx val="6"/>
              <c:layout>
                <c:manualLayout>
                  <c:x val="-0.11676596925004"/>
                  <c:y val="0.11599855860808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2BE4-4C0C-A12A-7945BB6BD802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2BE4-4C0C-A12A-7945BB6BD802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_-* #,##0.00_-;\-* #,##0.00_-;_-* "-"??_-;_-@_-</c:formatCode>
                <c:ptCount val="8"/>
                <c:pt idx="0">
                  <c:v>5213018842.6900005</c:v>
                </c:pt>
                <c:pt idx="1">
                  <c:v>29297637748.509998</c:v>
                </c:pt>
                <c:pt idx="2" formatCode="#,##0.00">
                  <c:v>49364674177.349991</c:v>
                </c:pt>
                <c:pt idx="3" formatCode="#,##0.00">
                  <c:v>50315976593.890007</c:v>
                </c:pt>
                <c:pt idx="4" formatCode="#,##0.00">
                  <c:v>96561679601.949997</c:v>
                </c:pt>
                <c:pt idx="5" formatCode="#,##0.00">
                  <c:v>276333736009.48004</c:v>
                </c:pt>
                <c:pt idx="6" formatCode="#,##0.00">
                  <c:v>915755841603.42004</c:v>
                </c:pt>
                <c:pt idx="7" formatCode="&quot; &quot;* #,##0.00&quot; &quot;;&quot;-&quot;* #,##0.00&quot; &quot;;&quot; &quot;* &quot;-&quot;??&quot; &quot;">
                  <c:v>1226790700365.3677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E4-4C0C-A12A-7945BB6BD802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UNITHOLDERS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Unitholders!$B$5</c:f>
              <c:strCache>
                <c:ptCount val="1"/>
                <c:pt idx="0">
                  <c:v>UNIT HOLDERS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Unitholders!$A$6:$A$13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Unitholders!$B$6:$B$13</c:f>
              <c:numCache>
                <c:formatCode>_(* #,##0_);_(* \(#,##0\);_(* "-"??_);_(@_)</c:formatCode>
                <c:ptCount val="8"/>
                <c:pt idx="0">
                  <c:v>49218</c:v>
                </c:pt>
                <c:pt idx="1">
                  <c:v>278741</c:v>
                </c:pt>
                <c:pt idx="2">
                  <c:v>45197</c:v>
                </c:pt>
                <c:pt idx="3">
                  <c:v>15179</c:v>
                </c:pt>
                <c:pt idx="4">
                  <c:v>216982</c:v>
                </c:pt>
                <c:pt idx="5">
                  <c:v>68770</c:v>
                </c:pt>
                <c:pt idx="6">
                  <c:v>13072</c:v>
                </c:pt>
                <c:pt idx="7">
                  <c:v>26757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FB8-9E12-D0825863729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axId val="1627446192"/>
        <c:axId val="1627445712"/>
      </c:barChart>
      <c:catAx>
        <c:axId val="162744619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900" b="0" i="0" u="none" strike="noStrike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CLASSES OF FUNDS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444441097145799"/>
              <c:y val="0.936238322854479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0" i="0" u="none" strike="noStrike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7445712"/>
        <c:crosses val="autoZero"/>
        <c:auto val="1"/>
        <c:lblAlgn val="ctr"/>
        <c:lblOffset val="100"/>
        <c:noMultiLvlLbl val="0"/>
      </c:catAx>
      <c:valAx>
        <c:axId val="16274457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0">
                    <a:schemeClr val="lt1">
                      <a:lumMod val="75000"/>
                      <a:alpha val="36000"/>
                    </a:schemeClr>
                  </a:gs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crossAx val="162744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>
                <a:lumMod val="75000"/>
                <a:alpha val="36000"/>
              </a:schemeClr>
            </a:gs>
            <a:gs pos="100000">
              <a:schemeClr val="dk1">
                <a:lumMod val="95000"/>
                <a:lumOff val="5000"/>
                <a:alpha val="42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0">
              <a:schemeClr val="lt1">
                <a:lumMod val="75000"/>
                <a:alpha val="36000"/>
                <a:lumOff val="10000"/>
              </a:schemeClr>
            </a:gs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38100</xdr:colOff>
      <xdr:row>22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590550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19050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pdate%20on%20Registered%20Mutual%20Funds%20as%20at%20FEBR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ruary 2024"/>
      <sheetName val="NAV Comparison"/>
      <sheetName val="Market Share"/>
      <sheetName val="Unitholders"/>
    </sheetNames>
    <sheetDataSet>
      <sheetData sheetId="0">
        <row r="120">
          <cell r="K120">
            <v>1387586978718.1831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89"/>
  <sheetViews>
    <sheetView tabSelected="1" zoomScaleNormal="100" zoomScaleSheetLayoutView="70" workbookViewId="0">
      <pane ySplit="2" topLeftCell="A3" activePane="bottomLeft" state="frozen"/>
      <selection pane="bottomLeft" activeCell="A3" sqref="A3:V3"/>
    </sheetView>
  </sheetViews>
  <sheetFormatPr defaultColWidth="9" defaultRowHeight="12.75"/>
  <cols>
    <col min="1" max="1" width="6.7109375" style="12" customWidth="1"/>
    <col min="2" max="2" width="53.7109375" style="12" customWidth="1"/>
    <col min="3" max="3" width="47.7109375" style="12" customWidth="1"/>
    <col min="4" max="4" width="21.5703125" style="12" customWidth="1"/>
    <col min="5" max="6" width="19.28515625" style="12" customWidth="1"/>
    <col min="7" max="7" width="19.7109375" style="12" customWidth="1"/>
    <col min="8" max="8" width="20" style="12" customWidth="1"/>
    <col min="9" max="9" width="25.7109375" style="12" customWidth="1"/>
    <col min="10" max="10" width="9" style="12"/>
    <col min="11" max="11" width="23" style="12" customWidth="1"/>
    <col min="12" max="12" width="9" style="12"/>
    <col min="13" max="13" width="11.5703125" style="12" customWidth="1"/>
    <col min="14" max="14" width="12.140625" style="12" customWidth="1"/>
    <col min="15" max="15" width="12.5703125" style="12" customWidth="1"/>
    <col min="16" max="17" width="12.7109375" style="12" customWidth="1"/>
    <col min="18" max="19" width="14.42578125" style="12" customWidth="1"/>
    <col min="20" max="20" width="15.5703125" style="12" customWidth="1"/>
    <col min="21" max="22" width="20.140625" style="12" customWidth="1"/>
    <col min="23" max="16384" width="9" style="12"/>
  </cols>
  <sheetData>
    <row r="1" spans="1:23" ht="48">
      <c r="A1" s="90" t="s">
        <v>216</v>
      </c>
      <c r="B1" s="90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3" ht="48" customHeight="1">
      <c r="A2" s="13" t="s">
        <v>0</v>
      </c>
      <c r="B2" s="13" t="s">
        <v>1</v>
      </c>
      <c r="C2" s="13" t="s">
        <v>2</v>
      </c>
      <c r="D2" s="13" t="s">
        <v>3</v>
      </c>
      <c r="E2" s="13" t="s">
        <v>4</v>
      </c>
      <c r="F2" s="13" t="s">
        <v>212</v>
      </c>
      <c r="G2" s="13" t="s">
        <v>5</v>
      </c>
      <c r="H2" s="14" t="s">
        <v>6</v>
      </c>
      <c r="I2" s="13" t="s">
        <v>255</v>
      </c>
      <c r="J2" s="13" t="s">
        <v>257</v>
      </c>
      <c r="K2" s="13" t="s">
        <v>7</v>
      </c>
      <c r="L2" s="13" t="s">
        <v>257</v>
      </c>
      <c r="M2" s="13" t="s">
        <v>8</v>
      </c>
      <c r="N2" s="13" t="s">
        <v>9</v>
      </c>
      <c r="O2" s="13" t="s">
        <v>10</v>
      </c>
      <c r="P2" s="13" t="s">
        <v>11</v>
      </c>
      <c r="Q2" s="13" t="s">
        <v>12</v>
      </c>
      <c r="R2" s="13" t="s">
        <v>13</v>
      </c>
      <c r="S2" s="13" t="s">
        <v>14</v>
      </c>
      <c r="T2" s="13" t="s">
        <v>15</v>
      </c>
      <c r="U2" s="13" t="s">
        <v>16</v>
      </c>
      <c r="V2" s="13" t="s">
        <v>17</v>
      </c>
    </row>
    <row r="3" spans="1:23" ht="6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</row>
    <row r="4" spans="1:23" ht="17.100000000000001" customHeight="1">
      <c r="A4" s="93" t="s">
        <v>18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</row>
    <row r="5" spans="1:23" ht="15" customHeight="1">
      <c r="A5" s="61">
        <v>1</v>
      </c>
      <c r="B5" s="48" t="s">
        <v>19</v>
      </c>
      <c r="C5" s="48" t="s">
        <v>20</v>
      </c>
      <c r="D5" s="27">
        <v>1287588826.51</v>
      </c>
      <c r="E5" s="27">
        <v>1261805.23</v>
      </c>
      <c r="F5" s="27">
        <v>480067859.13</v>
      </c>
      <c r="G5" s="27">
        <v>2336693.83</v>
      </c>
      <c r="H5" s="29">
        <f>(E5+F5)-G5</f>
        <v>478992970.53000003</v>
      </c>
      <c r="I5" s="36">
        <v>1196492940.9000001</v>
      </c>
      <c r="J5" s="30">
        <f>(I5/$I$22)</f>
        <v>4.2780335443737237E-2</v>
      </c>
      <c r="K5" s="36">
        <v>1318136675.1199999</v>
      </c>
      <c r="L5" s="30">
        <f>(K5/$K$22)</f>
        <v>4.4991227157453573E-2</v>
      </c>
      <c r="M5" s="30">
        <f t="shared" ref="M5" si="0">((K5-I5)/I5)</f>
        <v>0.10166690505378123</v>
      </c>
      <c r="N5" s="51">
        <f t="shared" ref="N5" si="1">(G5/K5)</f>
        <v>1.7727249943844201E-3</v>
      </c>
      <c r="O5" s="52">
        <f t="shared" ref="O5" si="2">H5/K5</f>
        <v>0.36338642234227625</v>
      </c>
      <c r="P5" s="53">
        <f t="shared" ref="P5" si="3">K5/V5</f>
        <v>364.15162686090326</v>
      </c>
      <c r="Q5" s="53">
        <f t="shared" ref="Q5" si="4">H5/V5</f>
        <v>132.32775687510318</v>
      </c>
      <c r="R5" s="27">
        <v>364.15159999999997</v>
      </c>
      <c r="S5" s="27">
        <v>367.59739999999999</v>
      </c>
      <c r="T5" s="27">
        <v>1736</v>
      </c>
      <c r="U5" s="27">
        <v>3560200.49</v>
      </c>
      <c r="V5" s="27">
        <v>3619746.77</v>
      </c>
    </row>
    <row r="6" spans="1:23" ht="14.25">
      <c r="A6" s="61">
        <v>2</v>
      </c>
      <c r="B6" s="48" t="s">
        <v>21</v>
      </c>
      <c r="C6" s="48" t="s">
        <v>22</v>
      </c>
      <c r="D6" s="27">
        <v>626182484.34000003</v>
      </c>
      <c r="E6" s="27">
        <v>2052956.96</v>
      </c>
      <c r="F6" s="27"/>
      <c r="G6" s="27">
        <v>6873321.75</v>
      </c>
      <c r="H6" s="29">
        <f t="shared" ref="H6:H21" si="5">(E6+F6)-G6</f>
        <v>-4820364.79</v>
      </c>
      <c r="I6" s="36">
        <v>600519635.5</v>
      </c>
      <c r="J6" s="30">
        <f t="shared" ref="J6:J21" si="6">(I6/$I$22)</f>
        <v>2.1471444225919557E-2</v>
      </c>
      <c r="K6" s="36">
        <v>628982609.78999996</v>
      </c>
      <c r="L6" s="30">
        <f t="shared" ref="L6:L21" si="7">(K6/$K$22)</f>
        <v>2.1468714139657501E-2</v>
      </c>
      <c r="M6" s="30">
        <f t="shared" ref="M6:M22" si="8">((K6-I6)/I6)</f>
        <v>4.7397241667712232E-2</v>
      </c>
      <c r="N6" s="51">
        <f t="shared" ref="N6:N21" si="9">(G6/K6)</f>
        <v>1.0927681692654132E-2</v>
      </c>
      <c r="O6" s="52">
        <f t="shared" ref="O6:O21" si="10">H6/K6</f>
        <v>-7.6637489097025873E-3</v>
      </c>
      <c r="P6" s="53">
        <f t="shared" ref="P6:P21" si="11">K6/V6</f>
        <v>230.11309390424643</v>
      </c>
      <c r="Q6" s="53">
        <f t="shared" ref="Q6:Q21" si="12">H6/V6</f>
        <v>-1.7635289725169576</v>
      </c>
      <c r="R6" s="27">
        <v>229.64</v>
      </c>
      <c r="S6" s="27">
        <v>232.4</v>
      </c>
      <c r="T6" s="27">
        <v>305</v>
      </c>
      <c r="U6" s="27">
        <v>2718471.86</v>
      </c>
      <c r="V6" s="27">
        <v>2733362.97</v>
      </c>
    </row>
    <row r="7" spans="1:23" ht="14.25">
      <c r="A7" s="61">
        <v>3</v>
      </c>
      <c r="B7" s="48" t="s">
        <v>23</v>
      </c>
      <c r="C7" s="27" t="s">
        <v>24</v>
      </c>
      <c r="D7" s="27">
        <v>3802998482.77</v>
      </c>
      <c r="E7" s="27">
        <v>413071.81</v>
      </c>
      <c r="F7" s="27"/>
      <c r="G7" s="27">
        <v>8155406.71</v>
      </c>
      <c r="H7" s="29">
        <f t="shared" si="5"/>
        <v>-7742334.9000000004</v>
      </c>
      <c r="I7" s="36">
        <v>3958531300</v>
      </c>
      <c r="J7" s="30">
        <f t="shared" si="6"/>
        <v>0.14153639448231969</v>
      </c>
      <c r="K7" s="36">
        <v>4049328126</v>
      </c>
      <c r="L7" s="30">
        <f t="shared" si="7"/>
        <v>0.13821346829253967</v>
      </c>
      <c r="M7" s="30">
        <f t="shared" si="8"/>
        <v>2.2936998376140161E-2</v>
      </c>
      <c r="N7" s="51">
        <f t="shared" si="9"/>
        <v>2.014014783745386E-3</v>
      </c>
      <c r="O7" s="52">
        <f t="shared" si="10"/>
        <v>-1.9120048213153869E-3</v>
      </c>
      <c r="P7" s="53">
        <f t="shared" si="11"/>
        <v>37.863914131115187</v>
      </c>
      <c r="Q7" s="53">
        <f t="shared" si="12"/>
        <v>-7.2395986372564045E-2</v>
      </c>
      <c r="R7" s="27">
        <v>37.674599999999998</v>
      </c>
      <c r="S7" s="27">
        <v>38.810499999999998</v>
      </c>
      <c r="T7" s="27">
        <v>6395</v>
      </c>
      <c r="U7" s="27">
        <v>106668949</v>
      </c>
      <c r="V7" s="27">
        <v>106944256</v>
      </c>
    </row>
    <row r="8" spans="1:23" ht="14.25">
      <c r="A8" s="61">
        <v>4</v>
      </c>
      <c r="B8" s="49" t="s">
        <v>25</v>
      </c>
      <c r="C8" s="49" t="s">
        <v>26</v>
      </c>
      <c r="D8" s="27">
        <v>610114620.94000006</v>
      </c>
      <c r="E8" s="27">
        <v>6732578.0499999998</v>
      </c>
      <c r="F8" s="27"/>
      <c r="G8" s="27">
        <v>1337824.26</v>
      </c>
      <c r="H8" s="29">
        <f t="shared" si="5"/>
        <v>5394753.79</v>
      </c>
      <c r="I8" s="37">
        <v>713939500.14999998</v>
      </c>
      <c r="J8" s="30">
        <f t="shared" si="6"/>
        <v>2.5526745924616168E-2</v>
      </c>
      <c r="K8" s="27">
        <v>712006962.46000004</v>
      </c>
      <c r="L8" s="30">
        <f t="shared" si="7"/>
        <v>2.4302538265093092E-2</v>
      </c>
      <c r="M8" s="30">
        <f t="shared" si="8"/>
        <v>-2.7068647827916906E-3</v>
      </c>
      <c r="N8" s="51">
        <f t="shared" si="9"/>
        <v>1.8789482835642325E-3</v>
      </c>
      <c r="O8" s="52">
        <f t="shared" si="10"/>
        <v>7.5768272986559068E-3</v>
      </c>
      <c r="P8" s="53">
        <f t="shared" si="11"/>
        <v>239.8775138298563</v>
      </c>
      <c r="Q8" s="53">
        <f t="shared" si="12"/>
        <v>1.8175104951197651</v>
      </c>
      <c r="R8" s="27">
        <v>239.8775</v>
      </c>
      <c r="S8" s="27">
        <v>239.8775</v>
      </c>
      <c r="T8" s="27">
        <v>2321</v>
      </c>
      <c r="U8" s="27">
        <v>3126938.42</v>
      </c>
      <c r="V8" s="27">
        <v>2968210.53</v>
      </c>
    </row>
    <row r="9" spans="1:23" ht="14.25">
      <c r="A9" s="61">
        <v>5</v>
      </c>
      <c r="B9" s="48" t="s">
        <v>244</v>
      </c>
      <c r="C9" s="48" t="s">
        <v>103</v>
      </c>
      <c r="D9" s="27">
        <v>686863337.48000002</v>
      </c>
      <c r="E9" s="27">
        <v>5453977.6100000003</v>
      </c>
      <c r="F9" s="27">
        <v>64478170.719999999</v>
      </c>
      <c r="G9" s="27">
        <v>1171256.58</v>
      </c>
      <c r="H9" s="29">
        <f>(E9+F9)-G9</f>
        <v>68760891.75</v>
      </c>
      <c r="I9" s="37">
        <v>613303895.26999998</v>
      </c>
      <c r="J9" s="30">
        <f t="shared" si="6"/>
        <v>2.19285425527589E-2</v>
      </c>
      <c r="K9" s="27">
        <v>682739350.97000003</v>
      </c>
      <c r="L9" s="30">
        <f t="shared" si="7"/>
        <v>2.3303563134700934E-2</v>
      </c>
      <c r="M9" s="30">
        <f t="shared" si="8"/>
        <v>0.11321541610204822</v>
      </c>
      <c r="N9" s="51">
        <f t="shared" si="9"/>
        <v>1.7155252269199666E-3</v>
      </c>
      <c r="O9" s="52">
        <f t="shared" si="10"/>
        <v>0.10071323947024316</v>
      </c>
      <c r="P9" s="53">
        <f t="shared" si="11"/>
        <v>1.002963439592008</v>
      </c>
      <c r="Q9" s="53">
        <f t="shared" si="12"/>
        <v>0.10101169707152864</v>
      </c>
      <c r="R9" s="27">
        <v>0.99580000000000002</v>
      </c>
      <c r="S9" s="27">
        <v>1.0051000000000001</v>
      </c>
      <c r="T9" s="27">
        <v>553</v>
      </c>
      <c r="U9" s="27">
        <v>679982455.50999999</v>
      </c>
      <c r="V9" s="27">
        <v>680722072.23000002</v>
      </c>
    </row>
    <row r="10" spans="1:23" ht="14.25">
      <c r="A10" s="61">
        <v>6</v>
      </c>
      <c r="B10" s="48" t="s">
        <v>243</v>
      </c>
      <c r="C10" s="48" t="s">
        <v>46</v>
      </c>
      <c r="D10" s="27">
        <f>39223471+19029923.33+24473274.46+7149257.6</f>
        <v>89875926.389999986</v>
      </c>
      <c r="E10" s="27">
        <v>721235.65</v>
      </c>
      <c r="F10" s="27"/>
      <c r="G10" s="27">
        <v>135890.56</v>
      </c>
      <c r="H10" s="29">
        <f>(E10+F10)-G10</f>
        <v>585345.09000000008</v>
      </c>
      <c r="I10" s="27">
        <v>96914447.799999997</v>
      </c>
      <c r="J10" s="30">
        <f t="shared" si="6"/>
        <v>3.4651542391131228E-3</v>
      </c>
      <c r="K10" s="27">
        <v>88546782</v>
      </c>
      <c r="L10" s="30">
        <f t="shared" si="7"/>
        <v>3.0223181390964964E-3</v>
      </c>
      <c r="M10" s="30">
        <f t="shared" si="8"/>
        <v>-8.6340746812778077E-2</v>
      </c>
      <c r="N10" s="51">
        <f t="shared" si="9"/>
        <v>1.5346753086972714E-3</v>
      </c>
      <c r="O10" s="52">
        <f t="shared" si="10"/>
        <v>6.6105743967070432E-3</v>
      </c>
      <c r="P10" s="53">
        <f t="shared" si="11"/>
        <v>155.30097352607095</v>
      </c>
      <c r="Q10" s="53">
        <f t="shared" si="12"/>
        <v>1.0266286393751229</v>
      </c>
      <c r="R10" s="27">
        <v>155.13589999999999</v>
      </c>
      <c r="S10" s="27">
        <v>155.69999999999999</v>
      </c>
      <c r="T10" s="27">
        <v>87</v>
      </c>
      <c r="U10" s="27">
        <v>626820.06000000006</v>
      </c>
      <c r="V10" s="27">
        <v>570162.43999999994</v>
      </c>
    </row>
    <row r="11" spans="1:23" ht="14.25">
      <c r="A11" s="61">
        <v>7</v>
      </c>
      <c r="B11" s="48" t="s">
        <v>27</v>
      </c>
      <c r="C11" s="48" t="s">
        <v>28</v>
      </c>
      <c r="D11" s="50">
        <v>1095245813.5699999</v>
      </c>
      <c r="E11" s="27">
        <v>-3556171.94</v>
      </c>
      <c r="F11" s="27"/>
      <c r="G11" s="27">
        <v>2680507.3199999998</v>
      </c>
      <c r="H11" s="29">
        <f t="shared" si="5"/>
        <v>-6236679.2599999998</v>
      </c>
      <c r="I11" s="50">
        <v>1034672425.51</v>
      </c>
      <c r="J11" s="30">
        <f t="shared" si="6"/>
        <v>3.6994479386069756E-2</v>
      </c>
      <c r="K11" s="50">
        <v>1075610657.1600001</v>
      </c>
      <c r="L11" s="30">
        <f t="shared" si="7"/>
        <v>3.6713221263536953E-2</v>
      </c>
      <c r="M11" s="30">
        <f t="shared" si="8"/>
        <v>3.956636964575648E-2</v>
      </c>
      <c r="N11" s="51">
        <f t="shared" si="9"/>
        <v>2.4920795477031675E-3</v>
      </c>
      <c r="O11" s="52">
        <f t="shared" si="10"/>
        <v>-5.7982683775810494E-3</v>
      </c>
      <c r="P11" s="53">
        <f t="shared" si="11"/>
        <v>283.60249037221803</v>
      </c>
      <c r="Q11" s="53">
        <f t="shared" si="12"/>
        <v>-1.6444033517284657</v>
      </c>
      <c r="R11" s="27">
        <v>283.60000000000002</v>
      </c>
      <c r="S11" s="27">
        <v>287.70999999999998</v>
      </c>
      <c r="T11" s="27">
        <v>1621</v>
      </c>
      <c r="U11" s="50">
        <v>4078771</v>
      </c>
      <c r="V11" s="50">
        <v>3792670</v>
      </c>
    </row>
    <row r="12" spans="1:23" ht="14.25">
      <c r="A12" s="61">
        <v>8</v>
      </c>
      <c r="B12" s="48" t="s">
        <v>29</v>
      </c>
      <c r="C12" s="27" t="s">
        <v>30</v>
      </c>
      <c r="D12" s="27">
        <v>350536908.11000001</v>
      </c>
      <c r="E12" s="27">
        <v>1853113.3</v>
      </c>
      <c r="F12" s="27">
        <v>218187206.16</v>
      </c>
      <c r="G12" s="27">
        <v>3637184.41</v>
      </c>
      <c r="H12" s="29">
        <f t="shared" si="5"/>
        <v>216403135.05000001</v>
      </c>
      <c r="I12" s="36">
        <v>316736190.00999999</v>
      </c>
      <c r="J12" s="30">
        <f t="shared" si="6"/>
        <v>1.1324831089773706E-2</v>
      </c>
      <c r="K12" s="36">
        <v>341036914.66000003</v>
      </c>
      <c r="L12" s="30">
        <f t="shared" si="7"/>
        <v>1.164042362689614E-2</v>
      </c>
      <c r="M12" s="30">
        <f t="shared" si="8"/>
        <v>7.6722286295206152E-2</v>
      </c>
      <c r="N12" s="51">
        <f t="shared" si="9"/>
        <v>1.0665075402837624E-2</v>
      </c>
      <c r="O12" s="52">
        <f t="shared" si="10"/>
        <v>0.63454460718935712</v>
      </c>
      <c r="P12" s="53">
        <f t="shared" si="11"/>
        <v>171.31455607206692</v>
      </c>
      <c r="Q12" s="53">
        <f t="shared" si="12"/>
        <v>108.70672768856879</v>
      </c>
      <c r="R12" s="27">
        <v>171.31</v>
      </c>
      <c r="S12" s="27">
        <v>174.49</v>
      </c>
      <c r="T12" s="27">
        <v>2472</v>
      </c>
      <c r="U12" s="27">
        <v>1988037</v>
      </c>
      <c r="V12" s="27">
        <v>1990706</v>
      </c>
    </row>
    <row r="13" spans="1:23" ht="14.25">
      <c r="A13" s="61">
        <v>9</v>
      </c>
      <c r="B13" s="48" t="s">
        <v>31</v>
      </c>
      <c r="C13" s="48" t="s">
        <v>32</v>
      </c>
      <c r="D13" s="27">
        <v>52667814.259999998</v>
      </c>
      <c r="E13" s="27">
        <v>0</v>
      </c>
      <c r="F13" s="27">
        <v>4883842.0181999998</v>
      </c>
      <c r="G13" s="27">
        <v>1199931.29</v>
      </c>
      <c r="H13" s="29">
        <f t="shared" si="5"/>
        <v>3683910.7281999998</v>
      </c>
      <c r="I13" s="36">
        <v>41359487.030000001</v>
      </c>
      <c r="J13" s="30">
        <f t="shared" si="6"/>
        <v>1.4787991374135316E-3</v>
      </c>
      <c r="K13" s="36">
        <v>51256413.170000002</v>
      </c>
      <c r="L13" s="30">
        <f t="shared" si="7"/>
        <v>1.7495066875351331E-3</v>
      </c>
      <c r="M13" s="30">
        <f t="shared" si="8"/>
        <v>0.23929035030877654</v>
      </c>
      <c r="N13" s="51">
        <f t="shared" si="9"/>
        <v>2.341036400694364E-2</v>
      </c>
      <c r="O13" s="52">
        <f t="shared" si="10"/>
        <v>7.1872191212087488E-2</v>
      </c>
      <c r="P13" s="53">
        <f t="shared" si="11"/>
        <v>188.84243742719656</v>
      </c>
      <c r="Q13" s="53">
        <f t="shared" si="12"/>
        <v>13.572519771724139</v>
      </c>
      <c r="R13" s="27">
        <v>186.46</v>
      </c>
      <c r="S13" s="27">
        <v>191.77</v>
      </c>
      <c r="T13" s="27">
        <v>7</v>
      </c>
      <c r="U13" s="27">
        <v>253000</v>
      </c>
      <c r="V13" s="27">
        <v>271424.23</v>
      </c>
      <c r="W13" s="16"/>
    </row>
    <row r="14" spans="1:23" ht="14.25">
      <c r="A14" s="61">
        <v>10</v>
      </c>
      <c r="B14" s="27" t="s">
        <v>33</v>
      </c>
      <c r="C14" s="27" t="s">
        <v>34</v>
      </c>
      <c r="D14" s="27">
        <v>514897558.94999999</v>
      </c>
      <c r="E14" s="27">
        <v>1310768.68</v>
      </c>
      <c r="F14" s="27"/>
      <c r="G14" s="27">
        <v>983506.24</v>
      </c>
      <c r="H14" s="29">
        <f t="shared" si="5"/>
        <v>327262.43999999994</v>
      </c>
      <c r="I14" s="37">
        <v>455902296.52999997</v>
      </c>
      <c r="J14" s="30">
        <f t="shared" si="6"/>
        <v>1.6300683864004201E-2</v>
      </c>
      <c r="K14" s="27">
        <v>499761495.32999998</v>
      </c>
      <c r="L14" s="30">
        <f t="shared" si="7"/>
        <v>1.7058081597565541E-2</v>
      </c>
      <c r="M14" s="30">
        <f t="shared" si="8"/>
        <v>9.6203066169713677E-2</v>
      </c>
      <c r="N14" s="51">
        <f t="shared" si="9"/>
        <v>1.9679512111083629E-3</v>
      </c>
      <c r="O14" s="52">
        <f t="shared" si="10"/>
        <v>6.548372434813203E-4</v>
      </c>
      <c r="P14" s="53">
        <f t="shared" si="11"/>
        <v>1.6212692440969139</v>
      </c>
      <c r="Q14" s="53">
        <f t="shared" si="12"/>
        <v>1.0616674827454669E-3</v>
      </c>
      <c r="R14" s="27">
        <v>1.59</v>
      </c>
      <c r="S14" s="27">
        <v>1.64</v>
      </c>
      <c r="T14" s="27">
        <v>535</v>
      </c>
      <c r="U14" s="27">
        <v>305382513.68000001</v>
      </c>
      <c r="V14" s="27">
        <v>308253238.72000003</v>
      </c>
    </row>
    <row r="15" spans="1:23" ht="14.25">
      <c r="A15" s="61">
        <v>11</v>
      </c>
      <c r="B15" s="48" t="s">
        <v>35</v>
      </c>
      <c r="C15" s="27" t="s">
        <v>36</v>
      </c>
      <c r="D15" s="27">
        <v>1679914277.3599999</v>
      </c>
      <c r="E15" s="29">
        <v>7010359.7599999998</v>
      </c>
      <c r="F15" s="29"/>
      <c r="G15" s="27">
        <v>2571579.5299999998</v>
      </c>
      <c r="H15" s="29">
        <f t="shared" si="5"/>
        <v>4438780.2300000004</v>
      </c>
      <c r="I15" s="36">
        <v>1570923867.46</v>
      </c>
      <c r="J15" s="30">
        <f t="shared" si="6"/>
        <v>5.6168028835975069E-2</v>
      </c>
      <c r="K15" s="36">
        <v>1669662690.6900001</v>
      </c>
      <c r="L15" s="30">
        <f t="shared" si="7"/>
        <v>5.6989669441008591E-2</v>
      </c>
      <c r="M15" s="30">
        <f t="shared" si="8"/>
        <v>6.2853983745023323E-2</v>
      </c>
      <c r="N15" s="51">
        <f t="shared" si="9"/>
        <v>1.5401790699037996E-3</v>
      </c>
      <c r="O15" s="52">
        <f t="shared" si="10"/>
        <v>2.6584891994955238E-3</v>
      </c>
      <c r="P15" s="53">
        <f t="shared" si="11"/>
        <v>3.4194759905304308</v>
      </c>
      <c r="Q15" s="53">
        <f t="shared" si="12"/>
        <v>9.090639988759407E-3</v>
      </c>
      <c r="R15" s="27">
        <v>3.38</v>
      </c>
      <c r="S15" s="27">
        <v>3.45</v>
      </c>
      <c r="T15" s="27">
        <v>3669</v>
      </c>
      <c r="U15" s="27">
        <v>490803404</v>
      </c>
      <c r="V15" s="27">
        <v>488280279</v>
      </c>
    </row>
    <row r="16" spans="1:23" ht="14.25">
      <c r="A16" s="61">
        <v>12</v>
      </c>
      <c r="B16" s="48" t="s">
        <v>37</v>
      </c>
      <c r="C16" s="48" t="s">
        <v>38</v>
      </c>
      <c r="D16" s="27">
        <v>640852819.24000001</v>
      </c>
      <c r="E16" s="27">
        <v>10756222.17</v>
      </c>
      <c r="F16" s="27">
        <v>47498952.630000003</v>
      </c>
      <c r="G16" s="27">
        <v>1027556.7</v>
      </c>
      <c r="H16" s="29">
        <f t="shared" si="5"/>
        <v>57227618.100000001</v>
      </c>
      <c r="I16" s="38">
        <v>618147562.90999997</v>
      </c>
      <c r="J16" s="30">
        <f t="shared" si="6"/>
        <v>2.2101726797591394E-2</v>
      </c>
      <c r="K16" s="38">
        <v>660955614.38999999</v>
      </c>
      <c r="L16" s="30">
        <f t="shared" si="7"/>
        <v>2.2560030950741564E-2</v>
      </c>
      <c r="M16" s="30">
        <f t="shared" si="8"/>
        <v>6.9252156036135201E-2</v>
      </c>
      <c r="N16" s="51">
        <f t="shared" si="9"/>
        <v>1.5546531077557128E-3</v>
      </c>
      <c r="O16" s="52">
        <f t="shared" si="10"/>
        <v>8.6583148480879044E-2</v>
      </c>
      <c r="P16" s="53">
        <f t="shared" si="11"/>
        <v>20.250016879262098</v>
      </c>
      <c r="Q16" s="53">
        <f t="shared" si="12"/>
        <v>1.7533102181974569</v>
      </c>
      <c r="R16" s="27">
        <v>20.34</v>
      </c>
      <c r="S16" s="27">
        <v>20.45</v>
      </c>
      <c r="T16" s="27">
        <v>325</v>
      </c>
      <c r="U16" s="27">
        <v>32811769.68</v>
      </c>
      <c r="V16" s="27">
        <v>32639756.219999999</v>
      </c>
    </row>
    <row r="17" spans="1:22" ht="14.25">
      <c r="A17" s="61">
        <v>13</v>
      </c>
      <c r="B17" s="49" t="s">
        <v>39</v>
      </c>
      <c r="C17" s="49" t="s">
        <v>40</v>
      </c>
      <c r="D17" s="27">
        <v>378746594.83999997</v>
      </c>
      <c r="E17" s="27">
        <v>2788302.01</v>
      </c>
      <c r="F17" s="27">
        <v>164773646.81</v>
      </c>
      <c r="G17" s="27">
        <v>505105.23</v>
      </c>
      <c r="H17" s="29">
        <f t="shared" si="5"/>
        <v>167056843.59</v>
      </c>
      <c r="I17" s="36">
        <v>336153117.48000002</v>
      </c>
      <c r="J17" s="30">
        <f t="shared" si="6"/>
        <v>1.201907895539713E-2</v>
      </c>
      <c r="K17" s="36">
        <v>380686187.80000001</v>
      </c>
      <c r="L17" s="30">
        <f t="shared" si="7"/>
        <v>1.2993750249347687E-2</v>
      </c>
      <c r="M17" s="30">
        <f t="shared" si="8"/>
        <v>0.13247852839755253</v>
      </c>
      <c r="N17" s="51">
        <f t="shared" si="9"/>
        <v>1.3268283593870908E-3</v>
      </c>
      <c r="O17" s="52">
        <f t="shared" si="10"/>
        <v>0.43883085056336785</v>
      </c>
      <c r="P17" s="53">
        <f t="shared" si="11"/>
        <v>2.736858840252625</v>
      </c>
      <c r="Q17" s="53">
        <f t="shared" si="12"/>
        <v>1.2010180927399319</v>
      </c>
      <c r="R17" s="27">
        <v>2.71</v>
      </c>
      <c r="S17" s="27">
        <v>2.74</v>
      </c>
      <c r="T17" s="27">
        <v>21</v>
      </c>
      <c r="U17" s="27">
        <v>138800974.78</v>
      </c>
      <c r="V17" s="27">
        <v>139096025.78</v>
      </c>
    </row>
    <row r="18" spans="1:22" ht="14.25">
      <c r="A18" s="61">
        <v>14</v>
      </c>
      <c r="B18" s="48" t="s">
        <v>41</v>
      </c>
      <c r="C18" s="48" t="s">
        <v>42</v>
      </c>
      <c r="D18" s="27">
        <v>1291508404.1500001</v>
      </c>
      <c r="E18" s="27">
        <v>0</v>
      </c>
      <c r="F18" s="27">
        <v>116000546</v>
      </c>
      <c r="G18" s="27">
        <v>2054789.2</v>
      </c>
      <c r="H18" s="29">
        <f t="shared" si="5"/>
        <v>113945756.8</v>
      </c>
      <c r="I18" s="29">
        <v>1121120095.4100001</v>
      </c>
      <c r="J18" s="30">
        <f t="shared" si="6"/>
        <v>4.008539634030573E-2</v>
      </c>
      <c r="K18" s="36">
        <v>1283600101.8900001</v>
      </c>
      <c r="L18" s="30">
        <f t="shared" si="7"/>
        <v>4.3812409481896901E-2</v>
      </c>
      <c r="M18" s="30">
        <f t="shared" si="8"/>
        <v>0.14492649551570133</v>
      </c>
      <c r="N18" s="51">
        <f t="shared" si="9"/>
        <v>1.600801680347707E-3</v>
      </c>
      <c r="O18" s="52">
        <f t="shared" si="10"/>
        <v>8.8770448547194597E-2</v>
      </c>
      <c r="P18" s="53">
        <f t="shared" si="11"/>
        <v>27.790132596116919</v>
      </c>
      <c r="Q18" s="53">
        <f t="shared" si="12"/>
        <v>2.4669425357433123</v>
      </c>
      <c r="R18" s="27">
        <v>27.46</v>
      </c>
      <c r="S18" s="27">
        <v>28.06</v>
      </c>
      <c r="T18" s="27">
        <v>8875</v>
      </c>
      <c r="U18" s="27">
        <v>44320877</v>
      </c>
      <c r="V18" s="27">
        <v>46189060</v>
      </c>
    </row>
    <row r="19" spans="1:22" ht="14.25">
      <c r="A19" s="61">
        <v>15</v>
      </c>
      <c r="B19" s="27" t="s">
        <v>43</v>
      </c>
      <c r="C19" s="48" t="s">
        <v>44</v>
      </c>
      <c r="D19" s="27">
        <v>634741382.07000005</v>
      </c>
      <c r="E19" s="27">
        <v>2566363.5299999998</v>
      </c>
      <c r="F19" s="27"/>
      <c r="G19" s="27">
        <v>712792.2</v>
      </c>
      <c r="H19" s="29">
        <f t="shared" si="5"/>
        <v>1853571.3299999998</v>
      </c>
      <c r="I19" s="37">
        <v>567354513.97000003</v>
      </c>
      <c r="J19" s="30">
        <f t="shared" si="6"/>
        <v>2.0285632780163362E-2</v>
      </c>
      <c r="K19" s="27">
        <v>634011391.83000004</v>
      </c>
      <c r="L19" s="30">
        <f t="shared" si="7"/>
        <v>2.1640358764496097E-2</v>
      </c>
      <c r="M19" s="30">
        <f t="shared" si="8"/>
        <v>0.11748717286758845</v>
      </c>
      <c r="N19" s="51">
        <f t="shared" si="9"/>
        <v>1.1242577171091646E-3</v>
      </c>
      <c r="O19" s="52">
        <f t="shared" si="10"/>
        <v>2.9235615540753645E-3</v>
      </c>
      <c r="P19" s="53">
        <f t="shared" si="11"/>
        <v>6030.6286877368993</v>
      </c>
      <c r="Q19" s="53">
        <f t="shared" si="12"/>
        <v>17.630914178371565</v>
      </c>
      <c r="R19" s="27">
        <v>6084.07</v>
      </c>
      <c r="S19" s="27">
        <v>6160.21</v>
      </c>
      <c r="T19" s="27">
        <v>22</v>
      </c>
      <c r="U19" s="27">
        <v>101714.65</v>
      </c>
      <c r="V19" s="27">
        <v>105131.89</v>
      </c>
    </row>
    <row r="20" spans="1:22" ht="14.25">
      <c r="A20" s="61">
        <v>16</v>
      </c>
      <c r="B20" s="48" t="s">
        <v>45</v>
      </c>
      <c r="C20" s="48" t="s">
        <v>44</v>
      </c>
      <c r="D20" s="27">
        <v>11896683764.549999</v>
      </c>
      <c r="E20" s="27">
        <v>59772888.600000001</v>
      </c>
      <c r="F20" s="27"/>
      <c r="G20" s="27">
        <v>37311174.649999999</v>
      </c>
      <c r="H20" s="29">
        <f t="shared" si="5"/>
        <v>22461713.950000003</v>
      </c>
      <c r="I20" s="37">
        <v>11370603621.42</v>
      </c>
      <c r="J20" s="30">
        <f t="shared" si="6"/>
        <v>0.40655336984790147</v>
      </c>
      <c r="K20" s="27">
        <v>11803018336.25</v>
      </c>
      <c r="L20" s="30">
        <f t="shared" si="7"/>
        <v>0.40286587053764328</v>
      </c>
      <c r="M20" s="30">
        <f t="shared" si="8"/>
        <v>3.8029178505124821E-2</v>
      </c>
      <c r="N20" s="51">
        <f t="shared" si="9"/>
        <v>3.161155357643402E-3</v>
      </c>
      <c r="O20" s="52">
        <f t="shared" si="10"/>
        <v>1.9030482974862881E-3</v>
      </c>
      <c r="P20" s="53">
        <f t="shared" si="11"/>
        <v>19787.195084793271</v>
      </c>
      <c r="Q20" s="53">
        <f t="shared" si="12"/>
        <v>37.655987918144881</v>
      </c>
      <c r="R20" s="27">
        <v>19643.22</v>
      </c>
      <c r="S20" s="27">
        <v>19885.87</v>
      </c>
      <c r="T20" s="27">
        <v>17388</v>
      </c>
      <c r="U20" s="27">
        <v>598274.43000000005</v>
      </c>
      <c r="V20" s="27">
        <v>596497.80000000005</v>
      </c>
    </row>
    <row r="21" spans="1:22" ht="14.25">
      <c r="A21" s="61">
        <v>17</v>
      </c>
      <c r="B21" s="48" t="s">
        <v>47</v>
      </c>
      <c r="C21" s="48" t="s">
        <v>178</v>
      </c>
      <c r="D21" s="27">
        <v>2619944998</v>
      </c>
      <c r="E21" s="27">
        <v>15392431</v>
      </c>
      <c r="F21" s="27"/>
      <c r="G21" s="29">
        <v>5698224</v>
      </c>
      <c r="H21" s="29">
        <f t="shared" si="5"/>
        <v>9694207</v>
      </c>
      <c r="I21" s="39">
        <v>3355617742</v>
      </c>
      <c r="J21" s="30">
        <f t="shared" si="6"/>
        <v>0.11997935609694002</v>
      </c>
      <c r="K21" s="29">
        <v>3418297439</v>
      </c>
      <c r="L21" s="30">
        <f t="shared" si="7"/>
        <v>0.1166748482707909</v>
      </c>
      <c r="M21" s="30">
        <f t="shared" si="8"/>
        <v>1.8679033733634373E-2</v>
      </c>
      <c r="N21" s="51">
        <f t="shared" si="9"/>
        <v>1.6669772311174236E-3</v>
      </c>
      <c r="O21" s="52">
        <f t="shared" si="10"/>
        <v>2.8359752692662036E-3</v>
      </c>
      <c r="P21" s="53">
        <f t="shared" si="11"/>
        <v>1.6587204778450075</v>
      </c>
      <c r="Q21" s="53">
        <f t="shared" si="12"/>
        <v>4.7040902537938611E-3</v>
      </c>
      <c r="R21" s="27">
        <v>1.66</v>
      </c>
      <c r="S21" s="27">
        <v>1.62</v>
      </c>
      <c r="T21" s="27">
        <v>2886</v>
      </c>
      <c r="U21" s="86">
        <v>2083958742</v>
      </c>
      <c r="V21" s="86">
        <v>2060803785</v>
      </c>
    </row>
    <row r="22" spans="1:22" ht="13.5">
      <c r="A22" s="94" t="s">
        <v>49</v>
      </c>
      <c r="B22" s="94"/>
      <c r="C22" s="94"/>
      <c r="D22" s="94"/>
      <c r="E22" s="94"/>
      <c r="F22" s="94"/>
      <c r="G22" s="94"/>
      <c r="H22" s="94"/>
      <c r="I22" s="35">
        <f>SUM(I5:I21)</f>
        <v>27968292639.349998</v>
      </c>
      <c r="J22" s="104">
        <f>(I22/$I$185)</f>
        <v>9.7582239639039895E-3</v>
      </c>
      <c r="K22" s="35">
        <f>SUM(K5:K21)</f>
        <v>29297637748.509998</v>
      </c>
      <c r="L22" s="104">
        <f>(K22/$K$185)</f>
        <v>1.1057242576226502E-2</v>
      </c>
      <c r="M22" s="57">
        <f t="shared" si="8"/>
        <v>4.7530434778477584E-2</v>
      </c>
      <c r="N22" s="51"/>
      <c r="O22" s="51"/>
      <c r="P22" s="66"/>
      <c r="Q22" s="66"/>
      <c r="R22" s="58"/>
      <c r="S22" s="58"/>
      <c r="T22" s="58">
        <f>SUM(T5:T21)</f>
        <v>49218</v>
      </c>
      <c r="U22" s="58"/>
      <c r="V22" s="58"/>
    </row>
    <row r="23" spans="1:22" ht="6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</row>
    <row r="24" spans="1:22">
      <c r="A24" s="96" t="s">
        <v>50</v>
      </c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ht="12.95" customHeight="1">
      <c r="A25" s="61">
        <v>18</v>
      </c>
      <c r="B25" s="48" t="s">
        <v>51</v>
      </c>
      <c r="C25" s="48" t="s">
        <v>20</v>
      </c>
      <c r="D25" s="27">
        <v>897032428.69000006</v>
      </c>
      <c r="E25" s="27">
        <v>11280431.17</v>
      </c>
      <c r="F25" s="27"/>
      <c r="G25" s="27">
        <v>1854102.63</v>
      </c>
      <c r="H25" s="29">
        <f t="shared" ref="H25:H54" si="13">(E25+F25)-G25</f>
        <v>9426328.5399999991</v>
      </c>
      <c r="I25" s="40">
        <v>880158418.87</v>
      </c>
      <c r="J25" s="30">
        <f t="shared" ref="J25:J55" si="14">(I25/$I$56)</f>
        <v>9.1766789521600608E-4</v>
      </c>
      <c r="K25" s="40">
        <v>876354395.42999995</v>
      </c>
      <c r="L25" s="30">
        <f t="shared" ref="L25:L55" si="15">(K25/$K$56)</f>
        <v>9.5697385221760515E-4</v>
      </c>
      <c r="M25" s="30">
        <f t="shared" ref="M25:M56" si="16">((K25-I25)/I25)</f>
        <v>-4.3219758607591233E-3</v>
      </c>
      <c r="N25" s="51">
        <f t="shared" ref="N25" si="17">(G25/K25)</f>
        <v>2.1156995841736482E-3</v>
      </c>
      <c r="O25" s="52">
        <f t="shared" ref="O25" si="18">H25/K25</f>
        <v>1.0756297439889933E-2</v>
      </c>
      <c r="P25" s="64">
        <f t="shared" ref="P25" si="19">K25/V25</f>
        <v>101.24212850933309</v>
      </c>
      <c r="Q25" s="64">
        <f t="shared" ref="Q25" si="20">H25/V25</f>
        <v>1.0889904476939472</v>
      </c>
      <c r="R25" s="27">
        <v>100</v>
      </c>
      <c r="S25" s="27">
        <v>100</v>
      </c>
      <c r="T25" s="27">
        <v>773</v>
      </c>
      <c r="U25" s="29">
        <v>8684025</v>
      </c>
      <c r="V25" s="27">
        <v>8656025</v>
      </c>
    </row>
    <row r="26" spans="1:22" ht="15" customHeight="1">
      <c r="A26" s="61">
        <v>19</v>
      </c>
      <c r="B26" s="48" t="s">
        <v>52</v>
      </c>
      <c r="C26" s="48" t="s">
        <v>53</v>
      </c>
      <c r="D26" s="27">
        <v>5298233933.4300003</v>
      </c>
      <c r="E26" s="27">
        <v>72759424.040000007</v>
      </c>
      <c r="F26" s="27"/>
      <c r="G26" s="27">
        <v>8892447.5</v>
      </c>
      <c r="H26" s="29">
        <f t="shared" si="13"/>
        <v>63866976.540000007</v>
      </c>
      <c r="I26" s="27">
        <v>5167311079.2299995</v>
      </c>
      <c r="J26" s="30">
        <f t="shared" si="14"/>
        <v>5.3875249958879514E-3</v>
      </c>
      <c r="K26" s="27">
        <v>5279510013.1300001</v>
      </c>
      <c r="L26" s="30">
        <f t="shared" si="15"/>
        <v>5.7651939231815027E-3</v>
      </c>
      <c r="M26" s="30">
        <f t="shared" si="16"/>
        <v>2.1713214509376848E-2</v>
      </c>
      <c r="N26" s="51">
        <f t="shared" ref="N26:N55" si="21">(G26/K26)</f>
        <v>1.6843319698011219E-3</v>
      </c>
      <c r="O26" s="52">
        <f t="shared" ref="O26:O55" si="22">H26/K26</f>
        <v>1.2097140905342455E-2</v>
      </c>
      <c r="P26" s="64">
        <f t="shared" ref="P26:P55" si="23">K26/V26</f>
        <v>103.47825224335305</v>
      </c>
      <c r="Q26" s="64">
        <f t="shared" ref="Q26:Q55" si="24">H26/V26</f>
        <v>1.2517909980264108</v>
      </c>
      <c r="R26" s="27">
        <v>100</v>
      </c>
      <c r="S26" s="27">
        <v>100</v>
      </c>
      <c r="T26" s="27">
        <v>1368</v>
      </c>
      <c r="U26" s="27">
        <v>50523893.990000002</v>
      </c>
      <c r="V26" s="27">
        <v>51020479.170000002</v>
      </c>
    </row>
    <row r="27" spans="1:22" ht="14.25">
      <c r="A27" s="61">
        <v>20</v>
      </c>
      <c r="B27" s="48" t="s">
        <v>54</v>
      </c>
      <c r="C27" s="48" t="s">
        <v>22</v>
      </c>
      <c r="D27" s="27">
        <v>326260911.37</v>
      </c>
      <c r="E27" s="27">
        <v>18360655.739999998</v>
      </c>
      <c r="F27" s="27"/>
      <c r="G27" s="27">
        <v>490284.56</v>
      </c>
      <c r="H27" s="29">
        <f t="shared" si="13"/>
        <v>17870371.18</v>
      </c>
      <c r="I27" s="27">
        <v>312117248.98000002</v>
      </c>
      <c r="J27" s="30">
        <f t="shared" si="14"/>
        <v>3.2541866644848983E-4</v>
      </c>
      <c r="K27" s="27">
        <v>334570770.63</v>
      </c>
      <c r="L27" s="30">
        <f t="shared" si="15"/>
        <v>3.6534931630268565E-4</v>
      </c>
      <c r="M27" s="30">
        <f t="shared" si="16"/>
        <v>7.1939380868497799E-2</v>
      </c>
      <c r="N27" s="51">
        <f t="shared" si="21"/>
        <v>1.4654136076405881E-3</v>
      </c>
      <c r="O27" s="52">
        <f t="shared" si="22"/>
        <v>5.3412828461822645E-2</v>
      </c>
      <c r="P27" s="64">
        <f t="shared" si="23"/>
        <v>84.321861828771915</v>
      </c>
      <c r="Q27" s="64">
        <f t="shared" si="24"/>
        <v>4.5038691414417054</v>
      </c>
      <c r="R27" s="27">
        <v>100</v>
      </c>
      <c r="S27" s="27">
        <v>100</v>
      </c>
      <c r="T27" s="27">
        <v>955</v>
      </c>
      <c r="U27" s="27">
        <v>3790088.74</v>
      </c>
      <c r="V27" s="27">
        <v>3967782.06</v>
      </c>
    </row>
    <row r="28" spans="1:22" ht="14.25">
      <c r="A28" s="61">
        <v>21</v>
      </c>
      <c r="B28" s="48" t="s">
        <v>55</v>
      </c>
      <c r="C28" s="27" t="s">
        <v>56</v>
      </c>
      <c r="D28" s="27">
        <v>31136399132.509998</v>
      </c>
      <c r="E28" s="27">
        <v>1048329767.4299999</v>
      </c>
      <c r="F28" s="27"/>
      <c r="G28" s="27">
        <v>97461669.120000005</v>
      </c>
      <c r="H28" s="29">
        <f t="shared" si="13"/>
        <v>950868098.30999994</v>
      </c>
      <c r="I28" s="37">
        <v>84735228810</v>
      </c>
      <c r="J28" s="30">
        <f t="shared" si="14"/>
        <v>8.8346367432979592E-2</v>
      </c>
      <c r="K28" s="27">
        <v>84102313240</v>
      </c>
      <c r="L28" s="30">
        <f t="shared" si="15"/>
        <v>9.1839232052009778E-2</v>
      </c>
      <c r="M28" s="30">
        <f t="shared" si="16"/>
        <v>-7.4693321643017349E-3</v>
      </c>
      <c r="N28" s="51">
        <f t="shared" si="21"/>
        <v>1.1588464736026565E-3</v>
      </c>
      <c r="O28" s="52">
        <f t="shared" si="22"/>
        <v>1.1306087331944593E-2</v>
      </c>
      <c r="P28" s="64">
        <f t="shared" si="23"/>
        <v>1</v>
      </c>
      <c r="Q28" s="64">
        <f t="shared" si="24"/>
        <v>1.1306087331944593E-2</v>
      </c>
      <c r="R28" s="27">
        <v>1</v>
      </c>
      <c r="S28" s="27">
        <v>1</v>
      </c>
      <c r="T28" s="27">
        <v>56956</v>
      </c>
      <c r="U28" s="27">
        <v>84735228810</v>
      </c>
      <c r="V28" s="27">
        <v>84102313240</v>
      </c>
    </row>
    <row r="29" spans="1:22" ht="15" customHeight="1">
      <c r="A29" s="61">
        <v>22</v>
      </c>
      <c r="B29" s="48" t="s">
        <v>57</v>
      </c>
      <c r="C29" s="48" t="s">
        <v>26</v>
      </c>
      <c r="D29" s="27">
        <v>18645310432.220001</v>
      </c>
      <c r="E29" s="27">
        <v>620233853.88</v>
      </c>
      <c r="F29" s="27"/>
      <c r="G29" s="27">
        <v>78064486.719999999</v>
      </c>
      <c r="H29" s="29">
        <f t="shared" si="13"/>
        <v>542169367.15999997</v>
      </c>
      <c r="I29" s="37">
        <v>48315372574.879997</v>
      </c>
      <c r="J29" s="30">
        <f t="shared" si="14"/>
        <v>5.0374415908320647E-2</v>
      </c>
      <c r="K29" s="27">
        <v>48926017884.989998</v>
      </c>
      <c r="L29" s="30">
        <f t="shared" si="15"/>
        <v>5.3426924145331352E-2</v>
      </c>
      <c r="M29" s="30">
        <f t="shared" si="16"/>
        <v>1.2638737477675702E-2</v>
      </c>
      <c r="N29" s="51">
        <f t="shared" si="21"/>
        <v>1.5955618318152433E-3</v>
      </c>
      <c r="O29" s="52">
        <f t="shared" si="22"/>
        <v>1.1081412111536917E-2</v>
      </c>
      <c r="P29" s="64">
        <f t="shared" si="23"/>
        <v>1.0293109363813855</v>
      </c>
      <c r="Q29" s="64">
        <f t="shared" si="24"/>
        <v>1.1406218676954089E-2</v>
      </c>
      <c r="R29" s="27">
        <v>1</v>
      </c>
      <c r="S29" s="27">
        <v>1</v>
      </c>
      <c r="T29" s="27">
        <v>27245</v>
      </c>
      <c r="U29" s="27">
        <v>47434483556.010002</v>
      </c>
      <c r="V29" s="27">
        <v>47532787378.120003</v>
      </c>
    </row>
    <row r="30" spans="1:22" ht="14.25">
      <c r="A30" s="61">
        <v>23</v>
      </c>
      <c r="B30" s="27" t="s">
        <v>250</v>
      </c>
      <c r="C30" s="27" t="s">
        <v>42</v>
      </c>
      <c r="D30" s="27">
        <v>8553059789.7299995</v>
      </c>
      <c r="E30" s="27">
        <v>109420809.84999999</v>
      </c>
      <c r="F30" s="27"/>
      <c r="G30" s="27">
        <v>14020580.18</v>
      </c>
      <c r="H30" s="29">
        <f t="shared" si="13"/>
        <v>95400229.669999987</v>
      </c>
      <c r="I30" s="27">
        <v>8519476534.2299995</v>
      </c>
      <c r="J30" s="30">
        <f t="shared" si="14"/>
        <v>8.8825487910986281E-3</v>
      </c>
      <c r="K30" s="27">
        <v>8286260450.5500002</v>
      </c>
      <c r="L30" s="30">
        <f t="shared" si="15"/>
        <v>9.0485477395823959E-3</v>
      </c>
      <c r="M30" s="30">
        <f t="shared" si="16"/>
        <v>-2.7374461651836417E-2</v>
      </c>
      <c r="N30" s="51">
        <f t="shared" si="21"/>
        <v>1.6920274548055492E-3</v>
      </c>
      <c r="O30" s="52">
        <f t="shared" si="22"/>
        <v>1.1513061922120467E-2</v>
      </c>
      <c r="P30" s="64">
        <f t="shared" si="23"/>
        <v>99.999612161293385</v>
      </c>
      <c r="Q30" s="64">
        <f t="shared" si="24"/>
        <v>1.1513017270010015</v>
      </c>
      <c r="R30" s="27">
        <v>100</v>
      </c>
      <c r="S30" s="27">
        <v>100</v>
      </c>
      <c r="T30" s="27">
        <v>1910</v>
      </c>
      <c r="U30" s="27">
        <v>85193611.969999999</v>
      </c>
      <c r="V30" s="27">
        <v>82862925.879999995</v>
      </c>
    </row>
    <row r="31" spans="1:22" ht="14.25">
      <c r="A31" s="61">
        <v>24</v>
      </c>
      <c r="B31" s="48" t="s">
        <v>254</v>
      </c>
      <c r="C31" s="48" t="s">
        <v>227</v>
      </c>
      <c r="D31" s="27">
        <v>170532517.66</v>
      </c>
      <c r="E31" s="27">
        <v>2948110.5</v>
      </c>
      <c r="F31" s="27"/>
      <c r="G31" s="27">
        <v>177261.58</v>
      </c>
      <c r="H31" s="29">
        <f t="shared" si="13"/>
        <v>2770848.92</v>
      </c>
      <c r="I31" s="27">
        <v>137928276.12</v>
      </c>
      <c r="J31" s="30">
        <f t="shared" si="14"/>
        <v>1.4380632863833043E-4</v>
      </c>
      <c r="K31" s="27">
        <v>170355256.08000001</v>
      </c>
      <c r="L31" s="30">
        <f t="shared" si="15"/>
        <v>1.8602693899470049E-4</v>
      </c>
      <c r="M31" s="30">
        <f t="shared" si="16"/>
        <v>0.23510030627648801</v>
      </c>
      <c r="N31" s="51">
        <f t="shared" si="21"/>
        <v>1.040540715202569E-3</v>
      </c>
      <c r="O31" s="52">
        <f t="shared" si="22"/>
        <v>1.6265121392549167E-2</v>
      </c>
      <c r="P31" s="64">
        <f t="shared" si="23"/>
        <v>1.035081564151531</v>
      </c>
      <c r="Q31" s="64">
        <f t="shared" si="24"/>
        <v>1.6835727292114321E-2</v>
      </c>
      <c r="R31" s="27">
        <v>1</v>
      </c>
      <c r="S31" s="27">
        <v>1</v>
      </c>
      <c r="T31" s="27">
        <v>42</v>
      </c>
      <c r="U31" s="27">
        <f>V31-89500</f>
        <v>164491980.31999999</v>
      </c>
      <c r="V31" s="27">
        <v>164581480.31999999</v>
      </c>
    </row>
    <row r="32" spans="1:22" ht="14.25">
      <c r="A32" s="61">
        <v>25</v>
      </c>
      <c r="B32" s="48" t="s">
        <v>248</v>
      </c>
      <c r="C32" s="48" t="s">
        <v>58</v>
      </c>
      <c r="D32" s="27">
        <v>15113023885.92</v>
      </c>
      <c r="E32" s="27">
        <v>215263374.66999999</v>
      </c>
      <c r="F32" s="27"/>
      <c r="G32" s="27">
        <v>25015163.68</v>
      </c>
      <c r="H32" s="29">
        <f t="shared" si="13"/>
        <v>190248210.98999998</v>
      </c>
      <c r="I32" s="27">
        <v>15059029741.52</v>
      </c>
      <c r="J32" s="30">
        <f t="shared" si="14"/>
        <v>1.5700796391447117E-2</v>
      </c>
      <c r="K32" s="27">
        <v>14515095077.73</v>
      </c>
      <c r="L32" s="30">
        <f t="shared" si="15"/>
        <v>1.585039856509695E-2</v>
      </c>
      <c r="M32" s="30">
        <f t="shared" si="16"/>
        <v>-3.6120166645948748E-2</v>
      </c>
      <c r="N32" s="51">
        <f t="shared" si="21"/>
        <v>1.7233895848453578E-3</v>
      </c>
      <c r="O32" s="52">
        <f t="shared" si="22"/>
        <v>1.3106921447720389E-2</v>
      </c>
      <c r="P32" s="64">
        <f t="shared" si="23"/>
        <v>99.99999999813987</v>
      </c>
      <c r="Q32" s="64">
        <f t="shared" si="24"/>
        <v>1.3106921447476583</v>
      </c>
      <c r="R32" s="27">
        <v>100</v>
      </c>
      <c r="S32" s="27">
        <v>100</v>
      </c>
      <c r="T32" s="27">
        <v>2094</v>
      </c>
      <c r="U32" s="27">
        <v>150590297.41999999</v>
      </c>
      <c r="V32" s="27">
        <v>145150950.78</v>
      </c>
    </row>
    <row r="33" spans="1:22" ht="14.25">
      <c r="A33" s="61">
        <v>26</v>
      </c>
      <c r="B33" s="48" t="s">
        <v>59</v>
      </c>
      <c r="C33" s="48" t="s">
        <v>60</v>
      </c>
      <c r="D33" s="27">
        <v>2326215565.9699998</v>
      </c>
      <c r="E33" s="27">
        <v>75188765.659999996</v>
      </c>
      <c r="F33" s="27"/>
      <c r="G33" s="27">
        <v>6916898.3600000003</v>
      </c>
      <c r="H33" s="29">
        <f t="shared" si="13"/>
        <v>68271867.299999997</v>
      </c>
      <c r="I33" s="37">
        <v>5621670100</v>
      </c>
      <c r="J33" s="30">
        <f t="shared" si="14"/>
        <v>5.8612473137380928E-3</v>
      </c>
      <c r="K33" s="27">
        <v>5614226367.3000002</v>
      </c>
      <c r="L33" s="30">
        <f t="shared" si="15"/>
        <v>6.13070221585473E-3</v>
      </c>
      <c r="M33" s="30">
        <f t="shared" si="16"/>
        <v>-1.3241141097909337E-3</v>
      </c>
      <c r="N33" s="51">
        <f t="shared" si="21"/>
        <v>1.2320305430303627E-3</v>
      </c>
      <c r="O33" s="52">
        <f t="shared" si="22"/>
        <v>1.2160512033794851E-2</v>
      </c>
      <c r="P33" s="64">
        <f t="shared" si="23"/>
        <v>99.999999417551095</v>
      </c>
      <c r="Q33" s="64">
        <f t="shared" si="24"/>
        <v>1.2160511962966081</v>
      </c>
      <c r="R33" s="27">
        <v>100</v>
      </c>
      <c r="S33" s="27">
        <v>100</v>
      </c>
      <c r="T33" s="27">
        <v>5866</v>
      </c>
      <c r="U33" s="27">
        <v>56216701</v>
      </c>
      <c r="V33" s="27">
        <v>56142264</v>
      </c>
    </row>
    <row r="34" spans="1:22" ht="14.25">
      <c r="A34" s="61">
        <v>27</v>
      </c>
      <c r="B34" s="48" t="s">
        <v>61</v>
      </c>
      <c r="C34" s="27" t="s">
        <v>62</v>
      </c>
      <c r="D34" s="27">
        <v>39263942.280000001</v>
      </c>
      <c r="E34" s="27">
        <v>275433.01</v>
      </c>
      <c r="F34" s="27"/>
      <c r="G34" s="27">
        <v>41437.480000000003</v>
      </c>
      <c r="H34" s="29">
        <f t="shared" si="13"/>
        <v>233995.53</v>
      </c>
      <c r="I34" s="27">
        <v>39203248.560000002</v>
      </c>
      <c r="J34" s="30">
        <f t="shared" si="14"/>
        <v>4.0873962937118416E-5</v>
      </c>
      <c r="K34" s="27">
        <v>39203248.560000002</v>
      </c>
      <c r="L34" s="30">
        <f t="shared" si="15"/>
        <v>4.2809717152727133E-5</v>
      </c>
      <c r="M34" s="30">
        <f t="shared" si="16"/>
        <v>0</v>
      </c>
      <c r="N34" s="51">
        <f t="shared" si="21"/>
        <v>1.056990977076314E-3</v>
      </c>
      <c r="O34" s="52">
        <f t="shared" si="22"/>
        <v>5.9687790832403404E-3</v>
      </c>
      <c r="P34" s="64">
        <f t="shared" si="23"/>
        <v>101.87107246798604</v>
      </c>
      <c r="Q34" s="64">
        <f t="shared" si="24"/>
        <v>0.608045926534176</v>
      </c>
      <c r="R34" s="27">
        <v>10</v>
      </c>
      <c r="S34" s="27">
        <v>10</v>
      </c>
      <c r="T34" s="27">
        <v>86</v>
      </c>
      <c r="U34" s="27">
        <v>384832</v>
      </c>
      <c r="V34" s="27">
        <v>384832</v>
      </c>
    </row>
    <row r="35" spans="1:22" ht="14.25">
      <c r="A35" s="61">
        <v>28</v>
      </c>
      <c r="B35" s="48" t="s">
        <v>63</v>
      </c>
      <c r="C35" s="48" t="s">
        <v>64</v>
      </c>
      <c r="D35" s="27">
        <v>5241856796.9287996</v>
      </c>
      <c r="E35" s="50">
        <v>63232071.200000003</v>
      </c>
      <c r="F35" s="50"/>
      <c r="G35" s="27">
        <v>6735833.6100000003</v>
      </c>
      <c r="H35" s="29">
        <f t="shared" si="13"/>
        <v>56496237.590000004</v>
      </c>
      <c r="I35" s="50">
        <v>5405766641.1400003</v>
      </c>
      <c r="J35" s="30">
        <f t="shared" si="14"/>
        <v>5.6361427548153025E-3</v>
      </c>
      <c r="K35" s="50">
        <v>5222236195.1899996</v>
      </c>
      <c r="L35" s="30">
        <f t="shared" si="15"/>
        <v>5.7026512504099935E-3</v>
      </c>
      <c r="M35" s="30">
        <f t="shared" si="16"/>
        <v>-3.3950863611696115E-2</v>
      </c>
      <c r="N35" s="51">
        <f t="shared" si="21"/>
        <v>1.2898370273263619E-3</v>
      </c>
      <c r="O35" s="52">
        <f t="shared" si="22"/>
        <v>1.0818399528163148E-2</v>
      </c>
      <c r="P35" s="64">
        <f t="shared" si="23"/>
        <v>1.0297150610746029</v>
      </c>
      <c r="Q35" s="64">
        <f t="shared" si="24"/>
        <v>1.113986893087197E-2</v>
      </c>
      <c r="R35" s="27">
        <v>1</v>
      </c>
      <c r="S35" s="27">
        <v>1</v>
      </c>
      <c r="T35" s="27">
        <v>2172</v>
      </c>
      <c r="U35" s="27">
        <v>5339419035.5</v>
      </c>
      <c r="V35" s="27">
        <v>5071535216.4899998</v>
      </c>
    </row>
    <row r="36" spans="1:22" ht="14.25">
      <c r="A36" s="61">
        <v>29</v>
      </c>
      <c r="B36" s="48" t="s">
        <v>65</v>
      </c>
      <c r="C36" s="48" t="s">
        <v>66</v>
      </c>
      <c r="D36" s="27">
        <v>6953169768.4799995</v>
      </c>
      <c r="E36" s="27">
        <v>155063657.44999999</v>
      </c>
      <c r="F36" s="27"/>
      <c r="G36" s="27">
        <v>19013120.449999999</v>
      </c>
      <c r="H36" s="29">
        <v>136050537</v>
      </c>
      <c r="I36" s="37">
        <v>13486481151.9</v>
      </c>
      <c r="J36" s="30">
        <f t="shared" si="14"/>
        <v>1.4061230918433526E-2</v>
      </c>
      <c r="K36" s="27">
        <v>12694610178.440001</v>
      </c>
      <c r="L36" s="30">
        <f t="shared" si="15"/>
        <v>1.3862439748364245E-2</v>
      </c>
      <c r="M36" s="30">
        <f t="shared" si="16"/>
        <v>-5.8715907028753671E-2</v>
      </c>
      <c r="N36" s="51">
        <f t="shared" si="21"/>
        <v>1.4977317288790083E-3</v>
      </c>
      <c r="O36" s="52">
        <f t="shared" si="22"/>
        <v>1.0717189034371657E-2</v>
      </c>
      <c r="P36" s="64">
        <f t="shared" si="23"/>
        <v>99.999999830164143</v>
      </c>
      <c r="Q36" s="64">
        <f t="shared" si="24"/>
        <v>1.0717189016170028</v>
      </c>
      <c r="R36" s="27">
        <v>100</v>
      </c>
      <c r="S36" s="27">
        <v>100</v>
      </c>
      <c r="T36" s="27">
        <v>5454</v>
      </c>
      <c r="U36" s="27">
        <v>134864811</v>
      </c>
      <c r="V36" s="27">
        <v>126946102</v>
      </c>
    </row>
    <row r="37" spans="1:22" ht="14.25">
      <c r="A37" s="61">
        <v>30</v>
      </c>
      <c r="B37" s="48" t="s">
        <v>67</v>
      </c>
      <c r="C37" s="48" t="s">
        <v>66</v>
      </c>
      <c r="D37" s="27">
        <v>608967093.71000004</v>
      </c>
      <c r="E37" s="27">
        <v>11894198.23</v>
      </c>
      <c r="F37" s="27"/>
      <c r="G37" s="27">
        <v>1066003.6599999999</v>
      </c>
      <c r="H37" s="29">
        <v>10828194.57</v>
      </c>
      <c r="I37" s="27">
        <v>1157002104.75</v>
      </c>
      <c r="J37" s="30">
        <f t="shared" si="14"/>
        <v>1.206309754543451E-3</v>
      </c>
      <c r="K37" s="27">
        <v>914553270.52999997</v>
      </c>
      <c r="L37" s="30">
        <f t="shared" si="15"/>
        <v>9.9868679945157171E-4</v>
      </c>
      <c r="M37" s="30">
        <f t="shared" si="16"/>
        <v>-0.20954917300896986</v>
      </c>
      <c r="N37" s="51">
        <f t="shared" si="21"/>
        <v>1.1656004022403547E-3</v>
      </c>
      <c r="O37" s="52">
        <f t="shared" si="22"/>
        <v>1.1839872994740774E-2</v>
      </c>
      <c r="P37" s="64">
        <f t="shared" si="23"/>
        <v>1000605.3288074398</v>
      </c>
      <c r="Q37" s="64">
        <f t="shared" si="24"/>
        <v>11847.04001094092</v>
      </c>
      <c r="R37" s="27">
        <v>1000000</v>
      </c>
      <c r="S37" s="27">
        <v>1000000</v>
      </c>
      <c r="T37" s="27">
        <v>16</v>
      </c>
      <c r="U37" s="27">
        <v>1157</v>
      </c>
      <c r="V37" s="27">
        <v>914</v>
      </c>
    </row>
    <row r="38" spans="1:22" ht="14.25">
      <c r="A38" s="61">
        <v>31</v>
      </c>
      <c r="B38" s="27" t="s">
        <v>68</v>
      </c>
      <c r="C38" s="27" t="s">
        <v>69</v>
      </c>
      <c r="D38" s="27">
        <v>3501827948.8299999</v>
      </c>
      <c r="E38" s="27">
        <v>47681466.979999997</v>
      </c>
      <c r="F38" s="27"/>
      <c r="G38" s="50">
        <v>5351241.4800000004</v>
      </c>
      <c r="H38" s="29">
        <f t="shared" si="13"/>
        <v>42330225.5</v>
      </c>
      <c r="I38" s="41">
        <v>3158793689</v>
      </c>
      <c r="J38" s="30">
        <f t="shared" si="14"/>
        <v>3.2934111562868285E-3</v>
      </c>
      <c r="K38" s="50">
        <v>3419726389.4200001</v>
      </c>
      <c r="L38" s="30">
        <f t="shared" si="15"/>
        <v>3.7343211302177607E-3</v>
      </c>
      <c r="M38" s="30">
        <f t="shared" si="16"/>
        <v>8.260517340168716E-2</v>
      </c>
      <c r="N38" s="51">
        <f t="shared" si="21"/>
        <v>1.5648156813234386E-3</v>
      </c>
      <c r="O38" s="52">
        <f t="shared" si="22"/>
        <v>1.2378249216358909E-2</v>
      </c>
      <c r="P38" s="64">
        <f t="shared" si="23"/>
        <v>1.0003125479392312</v>
      </c>
      <c r="Q38" s="64">
        <f t="shared" si="24"/>
        <v>1.2382118012642773E-2</v>
      </c>
      <c r="R38" s="27">
        <v>1</v>
      </c>
      <c r="S38" s="27">
        <v>1</v>
      </c>
      <c r="T38" s="27">
        <v>477</v>
      </c>
      <c r="U38" s="27">
        <v>3103511448.6799998</v>
      </c>
      <c r="V38" s="27">
        <v>3418657894.9400001</v>
      </c>
    </row>
    <row r="39" spans="1:22" ht="14.25">
      <c r="A39" s="61">
        <v>32</v>
      </c>
      <c r="B39" s="48" t="s">
        <v>70</v>
      </c>
      <c r="C39" s="48" t="s">
        <v>71</v>
      </c>
      <c r="D39" s="50">
        <v>208143190.31</v>
      </c>
      <c r="E39" s="50">
        <v>2046930.37</v>
      </c>
      <c r="F39" s="50"/>
      <c r="G39" s="50">
        <v>661162.11</v>
      </c>
      <c r="H39" s="29">
        <f t="shared" si="13"/>
        <v>1385768.2600000002</v>
      </c>
      <c r="I39" s="50">
        <v>297332405.60000002</v>
      </c>
      <c r="J39" s="30">
        <f t="shared" si="14"/>
        <v>3.1000374134552739E-4</v>
      </c>
      <c r="K39" s="50">
        <v>299882432.02999997</v>
      </c>
      <c r="L39" s="30">
        <f t="shared" si="15"/>
        <v>3.2746985430628348E-4</v>
      </c>
      <c r="M39" s="30">
        <f t="shared" si="16"/>
        <v>8.5763488337375748E-3</v>
      </c>
      <c r="N39" s="51">
        <f t="shared" si="21"/>
        <v>2.2047377217944463E-3</v>
      </c>
      <c r="O39" s="52">
        <f t="shared" si="22"/>
        <v>4.6210384870473816E-3</v>
      </c>
      <c r="P39" s="64">
        <f t="shared" si="23"/>
        <v>1.0649898727344582</v>
      </c>
      <c r="Q39" s="64">
        <f t="shared" si="24"/>
        <v>4.9213591902216233E-3</v>
      </c>
      <c r="R39" s="27">
        <v>1</v>
      </c>
      <c r="S39" s="27">
        <v>1</v>
      </c>
      <c r="T39" s="27">
        <v>465</v>
      </c>
      <c r="U39" s="27">
        <v>281803047</v>
      </c>
      <c r="V39" s="27">
        <v>281582426</v>
      </c>
    </row>
    <row r="40" spans="1:22" ht="14.25">
      <c r="A40" s="61">
        <v>33</v>
      </c>
      <c r="B40" s="48" t="s">
        <v>72</v>
      </c>
      <c r="C40" s="48" t="s">
        <v>73</v>
      </c>
      <c r="D40" s="27">
        <v>214805026856.04999</v>
      </c>
      <c r="E40" s="27">
        <v>8482776337.5699997</v>
      </c>
      <c r="F40" s="27"/>
      <c r="G40" s="27">
        <v>289943498.06999999</v>
      </c>
      <c r="H40" s="29">
        <f t="shared" si="13"/>
        <v>8192832839.5</v>
      </c>
      <c r="I40" s="37">
        <v>209576904180.39001</v>
      </c>
      <c r="J40" s="30">
        <f t="shared" si="14"/>
        <v>0.218508387151508</v>
      </c>
      <c r="K40" s="27">
        <v>207484389327.59</v>
      </c>
      <c r="L40" s="30">
        <f t="shared" si="15"/>
        <v>0.22657173440935996</v>
      </c>
      <c r="M40" s="30">
        <f t="shared" si="16"/>
        <v>-9.9844725781373274E-3</v>
      </c>
      <c r="N40" s="51">
        <f t="shared" si="21"/>
        <v>1.3974231941479612E-3</v>
      </c>
      <c r="O40" s="52">
        <f t="shared" si="22"/>
        <v>3.9486502411343424E-2</v>
      </c>
      <c r="P40" s="64">
        <f t="shared" si="23"/>
        <v>100.0463084966794</v>
      </c>
      <c r="Q40" s="64">
        <f t="shared" si="24"/>
        <v>3.9504788017001391</v>
      </c>
      <c r="R40" s="27">
        <v>100</v>
      </c>
      <c r="S40" s="27">
        <v>100</v>
      </c>
      <c r="T40" s="27">
        <v>26428</v>
      </c>
      <c r="U40" s="27">
        <v>2095003879.3199999</v>
      </c>
      <c r="V40" s="27">
        <v>2073883509</v>
      </c>
    </row>
    <row r="41" spans="1:22" ht="15" customHeight="1">
      <c r="A41" s="61">
        <v>34</v>
      </c>
      <c r="B41" s="48" t="s">
        <v>74</v>
      </c>
      <c r="C41" s="48" t="s">
        <v>245</v>
      </c>
      <c r="D41" s="27">
        <v>739388894.57000005</v>
      </c>
      <c r="E41" s="27">
        <v>7124279.6699999999</v>
      </c>
      <c r="F41" s="27"/>
      <c r="G41" s="27">
        <v>1724558.61</v>
      </c>
      <c r="H41" s="29">
        <f t="shared" si="13"/>
        <v>5399721.0599999996</v>
      </c>
      <c r="I41" s="27">
        <v>686252255.61000001</v>
      </c>
      <c r="J41" s="30">
        <f t="shared" si="14"/>
        <v>7.1549808476680616E-4</v>
      </c>
      <c r="K41" s="27">
        <v>711339621.91999996</v>
      </c>
      <c r="L41" s="30">
        <f t="shared" si="15"/>
        <v>7.7677868882004343E-4</v>
      </c>
      <c r="M41" s="30">
        <f t="shared" si="16"/>
        <v>3.6557062078725167E-2</v>
      </c>
      <c r="N41" s="51">
        <f t="shared" si="21"/>
        <v>2.4243814865045586E-3</v>
      </c>
      <c r="O41" s="52">
        <f t="shared" si="22"/>
        <v>7.5909184496505853E-3</v>
      </c>
      <c r="P41" s="64">
        <f t="shared" si="23"/>
        <v>9.5689519658103563</v>
      </c>
      <c r="Q41" s="64">
        <f t="shared" si="24"/>
        <v>7.2637134021090066E-2</v>
      </c>
      <c r="R41" s="27">
        <v>10</v>
      </c>
      <c r="S41" s="27">
        <v>10</v>
      </c>
      <c r="T41" s="27">
        <v>360</v>
      </c>
      <c r="U41" s="27">
        <v>69130500</v>
      </c>
      <c r="V41" s="27">
        <v>74338300</v>
      </c>
    </row>
    <row r="42" spans="1:22" ht="14.25">
      <c r="A42" s="61">
        <v>35</v>
      </c>
      <c r="B42" s="48" t="s">
        <v>76</v>
      </c>
      <c r="C42" s="48" t="s">
        <v>77</v>
      </c>
      <c r="D42" s="27">
        <v>1487241844.1600001</v>
      </c>
      <c r="E42" s="27">
        <v>34388598.469999999</v>
      </c>
      <c r="F42" s="27"/>
      <c r="G42" s="27">
        <v>6070643.8600000003</v>
      </c>
      <c r="H42" s="29">
        <f t="shared" si="13"/>
        <v>28317954.609999999</v>
      </c>
      <c r="I42" s="27">
        <v>3258842720.9400001</v>
      </c>
      <c r="J42" s="30">
        <f t="shared" si="14"/>
        <v>3.397723951109211E-3</v>
      </c>
      <c r="K42" s="27">
        <v>3328218325.1900001</v>
      </c>
      <c r="L42" s="30">
        <f t="shared" si="15"/>
        <v>3.6343948615850906E-3</v>
      </c>
      <c r="M42" s="30">
        <f t="shared" si="16"/>
        <v>2.1288417450839384E-2</v>
      </c>
      <c r="N42" s="51">
        <f t="shared" si="21"/>
        <v>1.8239920783001643E-3</v>
      </c>
      <c r="O42" s="52">
        <f t="shared" si="22"/>
        <v>8.508442608969588E-3</v>
      </c>
      <c r="P42" s="64">
        <f t="shared" si="23"/>
        <v>102.88753753190775</v>
      </c>
      <c r="Q42" s="64">
        <f t="shared" si="24"/>
        <v>0.87541270826844175</v>
      </c>
      <c r="R42" s="27">
        <v>100</v>
      </c>
      <c r="S42" s="27">
        <v>100</v>
      </c>
      <c r="T42" s="27">
        <v>1531</v>
      </c>
      <c r="U42" s="27">
        <v>32687976.170000002</v>
      </c>
      <c r="V42" s="27">
        <v>32348119.170000002</v>
      </c>
    </row>
    <row r="43" spans="1:22" ht="14.25">
      <c r="A43" s="61">
        <v>36</v>
      </c>
      <c r="B43" s="27" t="s">
        <v>78</v>
      </c>
      <c r="C43" s="27" t="s">
        <v>34</v>
      </c>
      <c r="D43" s="27">
        <v>21957523111.939999</v>
      </c>
      <c r="E43" s="27">
        <v>266245793.44</v>
      </c>
      <c r="F43" s="27"/>
      <c r="G43" s="27">
        <v>25392681.390000001</v>
      </c>
      <c r="H43" s="29">
        <f t="shared" si="13"/>
        <v>240853112.05000001</v>
      </c>
      <c r="I43" s="37">
        <v>20493319982.950001</v>
      </c>
      <c r="J43" s="30">
        <f t="shared" si="14"/>
        <v>2.1366678329210544E-2</v>
      </c>
      <c r="K43" s="27">
        <v>21025810336.279999</v>
      </c>
      <c r="L43" s="30">
        <f t="shared" si="15"/>
        <v>2.2960061384337309E-2</v>
      </c>
      <c r="M43" s="30">
        <f t="shared" si="16"/>
        <v>2.5983606061537053E-2</v>
      </c>
      <c r="N43" s="51">
        <f t="shared" si="21"/>
        <v>1.2076909752289059E-3</v>
      </c>
      <c r="O43" s="52">
        <f t="shared" si="22"/>
        <v>1.1455116744509409E-2</v>
      </c>
      <c r="P43" s="64">
        <f t="shared" si="23"/>
        <v>100.00000000133168</v>
      </c>
      <c r="Q43" s="64">
        <f t="shared" si="24"/>
        <v>1.1455116744661955</v>
      </c>
      <c r="R43" s="27">
        <v>100</v>
      </c>
      <c r="S43" s="27">
        <v>100</v>
      </c>
      <c r="T43" s="27">
        <v>11738</v>
      </c>
      <c r="U43" s="27">
        <v>204933199.83000001</v>
      </c>
      <c r="V43" s="27">
        <v>210258103.36000001</v>
      </c>
    </row>
    <row r="44" spans="1:22" ht="14.25">
      <c r="A44" s="61">
        <v>37</v>
      </c>
      <c r="B44" s="48" t="s">
        <v>79</v>
      </c>
      <c r="C44" s="48" t="s">
        <v>36</v>
      </c>
      <c r="D44" s="27">
        <v>3408817807.6999998</v>
      </c>
      <c r="E44" s="27">
        <v>49938903.789999999</v>
      </c>
      <c r="F44" s="27"/>
      <c r="G44" s="27">
        <v>4020716.6</v>
      </c>
      <c r="H44" s="29">
        <f t="shared" si="13"/>
        <v>45918187.189999998</v>
      </c>
      <c r="I44" s="27">
        <v>3411967548.3200002</v>
      </c>
      <c r="J44" s="30">
        <f t="shared" si="14"/>
        <v>3.557374458375305E-3</v>
      </c>
      <c r="K44" s="27">
        <v>3389405701.8899999</v>
      </c>
      <c r="L44" s="30">
        <f t="shared" si="15"/>
        <v>3.7012111175347829E-3</v>
      </c>
      <c r="M44" s="30">
        <f t="shared" si="16"/>
        <v>-6.6125618460554847E-3</v>
      </c>
      <c r="N44" s="51">
        <f t="shared" si="21"/>
        <v>1.1862600566695126E-3</v>
      </c>
      <c r="O44" s="52">
        <f t="shared" si="22"/>
        <v>1.3547562973767083E-2</v>
      </c>
      <c r="P44" s="64">
        <f t="shared" si="23"/>
        <v>0.98847924908023932</v>
      </c>
      <c r="Q44" s="64">
        <f t="shared" si="24"/>
        <v>1.3391484875176541E-2</v>
      </c>
      <c r="R44" s="27">
        <v>1</v>
      </c>
      <c r="S44" s="27">
        <v>1</v>
      </c>
      <c r="T44" s="27">
        <v>867</v>
      </c>
      <c r="U44" s="27">
        <v>3451896361</v>
      </c>
      <c r="V44" s="27">
        <v>3428909312</v>
      </c>
    </row>
    <row r="45" spans="1:22" ht="14.25">
      <c r="A45" s="61">
        <v>38</v>
      </c>
      <c r="B45" s="48" t="s">
        <v>80</v>
      </c>
      <c r="C45" s="48" t="s">
        <v>38</v>
      </c>
      <c r="D45" s="27">
        <v>4264228506.71</v>
      </c>
      <c r="E45" s="27">
        <v>57367216.32</v>
      </c>
      <c r="F45" s="27"/>
      <c r="G45" s="27">
        <v>6035647.3300000001</v>
      </c>
      <c r="H45" s="29">
        <f t="shared" si="13"/>
        <v>51331568.990000002</v>
      </c>
      <c r="I45" s="37">
        <v>3818776449.3099999</v>
      </c>
      <c r="J45" s="30">
        <f t="shared" si="14"/>
        <v>3.981520225686052E-3</v>
      </c>
      <c r="K45" s="27">
        <v>4249060817.6300001</v>
      </c>
      <c r="L45" s="30">
        <f t="shared" si="15"/>
        <v>4.6399494544203095E-3</v>
      </c>
      <c r="M45" s="30">
        <f t="shared" si="16"/>
        <v>0.11267597724861496</v>
      </c>
      <c r="N45" s="51">
        <f t="shared" si="21"/>
        <v>1.4204662133705361E-3</v>
      </c>
      <c r="O45" s="52">
        <f t="shared" si="22"/>
        <v>1.2080685872279708E-2</v>
      </c>
      <c r="P45" s="64">
        <f t="shared" si="23"/>
        <v>9.9992598588134225</v>
      </c>
      <c r="Q45" s="64">
        <f t="shared" si="24"/>
        <v>0.12079791730962089</v>
      </c>
      <c r="R45" s="27">
        <v>10</v>
      </c>
      <c r="S45" s="27">
        <v>10</v>
      </c>
      <c r="T45" s="27">
        <v>1965</v>
      </c>
      <c r="U45" s="27">
        <v>376076366.39999998</v>
      </c>
      <c r="V45" s="27">
        <v>424937533.13999999</v>
      </c>
    </row>
    <row r="46" spans="1:22" ht="14.1" customHeight="1">
      <c r="A46" s="61">
        <v>39</v>
      </c>
      <c r="B46" s="48" t="s">
        <v>81</v>
      </c>
      <c r="C46" s="48" t="s">
        <v>82</v>
      </c>
      <c r="D46" s="27">
        <v>2558532940</v>
      </c>
      <c r="E46" s="27">
        <v>54023943</v>
      </c>
      <c r="F46" s="27"/>
      <c r="G46" s="27">
        <v>8369630</v>
      </c>
      <c r="H46" s="29">
        <f t="shared" si="13"/>
        <v>45654313</v>
      </c>
      <c r="I46" s="46">
        <v>4197880331</v>
      </c>
      <c r="J46" s="30">
        <f t="shared" si="14"/>
        <v>4.3767802762861747E-3</v>
      </c>
      <c r="K46" s="46">
        <v>4123027004</v>
      </c>
      <c r="L46" s="30">
        <f t="shared" si="15"/>
        <v>4.5023212702426096E-3</v>
      </c>
      <c r="M46" s="30">
        <f t="shared" si="16"/>
        <v>-1.7831219829501137E-2</v>
      </c>
      <c r="N46" s="51">
        <f t="shared" si="21"/>
        <v>2.0299721519844794E-3</v>
      </c>
      <c r="O46" s="52">
        <f t="shared" si="22"/>
        <v>1.1073008485199822E-2</v>
      </c>
      <c r="P46" s="64">
        <f t="shared" si="23"/>
        <v>100.0000000970161</v>
      </c>
      <c r="Q46" s="64">
        <f t="shared" si="24"/>
        <v>1.1073008495942422</v>
      </c>
      <c r="R46" s="27">
        <v>100</v>
      </c>
      <c r="S46" s="27">
        <v>100</v>
      </c>
      <c r="T46" s="27">
        <v>2123</v>
      </c>
      <c r="U46" s="27">
        <v>43371643</v>
      </c>
      <c r="V46" s="27">
        <v>41230270</v>
      </c>
    </row>
    <row r="47" spans="1:22" ht="14.25">
      <c r="A47" s="61">
        <v>40</v>
      </c>
      <c r="B47" s="48" t="s">
        <v>83</v>
      </c>
      <c r="C47" s="27" t="s">
        <v>84</v>
      </c>
      <c r="D47" s="27">
        <v>160722222.53</v>
      </c>
      <c r="E47" s="27">
        <v>89997.6</v>
      </c>
      <c r="F47" s="27"/>
      <c r="G47" s="27">
        <v>19581.7</v>
      </c>
      <c r="H47" s="29">
        <f t="shared" si="13"/>
        <v>70415.900000000009</v>
      </c>
      <c r="I47" s="37">
        <v>158181175.78</v>
      </c>
      <c r="J47" s="30">
        <f t="shared" si="14"/>
        <v>1.6492234071587694E-4</v>
      </c>
      <c r="K47" s="27">
        <v>152903265.31</v>
      </c>
      <c r="L47" s="30">
        <f t="shared" si="15"/>
        <v>1.6696946758458872E-4</v>
      </c>
      <c r="M47" s="30">
        <f t="shared" si="16"/>
        <v>-3.3366236178068186E-2</v>
      </c>
      <c r="N47" s="51">
        <f t="shared" si="21"/>
        <v>1.2806593737746253E-4</v>
      </c>
      <c r="O47" s="52">
        <f t="shared" si="22"/>
        <v>4.6052580929018753E-4</v>
      </c>
      <c r="P47" s="64">
        <f t="shared" si="23"/>
        <v>1.0003123950765689</v>
      </c>
      <c r="Q47" s="64">
        <f t="shared" si="24"/>
        <v>4.606696752856427E-4</v>
      </c>
      <c r="R47" s="27">
        <v>1</v>
      </c>
      <c r="S47" s="27">
        <v>1</v>
      </c>
      <c r="T47" s="27">
        <v>70</v>
      </c>
      <c r="U47" s="27">
        <v>189996408</v>
      </c>
      <c r="V47" s="27">
        <v>152855514</v>
      </c>
    </row>
    <row r="48" spans="1:22" ht="15" customHeight="1">
      <c r="A48" s="61">
        <v>41</v>
      </c>
      <c r="B48" s="27" t="s">
        <v>85</v>
      </c>
      <c r="C48" s="27" t="s">
        <v>40</v>
      </c>
      <c r="D48" s="27">
        <v>687662683.53999996</v>
      </c>
      <c r="E48" s="27">
        <v>18573240.100000001</v>
      </c>
      <c r="F48" s="27"/>
      <c r="G48" s="27">
        <v>859688.03</v>
      </c>
      <c r="H48" s="29">
        <f t="shared" si="13"/>
        <v>17713552.07</v>
      </c>
      <c r="I48" s="27">
        <v>689349265.5</v>
      </c>
      <c r="J48" s="30">
        <f t="shared" si="14"/>
        <v>7.1872707910042646E-4</v>
      </c>
      <c r="K48" s="27">
        <v>750852529.87</v>
      </c>
      <c r="L48" s="30">
        <f t="shared" si="15"/>
        <v>8.1992655220775154E-4</v>
      </c>
      <c r="M48" s="30">
        <f t="shared" si="16"/>
        <v>8.9219307901039616E-2</v>
      </c>
      <c r="N48" s="51">
        <f t="shared" si="21"/>
        <v>1.1449492354362093E-3</v>
      </c>
      <c r="O48" s="52">
        <f t="shared" si="22"/>
        <v>2.3591253096086475E-2</v>
      </c>
      <c r="P48" s="64">
        <f t="shared" si="23"/>
        <v>10.940317011420802</v>
      </c>
      <c r="Q48" s="64">
        <f t="shared" si="24"/>
        <v>0.25809578756784857</v>
      </c>
      <c r="R48" s="27">
        <v>10</v>
      </c>
      <c r="S48" s="27">
        <v>10</v>
      </c>
      <c r="T48" s="27">
        <v>658</v>
      </c>
      <c r="U48" s="27">
        <v>66663128.700000003</v>
      </c>
      <c r="V48" s="27">
        <v>68631697.700000003</v>
      </c>
    </row>
    <row r="49" spans="1:22" ht="15" customHeight="1">
      <c r="A49" s="61">
        <v>42</v>
      </c>
      <c r="B49" s="27" t="s">
        <v>251</v>
      </c>
      <c r="C49" s="27" t="s">
        <v>252</v>
      </c>
      <c r="D49" s="27">
        <v>326266157.16000003</v>
      </c>
      <c r="E49" s="27">
        <v>6998580.7000000002</v>
      </c>
      <c r="F49" s="27"/>
      <c r="G49" s="27">
        <v>6998580.7000000002</v>
      </c>
      <c r="H49" s="29">
        <f t="shared" si="13"/>
        <v>0</v>
      </c>
      <c r="I49" s="27">
        <v>0</v>
      </c>
      <c r="J49" s="30">
        <f t="shared" si="14"/>
        <v>0</v>
      </c>
      <c r="K49" s="27">
        <v>571804154.84000003</v>
      </c>
      <c r="L49" s="30">
        <f t="shared" si="15"/>
        <v>6.244067783819033E-4</v>
      </c>
      <c r="M49" s="30" t="e">
        <f t="shared" si="16"/>
        <v>#DIV/0!</v>
      </c>
      <c r="N49" s="51">
        <f t="shared" si="21"/>
        <v>1.2239471575645188E-2</v>
      </c>
      <c r="O49" s="52">
        <f t="shared" si="22"/>
        <v>0</v>
      </c>
      <c r="P49" s="64">
        <f t="shared" si="23"/>
        <v>1.000000015459839</v>
      </c>
      <c r="Q49" s="64">
        <f t="shared" si="24"/>
        <v>0</v>
      </c>
      <c r="R49" s="27">
        <v>1</v>
      </c>
      <c r="S49" s="27">
        <v>1</v>
      </c>
      <c r="T49" s="27">
        <v>38</v>
      </c>
      <c r="U49" s="27">
        <v>601314146</v>
      </c>
      <c r="V49" s="27">
        <v>571804146</v>
      </c>
    </row>
    <row r="50" spans="1:22" ht="14.25">
      <c r="A50" s="61">
        <v>43</v>
      </c>
      <c r="B50" s="48" t="s">
        <v>86</v>
      </c>
      <c r="C50" s="48" t="s">
        <v>44</v>
      </c>
      <c r="D50" s="27">
        <v>408786592326.12</v>
      </c>
      <c r="E50" s="27">
        <v>5734612429.6499996</v>
      </c>
      <c r="F50" s="27"/>
      <c r="G50" s="27">
        <v>712573477.38</v>
      </c>
      <c r="H50" s="29">
        <f t="shared" si="13"/>
        <v>5022038952.2699995</v>
      </c>
      <c r="I50" s="37">
        <v>440608527495.21002</v>
      </c>
      <c r="J50" s="30">
        <f t="shared" si="14"/>
        <v>0.45938582347466395</v>
      </c>
      <c r="K50" s="27">
        <v>410400657279.29999</v>
      </c>
      <c r="L50" s="30">
        <f t="shared" si="15"/>
        <v>0.4481551071088109</v>
      </c>
      <c r="M50" s="30">
        <f t="shared" si="16"/>
        <v>-6.8559431628881562E-2</v>
      </c>
      <c r="N50" s="51">
        <f t="shared" si="21"/>
        <v>1.7362873687969144E-3</v>
      </c>
      <c r="O50" s="52">
        <f t="shared" si="22"/>
        <v>1.2236917420071842E-2</v>
      </c>
      <c r="P50" s="64">
        <f t="shared" si="23"/>
        <v>1</v>
      </c>
      <c r="Q50" s="64">
        <f t="shared" si="24"/>
        <v>1.2236917420071842E-2</v>
      </c>
      <c r="R50" s="27">
        <v>100</v>
      </c>
      <c r="S50" s="27">
        <v>100</v>
      </c>
      <c r="T50" s="27">
        <v>117452</v>
      </c>
      <c r="U50" s="27">
        <v>440608527495.21002</v>
      </c>
      <c r="V50" s="27">
        <v>410400657279.29999</v>
      </c>
    </row>
    <row r="51" spans="1:22" ht="14.25">
      <c r="A51" s="61">
        <v>44</v>
      </c>
      <c r="B51" s="48" t="s">
        <v>87</v>
      </c>
      <c r="C51" s="48" t="s">
        <v>88</v>
      </c>
      <c r="D51" s="27">
        <v>3114999968.5599999</v>
      </c>
      <c r="E51" s="27">
        <v>45701729.229999997</v>
      </c>
      <c r="F51" s="27"/>
      <c r="G51" s="27">
        <v>4402735.6500000004</v>
      </c>
      <c r="H51" s="29">
        <f t="shared" si="13"/>
        <v>41298993.579999998</v>
      </c>
      <c r="I51" s="27">
        <v>2923805354.1700001</v>
      </c>
      <c r="J51" s="30">
        <f t="shared" si="14"/>
        <v>3.0484083863302411E-3</v>
      </c>
      <c r="K51" s="27">
        <v>3092042428.9099998</v>
      </c>
      <c r="L51" s="30">
        <f t="shared" si="15"/>
        <v>3.3764921701138861E-3</v>
      </c>
      <c r="M51" s="30">
        <f t="shared" si="16"/>
        <v>5.7540449640416755E-2</v>
      </c>
      <c r="N51" s="51">
        <f t="shared" si="21"/>
        <v>1.4238923789774913E-3</v>
      </c>
      <c r="O51" s="52">
        <f t="shared" si="22"/>
        <v>1.3356541680625849E-2</v>
      </c>
      <c r="P51" s="64">
        <f t="shared" si="23"/>
        <v>1.0303237803428982</v>
      </c>
      <c r="Q51" s="64">
        <f t="shared" si="24"/>
        <v>1.3761562516689911E-2</v>
      </c>
      <c r="R51" s="27">
        <v>1</v>
      </c>
      <c r="S51" s="27">
        <v>1</v>
      </c>
      <c r="T51" s="27">
        <v>325</v>
      </c>
      <c r="U51" s="27">
        <v>2900385101.6500001</v>
      </c>
      <c r="V51" s="27">
        <v>3001039564.3600001</v>
      </c>
    </row>
    <row r="52" spans="1:22" ht="14.25">
      <c r="A52" s="61">
        <v>45</v>
      </c>
      <c r="B52" s="48" t="s">
        <v>89</v>
      </c>
      <c r="C52" s="48" t="s">
        <v>48</v>
      </c>
      <c r="D52" s="29">
        <v>23044488740</v>
      </c>
      <c r="E52" s="29">
        <v>437691644</v>
      </c>
      <c r="F52" s="29"/>
      <c r="G52" s="29">
        <v>43711332</v>
      </c>
      <c r="H52" s="29">
        <f t="shared" si="13"/>
        <v>393980312</v>
      </c>
      <c r="I52" s="42">
        <v>44928028502</v>
      </c>
      <c r="J52" s="30">
        <f t="shared" si="14"/>
        <v>4.6842714297464019E-2</v>
      </c>
      <c r="K52" s="86">
        <v>35487501107</v>
      </c>
      <c r="L52" s="30">
        <f t="shared" si="15"/>
        <v>3.875214275986931E-2</v>
      </c>
      <c r="M52" s="30">
        <f t="shared" si="16"/>
        <v>-0.21012556548257508</v>
      </c>
      <c r="N52" s="51">
        <f t="shared" si="21"/>
        <v>1.2317387991959182E-3</v>
      </c>
      <c r="O52" s="52">
        <f t="shared" si="22"/>
        <v>1.1101945747379952E-2</v>
      </c>
      <c r="P52" s="64">
        <f t="shared" si="23"/>
        <v>0.89238283043732358</v>
      </c>
      <c r="Q52" s="64">
        <f t="shared" si="24"/>
        <v>9.9071857694085289E-3</v>
      </c>
      <c r="R52" s="27">
        <v>1</v>
      </c>
      <c r="S52" s="27">
        <v>1</v>
      </c>
      <c r="T52" s="27">
        <v>5682</v>
      </c>
      <c r="U52" s="86">
        <v>43359563925</v>
      </c>
      <c r="V52" s="86">
        <v>39767126727</v>
      </c>
    </row>
    <row r="53" spans="1:22" ht="14.25">
      <c r="A53" s="61">
        <v>46</v>
      </c>
      <c r="B53" s="54" t="s">
        <v>90</v>
      </c>
      <c r="C53" s="48" t="s">
        <v>91</v>
      </c>
      <c r="D53" s="50">
        <v>844221519.99000001</v>
      </c>
      <c r="E53" s="50">
        <v>15161934.050000001</v>
      </c>
      <c r="F53" s="50"/>
      <c r="G53" s="50">
        <v>1733660.09</v>
      </c>
      <c r="H53" s="29">
        <f t="shared" si="13"/>
        <v>13428273.960000001</v>
      </c>
      <c r="I53" s="37">
        <v>1364522103.04</v>
      </c>
      <c r="J53" s="30">
        <f t="shared" si="14"/>
        <v>1.4226735771954056E-3</v>
      </c>
      <c r="K53" s="27">
        <v>1383383875.3399999</v>
      </c>
      <c r="L53" s="30">
        <f t="shared" si="15"/>
        <v>1.5106470660539802E-3</v>
      </c>
      <c r="M53" s="30">
        <f t="shared" si="16"/>
        <v>1.3822987739061222E-2</v>
      </c>
      <c r="N53" s="51">
        <f t="shared" si="21"/>
        <v>1.2532024703366673E-3</v>
      </c>
      <c r="O53" s="52">
        <f t="shared" si="22"/>
        <v>9.706831342601618E-3</v>
      </c>
      <c r="P53" s="64">
        <f t="shared" si="23"/>
        <v>1.0250167708415145</v>
      </c>
      <c r="Q53" s="64">
        <f t="shared" si="24"/>
        <v>9.9496649178967122E-3</v>
      </c>
      <c r="R53" s="27">
        <v>1</v>
      </c>
      <c r="S53" s="27">
        <v>1</v>
      </c>
      <c r="T53" s="27">
        <v>73</v>
      </c>
      <c r="U53" s="27">
        <v>1343341231.25</v>
      </c>
      <c r="V53" s="27">
        <v>1349620722.99</v>
      </c>
    </row>
    <row r="54" spans="1:22" ht="14.25">
      <c r="A54" s="61">
        <v>47</v>
      </c>
      <c r="B54" s="48" t="s">
        <v>92</v>
      </c>
      <c r="C54" s="48" t="s">
        <v>93</v>
      </c>
      <c r="D54" s="27">
        <v>911964585</v>
      </c>
      <c r="E54" s="27">
        <v>10159007.699999999</v>
      </c>
      <c r="F54" s="27"/>
      <c r="G54" s="27">
        <v>1638940.7</v>
      </c>
      <c r="H54" s="29">
        <f t="shared" si="13"/>
        <v>8520067</v>
      </c>
      <c r="I54" s="37">
        <v>1011681282.4299999</v>
      </c>
      <c r="J54" s="30">
        <f t="shared" si="14"/>
        <v>1.0547958335374297E-3</v>
      </c>
      <c r="K54" s="27">
        <v>916595375.38999999</v>
      </c>
      <c r="L54" s="30">
        <f t="shared" si="15"/>
        <v>1.0009167659636327E-3</v>
      </c>
      <c r="M54" s="30">
        <f t="shared" si="16"/>
        <v>-9.3988006589989598E-2</v>
      </c>
      <c r="N54" s="51">
        <f t="shared" si="21"/>
        <v>1.7880743717506222E-3</v>
      </c>
      <c r="O54" s="52">
        <f t="shared" si="22"/>
        <v>9.2953414655565086E-3</v>
      </c>
      <c r="P54" s="64">
        <f t="shared" si="23"/>
        <v>1.0247629034286161</v>
      </c>
      <c r="Q54" s="64">
        <f t="shared" si="24"/>
        <v>9.5255211086040948E-3</v>
      </c>
      <c r="R54" s="27">
        <v>1</v>
      </c>
      <c r="S54" s="27">
        <v>1</v>
      </c>
      <c r="T54" s="27">
        <v>212</v>
      </c>
      <c r="U54" s="27">
        <v>995528985.26999998</v>
      </c>
      <c r="V54" s="27">
        <v>894446288.33000004</v>
      </c>
    </row>
    <row r="55" spans="1:22" ht="14.25">
      <c r="A55" s="61">
        <v>48</v>
      </c>
      <c r="B55" s="48" t="s">
        <v>94</v>
      </c>
      <c r="C55" s="48" t="s">
        <v>95</v>
      </c>
      <c r="D55" s="27">
        <v>27375698114.630001</v>
      </c>
      <c r="E55" s="50">
        <v>331397113.22000003</v>
      </c>
      <c r="F55" s="50"/>
      <c r="G55" s="50">
        <v>33664820.060000002</v>
      </c>
      <c r="H55" s="29">
        <v>297732293.16000003</v>
      </c>
      <c r="I55" s="50">
        <v>29704306041.990002</v>
      </c>
      <c r="J55" s="30">
        <f t="shared" si="14"/>
        <v>3.0970206521913853E-2</v>
      </c>
      <c r="K55" s="50">
        <v>27993935282.950001</v>
      </c>
      <c r="L55" s="30">
        <f t="shared" si="15"/>
        <v>3.0569212896239584E-2</v>
      </c>
      <c r="M55" s="30">
        <f t="shared" si="16"/>
        <v>-5.7579892848606568E-2</v>
      </c>
      <c r="N55" s="51">
        <f t="shared" si="21"/>
        <v>1.2025754764284217E-3</v>
      </c>
      <c r="O55" s="52">
        <f t="shared" si="22"/>
        <v>1.0635599823699564E-2</v>
      </c>
      <c r="P55" s="64">
        <f t="shared" si="23"/>
        <v>1.0287069431852183</v>
      </c>
      <c r="Q55" s="64">
        <f t="shared" si="24"/>
        <v>1.0940915383579223E-2</v>
      </c>
      <c r="R55" s="27">
        <v>1</v>
      </c>
      <c r="S55" s="27">
        <v>1</v>
      </c>
      <c r="T55" s="27">
        <v>3340</v>
      </c>
      <c r="U55" s="50">
        <v>29186563620.220001</v>
      </c>
      <c r="V55" s="50">
        <v>27212740682.27</v>
      </c>
    </row>
    <row r="56" spans="1:22" ht="15" customHeight="1">
      <c r="A56" s="94" t="s">
        <v>49</v>
      </c>
      <c r="B56" s="94"/>
      <c r="C56" s="94"/>
      <c r="D56" s="94"/>
      <c r="E56" s="94"/>
      <c r="F56" s="94"/>
      <c r="G56" s="94"/>
      <c r="H56" s="94"/>
      <c r="I56" s="58">
        <f>SUM(I25:I55)</f>
        <v>959125216713.42017</v>
      </c>
      <c r="J56" s="104">
        <f>(I56/$I$185)</f>
        <v>0.33464176003898616</v>
      </c>
      <c r="K56" s="58">
        <f>SUM(K25:K55)</f>
        <v>915755841603.42004</v>
      </c>
      <c r="L56" s="104">
        <f>(K56/$K$185)</f>
        <v>0.34561607212582995</v>
      </c>
      <c r="M56" s="57">
        <f t="shared" si="16"/>
        <v>-4.521763618999769E-2</v>
      </c>
      <c r="N56" s="51"/>
      <c r="O56" s="51"/>
      <c r="P56" s="65"/>
      <c r="Q56" s="65"/>
      <c r="R56" s="58"/>
      <c r="S56" s="58"/>
      <c r="T56" s="58">
        <f>SUM(T25:T55)</f>
        <v>278741</v>
      </c>
      <c r="U56" s="58"/>
      <c r="V56" s="58"/>
    </row>
    <row r="57" spans="1:22" ht="6.95" customHeight="1">
      <c r="A57" s="97"/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</row>
    <row r="58" spans="1:22">
      <c r="A58" s="96" t="s">
        <v>96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</row>
    <row r="59" spans="1:22" ht="14.25">
      <c r="A59" s="55">
        <v>49</v>
      </c>
      <c r="B59" s="24" t="s">
        <v>97</v>
      </c>
      <c r="C59" s="24" t="s">
        <v>22</v>
      </c>
      <c r="D59" s="27">
        <v>433669346.99000001</v>
      </c>
      <c r="E59" s="27">
        <v>5725642.0199999996</v>
      </c>
      <c r="F59" s="27"/>
      <c r="G59" s="27">
        <v>636241.86</v>
      </c>
      <c r="H59" s="29">
        <f t="shared" ref="H59:H90" si="25">(E59+F59)-G59</f>
        <v>5089400.1599999992</v>
      </c>
      <c r="I59" s="27">
        <v>439283039.64999998</v>
      </c>
      <c r="J59" s="30">
        <f t="shared" ref="J59:J90" si="26">(I59/$I$91)</f>
        <v>1.5128287663242308E-3</v>
      </c>
      <c r="K59" s="27">
        <v>435571537.69999999</v>
      </c>
      <c r="L59" s="30">
        <f t="shared" ref="L59:L90" si="27">(K59/$K$91)</f>
        <v>1.5762517598830461E-3</v>
      </c>
      <c r="M59" s="30">
        <f t="shared" ref="M59:M91" si="28">((K59-I59)/I59)</f>
        <v>-8.4489989710441315E-3</v>
      </c>
      <c r="N59" s="51">
        <f t="shared" ref="N59" si="29">(G59/K59)</f>
        <v>1.4607057737510199E-3</v>
      </c>
      <c r="O59" s="52">
        <f t="shared" ref="O59" si="30">H59/K59</f>
        <v>1.1684418561584997E-2</v>
      </c>
      <c r="P59" s="64">
        <f t="shared" ref="P59" si="31">K59/V59</f>
        <v>1.1956098158907418</v>
      </c>
      <c r="Q59" s="64">
        <f t="shared" ref="Q59" si="32">H59/V59</f>
        <v>1.3970005525207005E-2</v>
      </c>
      <c r="R59" s="27">
        <v>1.19</v>
      </c>
      <c r="S59" s="27">
        <v>1.19</v>
      </c>
      <c r="T59" s="27">
        <v>306</v>
      </c>
      <c r="U59" s="27">
        <v>364647417.31999999</v>
      </c>
      <c r="V59" s="27">
        <v>364309101.44</v>
      </c>
    </row>
    <row r="60" spans="1:22" ht="12.95" customHeight="1">
      <c r="A60" s="55">
        <v>50</v>
      </c>
      <c r="B60" s="24" t="s">
        <v>211</v>
      </c>
      <c r="C60" s="25" t="s">
        <v>24</v>
      </c>
      <c r="D60" s="27">
        <v>1258403308.9400001</v>
      </c>
      <c r="E60" s="27">
        <v>16093017.470000001</v>
      </c>
      <c r="F60" s="27"/>
      <c r="G60" s="27">
        <v>2517756.9500000002</v>
      </c>
      <c r="H60" s="29">
        <f t="shared" si="25"/>
        <v>13575260.52</v>
      </c>
      <c r="I60" s="27">
        <v>1371204407</v>
      </c>
      <c r="J60" s="30">
        <f t="shared" si="26"/>
        <v>4.7222343778010201E-3</v>
      </c>
      <c r="K60" s="27">
        <v>1378593780</v>
      </c>
      <c r="L60" s="30">
        <f t="shared" si="27"/>
        <v>4.9888725130278894E-3</v>
      </c>
      <c r="M60" s="30">
        <f t="shared" si="28"/>
        <v>5.3889653229505698E-3</v>
      </c>
      <c r="N60" s="51">
        <f t="shared" ref="N60:N90" si="33">(G60/K60)</f>
        <v>1.8263225806807283E-3</v>
      </c>
      <c r="O60" s="52">
        <f t="shared" ref="O60:O90" si="34">H60/K60</f>
        <v>9.8471795803401919E-3</v>
      </c>
      <c r="P60" s="64">
        <f t="shared" ref="P60:P90" si="35">K60/V60</f>
        <v>1.1088405533553716</v>
      </c>
      <c r="Q60" s="64">
        <f t="shared" ref="Q60:Q90" si="36">H60/V60</f>
        <v>1.0918952054854134E-2</v>
      </c>
      <c r="R60" s="27">
        <v>1.1088</v>
      </c>
      <c r="S60" s="27">
        <v>1.1088</v>
      </c>
      <c r="T60" s="27">
        <v>604</v>
      </c>
      <c r="U60" s="27">
        <v>1245675564</v>
      </c>
      <c r="V60" s="27">
        <v>1243275037</v>
      </c>
    </row>
    <row r="61" spans="1:22" ht="15" customHeight="1">
      <c r="A61" s="55">
        <v>51</v>
      </c>
      <c r="B61" s="24" t="s">
        <v>98</v>
      </c>
      <c r="C61" s="24" t="s">
        <v>99</v>
      </c>
      <c r="D61" s="27">
        <v>779316110.20000005</v>
      </c>
      <c r="E61" s="27">
        <v>9788646.9199999999</v>
      </c>
      <c r="F61" s="27"/>
      <c r="G61" s="27">
        <v>2021768.21</v>
      </c>
      <c r="H61" s="29">
        <f t="shared" si="25"/>
        <v>7766878.71</v>
      </c>
      <c r="I61" s="27">
        <v>1018572421</v>
      </c>
      <c r="J61" s="30">
        <f t="shared" si="26"/>
        <v>3.5078196060131343E-3</v>
      </c>
      <c r="K61" s="27">
        <v>906660682</v>
      </c>
      <c r="L61" s="30">
        <f t="shared" si="27"/>
        <v>3.2810350813224473E-3</v>
      </c>
      <c r="M61" s="30">
        <f t="shared" si="28"/>
        <v>-0.10987116545932869</v>
      </c>
      <c r="N61" s="51">
        <f t="shared" si="33"/>
        <v>2.2299061271083111E-3</v>
      </c>
      <c r="O61" s="52">
        <f t="shared" si="34"/>
        <v>8.566466886892091E-3</v>
      </c>
      <c r="P61" s="64">
        <f t="shared" si="35"/>
        <v>1.025867514022835</v>
      </c>
      <c r="Q61" s="64">
        <f t="shared" si="36"/>
        <v>8.788060089214924E-3</v>
      </c>
      <c r="R61" s="27">
        <v>1.0259</v>
      </c>
      <c r="S61" s="27">
        <v>1.0259</v>
      </c>
      <c r="T61" s="27">
        <v>156</v>
      </c>
      <c r="U61" s="27">
        <v>1000994501</v>
      </c>
      <c r="V61" s="27">
        <v>883798999</v>
      </c>
    </row>
    <row r="62" spans="1:22" ht="14.25">
      <c r="A62" s="55">
        <v>52</v>
      </c>
      <c r="B62" s="24" t="s">
        <v>100</v>
      </c>
      <c r="C62" s="25" t="s">
        <v>101</v>
      </c>
      <c r="D62" s="50">
        <v>244403785.75999999</v>
      </c>
      <c r="E62" s="50">
        <v>3326328.94</v>
      </c>
      <c r="F62" s="50"/>
      <c r="G62" s="50">
        <v>421747.06</v>
      </c>
      <c r="H62" s="29">
        <f t="shared" si="25"/>
        <v>2904581.88</v>
      </c>
      <c r="I62" s="50">
        <v>264196011.08000001</v>
      </c>
      <c r="J62" s="30">
        <f t="shared" si="26"/>
        <v>9.0985376041011754E-4</v>
      </c>
      <c r="K62" s="50">
        <v>264279845.50999999</v>
      </c>
      <c r="L62" s="30">
        <f t="shared" si="27"/>
        <v>9.5637922942906064E-4</v>
      </c>
      <c r="M62" s="30">
        <f t="shared" si="28"/>
        <v>3.1731906041000679E-4</v>
      </c>
      <c r="N62" s="51">
        <f t="shared" si="33"/>
        <v>1.5958351238859101E-3</v>
      </c>
      <c r="O62" s="52">
        <f t="shared" si="34"/>
        <v>1.0990553874416029E-2</v>
      </c>
      <c r="P62" s="64">
        <f t="shared" si="35"/>
        <v>1123.7343545794711</v>
      </c>
      <c r="Q62" s="64">
        <f t="shared" si="36"/>
        <v>12.350462964537801</v>
      </c>
      <c r="R62" s="27">
        <v>1123.73</v>
      </c>
      <c r="S62" s="27">
        <v>1123.73</v>
      </c>
      <c r="T62" s="27">
        <v>113</v>
      </c>
      <c r="U62" s="27">
        <v>235210</v>
      </c>
      <c r="V62" s="27">
        <v>235180</v>
      </c>
    </row>
    <row r="63" spans="1:22" ht="14.25">
      <c r="A63" s="55">
        <v>53</v>
      </c>
      <c r="B63" s="24" t="s">
        <v>102</v>
      </c>
      <c r="C63" s="25" t="s">
        <v>103</v>
      </c>
      <c r="D63" s="27">
        <v>1592752683.96</v>
      </c>
      <c r="E63" s="27">
        <v>17569502.23</v>
      </c>
      <c r="F63" s="27"/>
      <c r="G63" s="27">
        <v>3049948.67</v>
      </c>
      <c r="H63" s="29">
        <f t="shared" si="25"/>
        <v>14519553.560000001</v>
      </c>
      <c r="I63" s="27">
        <v>1646980940</v>
      </c>
      <c r="J63" s="30">
        <f t="shared" si="26"/>
        <v>5.6719698206534712E-3</v>
      </c>
      <c r="K63" s="27">
        <v>1635840045.1099999</v>
      </c>
      <c r="L63" s="30">
        <f t="shared" si="27"/>
        <v>5.919798533226793E-3</v>
      </c>
      <c r="M63" s="30">
        <f t="shared" si="28"/>
        <v>-6.7644346205974334E-3</v>
      </c>
      <c r="N63" s="51">
        <f t="shared" si="33"/>
        <v>1.8644540944679651E-3</v>
      </c>
      <c r="O63" s="52">
        <f t="shared" si="34"/>
        <v>8.8759005523817297E-3</v>
      </c>
      <c r="P63" s="64">
        <f t="shared" si="35"/>
        <v>1.0399670536470613</v>
      </c>
      <c r="Q63" s="64">
        <f t="shared" si="36"/>
        <v>9.2306441459247511E-3</v>
      </c>
      <c r="R63" s="29">
        <v>1.0402</v>
      </c>
      <c r="S63" s="27">
        <v>1.0402</v>
      </c>
      <c r="T63" s="27">
        <v>834</v>
      </c>
      <c r="U63" s="27">
        <v>1597691473.99</v>
      </c>
      <c r="V63" s="27">
        <v>1572972950.8</v>
      </c>
    </row>
    <row r="64" spans="1:22" ht="14.25">
      <c r="A64" s="55">
        <v>54</v>
      </c>
      <c r="B64" s="24" t="s">
        <v>104</v>
      </c>
      <c r="C64" s="24" t="s">
        <v>105</v>
      </c>
      <c r="D64" s="27">
        <v>417460183.44</v>
      </c>
      <c r="E64" s="27">
        <v>4289495.76</v>
      </c>
      <c r="F64" s="27"/>
      <c r="G64" s="27">
        <v>886327.12</v>
      </c>
      <c r="H64" s="29">
        <f t="shared" si="25"/>
        <v>3403168.6399999997</v>
      </c>
      <c r="I64" s="27">
        <v>402197166.29000002</v>
      </c>
      <c r="J64" s="30">
        <f t="shared" si="26"/>
        <v>1.3851102546148626E-3</v>
      </c>
      <c r="K64" s="27">
        <v>405800334.69999999</v>
      </c>
      <c r="L64" s="30">
        <f t="shared" si="27"/>
        <v>1.4685153559610194E-3</v>
      </c>
      <c r="M64" s="30">
        <f t="shared" si="28"/>
        <v>8.9587115773012184E-3</v>
      </c>
      <c r="N64" s="51">
        <f t="shared" si="33"/>
        <v>2.1841458574824581E-3</v>
      </c>
      <c r="O64" s="52">
        <f t="shared" si="34"/>
        <v>8.3863130436200688E-3</v>
      </c>
      <c r="P64" s="64">
        <f t="shared" si="35"/>
        <v>2.3006948049038143</v>
      </c>
      <c r="Q64" s="64">
        <f t="shared" si="36"/>
        <v>1.9294346851753789E-2</v>
      </c>
      <c r="R64" s="27">
        <v>2.2896999999999998</v>
      </c>
      <c r="S64" s="27">
        <v>2.2896999999999998</v>
      </c>
      <c r="T64" s="27">
        <v>1399</v>
      </c>
      <c r="U64" s="27">
        <v>176294140.78</v>
      </c>
      <c r="V64" s="27">
        <v>176381645.16</v>
      </c>
    </row>
    <row r="65" spans="1:22" ht="14.25">
      <c r="A65" s="55">
        <v>55</v>
      </c>
      <c r="B65" s="32" t="s">
        <v>230</v>
      </c>
      <c r="C65" s="33" t="s">
        <v>227</v>
      </c>
      <c r="D65" s="27">
        <v>136282160.31999999</v>
      </c>
      <c r="E65" s="27">
        <v>1301356.82</v>
      </c>
      <c r="F65" s="27"/>
      <c r="G65" s="27">
        <v>340028.91</v>
      </c>
      <c r="H65" s="29">
        <f t="shared" si="25"/>
        <v>961327.91000000015</v>
      </c>
      <c r="I65" s="37">
        <v>135186099.77000001</v>
      </c>
      <c r="J65" s="30">
        <f t="shared" si="26"/>
        <v>4.6556184072615267E-4</v>
      </c>
      <c r="K65" s="27">
        <v>135942131.41</v>
      </c>
      <c r="L65" s="30">
        <f t="shared" si="27"/>
        <v>4.919490952249721E-4</v>
      </c>
      <c r="M65" s="30">
        <f t="shared" si="28"/>
        <v>5.59252498064717E-3</v>
      </c>
      <c r="N65" s="51">
        <f t="shared" si="33"/>
        <v>2.5012768776919974E-3</v>
      </c>
      <c r="O65" s="52">
        <f t="shared" si="34"/>
        <v>7.07159656854758E-3</v>
      </c>
      <c r="P65" s="64">
        <f t="shared" si="35"/>
        <v>10.948102920781864</v>
      </c>
      <c r="Q65" s="64">
        <f t="shared" si="36"/>
        <v>7.7420567046706759E-2</v>
      </c>
      <c r="R65" s="27">
        <v>10.64</v>
      </c>
      <c r="S65" s="27">
        <v>10.64</v>
      </c>
      <c r="T65" s="27">
        <v>29</v>
      </c>
      <c r="U65" s="27">
        <f>V65-25111.97</f>
        <v>12391845.779999999</v>
      </c>
      <c r="V65" s="27">
        <v>12416957.75</v>
      </c>
    </row>
    <row r="66" spans="1:22" ht="14.25">
      <c r="A66" s="55">
        <v>56</v>
      </c>
      <c r="B66" s="25" t="s">
        <v>106</v>
      </c>
      <c r="C66" s="24" t="s">
        <v>58</v>
      </c>
      <c r="D66" s="27">
        <v>2649538094.96</v>
      </c>
      <c r="E66" s="27">
        <v>24786858.710000001</v>
      </c>
      <c r="F66" s="27"/>
      <c r="G66" s="27">
        <v>4639728.26</v>
      </c>
      <c r="H66" s="29">
        <f t="shared" si="25"/>
        <v>20147130.450000003</v>
      </c>
      <c r="I66" s="27">
        <v>2609357563.8899999</v>
      </c>
      <c r="J66" s="30">
        <f t="shared" si="26"/>
        <v>8.9862590356861935E-3</v>
      </c>
      <c r="K66" s="27">
        <v>2626026351.8600001</v>
      </c>
      <c r="L66" s="30">
        <f t="shared" si="27"/>
        <v>9.5030971961017115E-3</v>
      </c>
      <c r="M66" s="30">
        <f t="shared" si="28"/>
        <v>6.3880811892834772E-3</v>
      </c>
      <c r="N66" s="51">
        <f t="shared" si="33"/>
        <v>1.7668247147305683E-3</v>
      </c>
      <c r="O66" s="52">
        <f t="shared" si="34"/>
        <v>7.6720975917587047E-3</v>
      </c>
      <c r="P66" s="64">
        <f t="shared" si="35"/>
        <v>4082.2937258899719</v>
      </c>
      <c r="Q66" s="64">
        <f t="shared" si="36"/>
        <v>31.319755863252123</v>
      </c>
      <c r="R66" s="27">
        <v>4082.29</v>
      </c>
      <c r="S66" s="27">
        <v>4082.29</v>
      </c>
      <c r="T66" s="27">
        <v>1043</v>
      </c>
      <c r="U66" s="27">
        <v>644125.23</v>
      </c>
      <c r="V66" s="27">
        <v>643272.27</v>
      </c>
    </row>
    <row r="67" spans="1:22" ht="14.25">
      <c r="A67" s="55">
        <v>57</v>
      </c>
      <c r="B67" s="24" t="s">
        <v>107</v>
      </c>
      <c r="C67" s="24" t="s">
        <v>60</v>
      </c>
      <c r="D67" s="27">
        <v>310038376.56</v>
      </c>
      <c r="E67" s="27">
        <v>3683659.87</v>
      </c>
      <c r="F67" s="27"/>
      <c r="G67" s="27">
        <v>706342.29</v>
      </c>
      <c r="H67" s="29">
        <f t="shared" si="25"/>
        <v>2977317.58</v>
      </c>
      <c r="I67" s="37">
        <v>331747036.30000001</v>
      </c>
      <c r="J67" s="30">
        <f t="shared" si="26"/>
        <v>1.1424899537603827E-3</v>
      </c>
      <c r="K67" s="27">
        <v>345653318.77999997</v>
      </c>
      <c r="L67" s="30">
        <f t="shared" si="27"/>
        <v>1.2508545781328047E-3</v>
      </c>
      <c r="M67" s="30">
        <f t="shared" si="28"/>
        <v>4.1918332218119532E-2</v>
      </c>
      <c r="N67" s="51">
        <f t="shared" si="33"/>
        <v>2.0434992277611253E-3</v>
      </c>
      <c r="O67" s="52">
        <f t="shared" si="34"/>
        <v>8.6135946575273334E-3</v>
      </c>
      <c r="P67" s="64">
        <f t="shared" si="35"/>
        <v>110.48136323072339</v>
      </c>
      <c r="Q67" s="64">
        <f t="shared" si="36"/>
        <v>0.95164168008049577</v>
      </c>
      <c r="R67" s="27">
        <v>110.28</v>
      </c>
      <c r="S67" s="27">
        <v>110.28</v>
      </c>
      <c r="T67" s="27">
        <v>126</v>
      </c>
      <c r="U67" s="27">
        <v>3138579</v>
      </c>
      <c r="V67" s="27">
        <v>3128612</v>
      </c>
    </row>
    <row r="68" spans="1:22" ht="14.25">
      <c r="A68" s="55">
        <v>58</v>
      </c>
      <c r="B68" s="25" t="s">
        <v>108</v>
      </c>
      <c r="C68" s="25" t="s">
        <v>64</v>
      </c>
      <c r="D68" s="50">
        <v>255357348.03999999</v>
      </c>
      <c r="E68" s="27">
        <v>3107852.65</v>
      </c>
      <c r="F68" s="27"/>
      <c r="G68" s="27">
        <v>666790.36</v>
      </c>
      <c r="H68" s="29">
        <f t="shared" si="25"/>
        <v>2441062.29</v>
      </c>
      <c r="I68" s="50">
        <v>313234559.38</v>
      </c>
      <c r="J68" s="30">
        <f t="shared" si="26"/>
        <v>1.0787355970185348E-3</v>
      </c>
      <c r="K68" s="50">
        <v>307564586.29000002</v>
      </c>
      <c r="L68" s="30">
        <f t="shared" si="27"/>
        <v>1.1130185938623453E-3</v>
      </c>
      <c r="M68" s="30">
        <f t="shared" si="28"/>
        <v>-1.8101365000154582E-2</v>
      </c>
      <c r="N68" s="51">
        <f t="shared" si="33"/>
        <v>2.1679685819592019E-3</v>
      </c>
      <c r="O68" s="52">
        <f t="shared" si="34"/>
        <v>7.9367469429602773E-3</v>
      </c>
      <c r="P68" s="64">
        <f t="shared" si="35"/>
        <v>1.298143589837959</v>
      </c>
      <c r="Q68" s="64">
        <f t="shared" si="36"/>
        <v>1.0303037168169901E-2</v>
      </c>
      <c r="R68" s="27">
        <v>1.2981</v>
      </c>
      <c r="S68" s="27">
        <v>1.2981</v>
      </c>
      <c r="T68" s="27">
        <v>323</v>
      </c>
      <c r="U68" s="50">
        <v>236415697.94999999</v>
      </c>
      <c r="V68" s="50">
        <v>236926476.16</v>
      </c>
    </row>
    <row r="69" spans="1:22" ht="14.25">
      <c r="A69" s="55">
        <v>59</v>
      </c>
      <c r="B69" s="24" t="s">
        <v>231</v>
      </c>
      <c r="C69" s="24" t="s">
        <v>46</v>
      </c>
      <c r="D69" s="27">
        <f>55583844.33+9528808.08+8713107.05</f>
        <v>73825759.459999993</v>
      </c>
      <c r="E69" s="27">
        <v>812663.86</v>
      </c>
      <c r="F69" s="27"/>
      <c r="G69" s="27">
        <v>112925.06</v>
      </c>
      <c r="H69" s="29">
        <f>(E69+F69)-G69</f>
        <v>699738.8</v>
      </c>
      <c r="I69" s="27">
        <v>74446089.329999998</v>
      </c>
      <c r="J69" s="30">
        <f t="shared" si="26"/>
        <v>2.5638182063323234E-4</v>
      </c>
      <c r="K69" s="27">
        <v>76143533.719999999</v>
      </c>
      <c r="L69" s="30">
        <f t="shared" si="27"/>
        <v>2.7554917767039412E-4</v>
      </c>
      <c r="M69" s="30">
        <f t="shared" si="28"/>
        <v>2.2800988007250115E-2</v>
      </c>
      <c r="N69" s="51">
        <f t="shared" si="33"/>
        <v>1.4830551523292239E-3</v>
      </c>
      <c r="O69" s="52">
        <f t="shared" si="34"/>
        <v>9.1897337280553004E-3</v>
      </c>
      <c r="P69" s="64">
        <f t="shared" si="35"/>
        <v>115.50973209281376</v>
      </c>
      <c r="Q69" s="64">
        <f t="shared" si="36"/>
        <v>1.0615036809319622</v>
      </c>
      <c r="R69" s="27">
        <v>115.5097</v>
      </c>
      <c r="S69" s="27">
        <v>115.5097</v>
      </c>
      <c r="T69" s="27">
        <v>104</v>
      </c>
      <c r="U69" s="27">
        <v>651409.4</v>
      </c>
      <c r="V69" s="27">
        <v>659195.82999999996</v>
      </c>
    </row>
    <row r="70" spans="1:22" ht="14.25">
      <c r="A70" s="55">
        <v>60</v>
      </c>
      <c r="B70" s="24" t="s">
        <v>109</v>
      </c>
      <c r="C70" s="24" t="s">
        <v>110</v>
      </c>
      <c r="D70" s="27">
        <f>341048840.17+550000000</f>
        <v>891048840.17000008</v>
      </c>
      <c r="E70" s="27">
        <v>18303074.489999998</v>
      </c>
      <c r="F70" s="27"/>
      <c r="G70" s="27">
        <v>17756172.629999999</v>
      </c>
      <c r="H70" s="29">
        <f t="shared" si="25"/>
        <v>546901.8599999994</v>
      </c>
      <c r="I70" s="29">
        <v>1282302578.78</v>
      </c>
      <c r="J70" s="30">
        <f t="shared" si="26"/>
        <v>4.4160690334317286E-3</v>
      </c>
      <c r="K70" s="29">
        <v>1278184416.5599999</v>
      </c>
      <c r="L70" s="30">
        <f t="shared" si="27"/>
        <v>4.6255098455157493E-3</v>
      </c>
      <c r="M70" s="30">
        <f t="shared" si="28"/>
        <v>-3.2115370335744813E-3</v>
      </c>
      <c r="N70" s="51">
        <f t="shared" si="33"/>
        <v>1.3891714215846488E-2</v>
      </c>
      <c r="O70" s="52">
        <f t="shared" si="34"/>
        <v>4.2787398509511323E-4</v>
      </c>
      <c r="P70" s="64">
        <f t="shared" si="35"/>
        <v>1058.9429097050524</v>
      </c>
      <c r="Q70" s="64">
        <f t="shared" si="36"/>
        <v>0.45309412276371541</v>
      </c>
      <c r="R70" s="27">
        <v>1000</v>
      </c>
      <c r="S70" s="27">
        <v>1000</v>
      </c>
      <c r="T70" s="27">
        <v>296</v>
      </c>
      <c r="U70" s="27">
        <v>1194460.58</v>
      </c>
      <c r="V70" s="27">
        <v>1207038.08</v>
      </c>
    </row>
    <row r="71" spans="1:22" ht="14.25">
      <c r="A71" s="55">
        <v>61</v>
      </c>
      <c r="B71" s="24" t="s">
        <v>111</v>
      </c>
      <c r="C71" s="24" t="s">
        <v>66</v>
      </c>
      <c r="D71" s="27">
        <v>198941949.50999999</v>
      </c>
      <c r="E71" s="27">
        <v>2445377.2000000002</v>
      </c>
      <c r="F71" s="27"/>
      <c r="G71" s="27">
        <v>637679.57999999996</v>
      </c>
      <c r="H71" s="29">
        <v>1807697.62</v>
      </c>
      <c r="I71" s="27">
        <v>217420839.69</v>
      </c>
      <c r="J71" s="30">
        <f t="shared" si="26"/>
        <v>7.4876667431428583E-4</v>
      </c>
      <c r="K71" s="27">
        <v>214324866.08000001</v>
      </c>
      <c r="L71" s="30">
        <f t="shared" si="27"/>
        <v>7.7560152146116277E-4</v>
      </c>
      <c r="M71" s="30">
        <f t="shared" si="28"/>
        <v>-1.4239543984901555E-2</v>
      </c>
      <c r="N71" s="51">
        <f t="shared" si="33"/>
        <v>2.975294428794727E-3</v>
      </c>
      <c r="O71" s="52">
        <f t="shared" si="34"/>
        <v>8.4343811945985277E-3</v>
      </c>
      <c r="P71" s="64">
        <f t="shared" si="35"/>
        <v>1057.0684971936437</v>
      </c>
      <c r="Q71" s="64">
        <f t="shared" si="36"/>
        <v>8.9157186541325952</v>
      </c>
      <c r="R71" s="27">
        <v>1049.05</v>
      </c>
      <c r="S71" s="27">
        <v>1057.07</v>
      </c>
      <c r="T71" s="27">
        <v>281</v>
      </c>
      <c r="U71" s="27">
        <v>202987</v>
      </c>
      <c r="V71" s="27">
        <v>202754</v>
      </c>
    </row>
    <row r="72" spans="1:22" ht="14.25">
      <c r="A72" s="55">
        <v>62</v>
      </c>
      <c r="B72" s="24" t="s">
        <v>112</v>
      </c>
      <c r="C72" s="25" t="s">
        <v>69</v>
      </c>
      <c r="D72" s="50">
        <v>876683297.37</v>
      </c>
      <c r="E72" s="50">
        <v>10164887.220000001</v>
      </c>
      <c r="F72" s="50"/>
      <c r="G72" s="27">
        <v>1508987.61</v>
      </c>
      <c r="H72" s="29">
        <f t="shared" si="25"/>
        <v>8655899.6100000013</v>
      </c>
      <c r="I72" s="50">
        <v>863911328.53999996</v>
      </c>
      <c r="J72" s="30">
        <f t="shared" si="26"/>
        <v>2.9751886401305442E-3</v>
      </c>
      <c r="K72" s="50">
        <v>873194600.69000006</v>
      </c>
      <c r="L72" s="30">
        <f t="shared" si="27"/>
        <v>3.1599276052926228E-3</v>
      </c>
      <c r="M72" s="30">
        <f t="shared" si="28"/>
        <v>1.0745630764778507E-2</v>
      </c>
      <c r="N72" s="51">
        <f t="shared" si="33"/>
        <v>1.7281229279333555E-3</v>
      </c>
      <c r="O72" s="52">
        <f t="shared" si="34"/>
        <v>9.9129101384274401E-3</v>
      </c>
      <c r="P72" s="64">
        <f t="shared" si="35"/>
        <v>1.1342597525237863</v>
      </c>
      <c r="Q72" s="64">
        <f t="shared" si="36"/>
        <v>1.1243815000403239E-2</v>
      </c>
      <c r="R72" s="27">
        <v>1.1299999999999999</v>
      </c>
      <c r="S72" s="27">
        <v>1.1299999999999999</v>
      </c>
      <c r="T72" s="27">
        <v>35</v>
      </c>
      <c r="U72" s="50">
        <v>769276497.48000002</v>
      </c>
      <c r="V72" s="50">
        <v>769836537.65999997</v>
      </c>
    </row>
    <row r="73" spans="1:22" ht="14.25">
      <c r="A73" s="55">
        <v>63</v>
      </c>
      <c r="B73" s="24" t="s">
        <v>232</v>
      </c>
      <c r="C73" s="24" t="s">
        <v>28</v>
      </c>
      <c r="D73" s="27">
        <v>57043523297.779999</v>
      </c>
      <c r="E73" s="27">
        <v>660123987.85000002</v>
      </c>
      <c r="F73" s="27"/>
      <c r="G73" s="50">
        <v>71080958.189999998</v>
      </c>
      <c r="H73" s="29">
        <f t="shared" si="25"/>
        <v>589043029.66000009</v>
      </c>
      <c r="I73" s="37">
        <v>62390069588.470001</v>
      </c>
      <c r="J73" s="30">
        <f t="shared" si="26"/>
        <v>0.21486259082893319</v>
      </c>
      <c r="K73" s="27">
        <v>56671851065.660004</v>
      </c>
      <c r="L73" s="30">
        <f t="shared" si="27"/>
        <v>0.20508480753763556</v>
      </c>
      <c r="M73" s="30">
        <f t="shared" si="28"/>
        <v>-9.1652703074829603E-2</v>
      </c>
      <c r="N73" s="51">
        <f t="shared" si="33"/>
        <v>1.2542550993728016E-3</v>
      </c>
      <c r="O73" s="52">
        <f t="shared" si="34"/>
        <v>1.039392606000349E-2</v>
      </c>
      <c r="P73" s="64">
        <f t="shared" si="35"/>
        <v>1593.0017211342131</v>
      </c>
      <c r="Q73" s="64">
        <f t="shared" si="36"/>
        <v>16.557542102927311</v>
      </c>
      <c r="R73" s="29">
        <v>1593</v>
      </c>
      <c r="S73" s="29">
        <v>1593</v>
      </c>
      <c r="T73" s="27">
        <v>2446</v>
      </c>
      <c r="U73" s="50">
        <v>39558143.850000001</v>
      </c>
      <c r="V73" s="50">
        <v>35575511.509999998</v>
      </c>
    </row>
    <row r="74" spans="1:22" ht="15.75" customHeight="1">
      <c r="A74" s="55">
        <v>64</v>
      </c>
      <c r="B74" s="24" t="s">
        <v>113</v>
      </c>
      <c r="C74" s="24" t="s">
        <v>246</v>
      </c>
      <c r="D74" s="27">
        <v>22767520.859999999</v>
      </c>
      <c r="E74" s="27">
        <v>277060.17</v>
      </c>
      <c r="F74" s="27"/>
      <c r="G74" s="27">
        <v>258728.48</v>
      </c>
      <c r="H74" s="29">
        <f t="shared" si="25"/>
        <v>18331.689999999973</v>
      </c>
      <c r="I74" s="27">
        <v>25449693.050000001</v>
      </c>
      <c r="J74" s="30">
        <f t="shared" si="26"/>
        <v>8.764514963026493E-5</v>
      </c>
      <c r="K74" s="27">
        <v>25368142.91</v>
      </c>
      <c r="L74" s="30">
        <f t="shared" si="27"/>
        <v>9.1802554680220835E-5</v>
      </c>
      <c r="M74" s="30">
        <f t="shared" si="28"/>
        <v>-3.2043663489293279E-3</v>
      </c>
      <c r="N74" s="51">
        <f t="shared" si="33"/>
        <v>1.0198952320550453E-2</v>
      </c>
      <c r="O74" s="52">
        <f t="shared" si="34"/>
        <v>7.2262640844607154E-4</v>
      </c>
      <c r="P74" s="64">
        <f t="shared" si="35"/>
        <v>0.77374862104554532</v>
      </c>
      <c r="Q74" s="64">
        <f t="shared" si="36"/>
        <v>5.5913118706624285E-4</v>
      </c>
      <c r="R74" s="29">
        <v>0.77370000000000005</v>
      </c>
      <c r="S74" s="29">
        <v>0.77370000000000005</v>
      </c>
      <c r="T74" s="27">
        <v>747</v>
      </c>
      <c r="U74" s="27">
        <v>32786142.91</v>
      </c>
      <c r="V74" s="27">
        <v>32786026.649999999</v>
      </c>
    </row>
    <row r="75" spans="1:22" ht="15.75" customHeight="1">
      <c r="A75" s="55">
        <v>65</v>
      </c>
      <c r="B75" s="24" t="s">
        <v>233</v>
      </c>
      <c r="C75" s="25" t="s">
        <v>34</v>
      </c>
      <c r="D75" s="27">
        <v>11086837008.309999</v>
      </c>
      <c r="E75" s="27">
        <v>66113418.969999999</v>
      </c>
      <c r="F75" s="27"/>
      <c r="G75" s="27">
        <v>1969560.92</v>
      </c>
      <c r="H75" s="29">
        <f>(E75+F75)-G75</f>
        <v>64143858.049999997</v>
      </c>
      <c r="I75" s="27">
        <v>9565393596.8600006</v>
      </c>
      <c r="J75" s="30">
        <f t="shared" si="26"/>
        <v>3.2941865012755929E-2</v>
      </c>
      <c r="K75" s="27">
        <v>9593414018.8899994</v>
      </c>
      <c r="L75" s="30">
        <f t="shared" si="27"/>
        <v>3.4716767331517143E-2</v>
      </c>
      <c r="M75" s="30">
        <f t="shared" si="28"/>
        <v>2.9293537946203227E-3</v>
      </c>
      <c r="N75" s="51">
        <f t="shared" si="33"/>
        <v>2.0530344214497758E-4</v>
      </c>
      <c r="O75" s="52">
        <f t="shared" si="34"/>
        <v>6.6862389055342497E-3</v>
      </c>
      <c r="P75" s="64">
        <f t="shared" si="35"/>
        <v>1</v>
      </c>
      <c r="Q75" s="64">
        <f t="shared" si="36"/>
        <v>6.6862389055342497E-3</v>
      </c>
      <c r="R75" s="27">
        <v>1</v>
      </c>
      <c r="S75" s="27">
        <v>1</v>
      </c>
      <c r="T75" s="27">
        <v>5541</v>
      </c>
      <c r="U75" s="27">
        <v>9565393596.8600006</v>
      </c>
      <c r="V75" s="27">
        <v>9593414018.8899994</v>
      </c>
    </row>
    <row r="76" spans="1:22" ht="14.25">
      <c r="A76" s="55">
        <v>66</v>
      </c>
      <c r="B76" s="25" t="s">
        <v>114</v>
      </c>
      <c r="C76" s="25" t="s">
        <v>115</v>
      </c>
      <c r="D76" s="27">
        <v>1159866218.55</v>
      </c>
      <c r="E76" s="27">
        <v>74891527.209999993</v>
      </c>
      <c r="F76" s="27"/>
      <c r="G76" s="27">
        <v>5254754.3499999996</v>
      </c>
      <c r="H76" s="29">
        <f t="shared" si="25"/>
        <v>69636772.859999999</v>
      </c>
      <c r="I76" s="37">
        <v>1109466262.04</v>
      </c>
      <c r="J76" s="30">
        <f t="shared" si="26"/>
        <v>3.8208451612828593E-3</v>
      </c>
      <c r="K76" s="27">
        <v>1151620805.8</v>
      </c>
      <c r="L76" s="30">
        <f t="shared" si="27"/>
        <v>4.1674998587957132E-3</v>
      </c>
      <c r="M76" s="30">
        <f t="shared" si="28"/>
        <v>3.7995336318284709E-2</v>
      </c>
      <c r="N76" s="51">
        <f t="shared" si="33"/>
        <v>4.5629206450031644E-3</v>
      </c>
      <c r="O76" s="52">
        <f t="shared" si="34"/>
        <v>6.0468491459413333E-2</v>
      </c>
      <c r="P76" s="64">
        <f t="shared" si="35"/>
        <v>225.69056371622096</v>
      </c>
      <c r="Q76" s="64">
        <f t="shared" si="36"/>
        <v>13.647167924544487</v>
      </c>
      <c r="R76" s="27">
        <v>225.69059999999999</v>
      </c>
      <c r="S76" s="50">
        <v>227.3065</v>
      </c>
      <c r="T76" s="27">
        <v>490</v>
      </c>
      <c r="U76" s="86">
        <v>5127555.43</v>
      </c>
      <c r="V76" s="86">
        <v>5102653.7699999996</v>
      </c>
    </row>
    <row r="77" spans="1:22" ht="14.25">
      <c r="A77" s="55">
        <v>67</v>
      </c>
      <c r="B77" s="24" t="s">
        <v>116</v>
      </c>
      <c r="C77" s="25" t="s">
        <v>36</v>
      </c>
      <c r="D77" s="27">
        <v>1111917913.7</v>
      </c>
      <c r="E77" s="27">
        <v>10986431.039999999</v>
      </c>
      <c r="F77" s="27"/>
      <c r="G77" s="27">
        <v>1394180.47</v>
      </c>
      <c r="H77" s="29">
        <f t="shared" si="25"/>
        <v>9592250.5699999984</v>
      </c>
      <c r="I77" s="27">
        <v>1116032817.6500001</v>
      </c>
      <c r="J77" s="30">
        <f t="shared" si="26"/>
        <v>3.8434594516738359E-3</v>
      </c>
      <c r="K77" s="27">
        <v>1100153707.24</v>
      </c>
      <c r="L77" s="30">
        <f t="shared" si="27"/>
        <v>3.9812500750985311E-3</v>
      </c>
      <c r="M77" s="30">
        <f t="shared" si="28"/>
        <v>-1.4228175156566001E-2</v>
      </c>
      <c r="N77" s="51">
        <f t="shared" si="33"/>
        <v>1.2672597118248475E-3</v>
      </c>
      <c r="O77" s="52">
        <f t="shared" si="34"/>
        <v>8.7190094501108078E-3</v>
      </c>
      <c r="P77" s="64">
        <f t="shared" si="35"/>
        <v>2.9606633229516301</v>
      </c>
      <c r="Q77" s="64">
        <f t="shared" si="36"/>
        <v>2.5814051491411728E-2</v>
      </c>
      <c r="R77" s="29">
        <v>3.39</v>
      </c>
      <c r="S77" s="27">
        <v>3.39</v>
      </c>
      <c r="T77" s="27">
        <v>773</v>
      </c>
      <c r="U77" s="27">
        <v>378368702</v>
      </c>
      <c r="V77" s="27">
        <v>371590278</v>
      </c>
    </row>
    <row r="78" spans="1:22" ht="14.25">
      <c r="A78" s="55">
        <v>68</v>
      </c>
      <c r="B78" s="24" t="s">
        <v>234</v>
      </c>
      <c r="C78" s="24" t="s">
        <v>42</v>
      </c>
      <c r="D78" s="27">
        <v>2306201766.8600001</v>
      </c>
      <c r="E78" s="27">
        <v>22580703.370000001</v>
      </c>
      <c r="F78" s="27"/>
      <c r="G78" s="27">
        <v>3932901.62</v>
      </c>
      <c r="H78" s="29">
        <f>(E78+F78)-G78</f>
        <v>18647801.75</v>
      </c>
      <c r="I78" s="27">
        <v>1962434738.3099999</v>
      </c>
      <c r="J78" s="30">
        <f t="shared" si="26"/>
        <v>6.7583481632132987E-3</v>
      </c>
      <c r="K78" s="27">
        <v>2297326232.98</v>
      </c>
      <c r="L78" s="30">
        <f t="shared" si="27"/>
        <v>8.3135930710291073E-3</v>
      </c>
      <c r="M78" s="30">
        <f t="shared" si="28"/>
        <v>0.17065102249382333</v>
      </c>
      <c r="N78" s="51">
        <f t="shared" si="33"/>
        <v>1.711947377581806E-3</v>
      </c>
      <c r="O78" s="52">
        <f t="shared" si="34"/>
        <v>8.1171761686675281E-3</v>
      </c>
      <c r="P78" s="64">
        <f t="shared" si="35"/>
        <v>101.0058407106882</v>
      </c>
      <c r="Q78" s="64">
        <f t="shared" si="36"/>
        <v>0.81988220311302662</v>
      </c>
      <c r="R78" s="27">
        <v>101.01</v>
      </c>
      <c r="S78" s="27">
        <v>101.01</v>
      </c>
      <c r="T78" s="27">
        <v>238</v>
      </c>
      <c r="U78" s="27">
        <v>19596123</v>
      </c>
      <c r="V78" s="27">
        <v>22744489</v>
      </c>
    </row>
    <row r="79" spans="1:22" ht="14.25">
      <c r="A79" s="55">
        <v>69</v>
      </c>
      <c r="B79" s="24" t="s">
        <v>119</v>
      </c>
      <c r="C79" s="24" t="s">
        <v>20</v>
      </c>
      <c r="D79" s="27">
        <v>1229941089.53</v>
      </c>
      <c r="E79" s="27">
        <v>13403386.710000001</v>
      </c>
      <c r="F79" s="27">
        <v>72413000</v>
      </c>
      <c r="G79" s="27">
        <v>1986225.09</v>
      </c>
      <c r="H79" s="29">
        <f t="shared" si="25"/>
        <v>83830161.620000005</v>
      </c>
      <c r="I79" s="27">
        <v>1224370157.0699999</v>
      </c>
      <c r="J79" s="30">
        <f t="shared" si="26"/>
        <v>4.2165579525223831E-3</v>
      </c>
      <c r="K79" s="27">
        <v>1229124975.21</v>
      </c>
      <c r="L79" s="30">
        <f t="shared" si="27"/>
        <v>4.4479729220171403E-3</v>
      </c>
      <c r="M79" s="30">
        <f t="shared" si="28"/>
        <v>3.8834809167341226E-3</v>
      </c>
      <c r="N79" s="51">
        <f t="shared" si="33"/>
        <v>1.6159667487520111E-3</v>
      </c>
      <c r="O79" s="52">
        <f t="shared" si="34"/>
        <v>6.8203122799353533E-2</v>
      </c>
      <c r="P79" s="64">
        <f t="shared" si="35"/>
        <v>333.92325614770368</v>
      </c>
      <c r="Q79" s="64">
        <f t="shared" si="36"/>
        <v>22.774608844601818</v>
      </c>
      <c r="R79" s="27">
        <v>333.92329999999998</v>
      </c>
      <c r="S79" s="27">
        <v>333.92329999999998</v>
      </c>
      <c r="T79" s="27">
        <v>104</v>
      </c>
      <c r="U79" s="27">
        <v>3680744.4627</v>
      </c>
      <c r="V79" s="27">
        <v>3680860.6546</v>
      </c>
    </row>
    <row r="80" spans="1:22" ht="14.25">
      <c r="A80" s="55">
        <v>70</v>
      </c>
      <c r="B80" s="32" t="s">
        <v>247</v>
      </c>
      <c r="C80" s="33" t="s">
        <v>235</v>
      </c>
      <c r="D80" s="27">
        <v>1456910567</v>
      </c>
      <c r="E80" s="27">
        <v>19644424</v>
      </c>
      <c r="F80" s="27"/>
      <c r="G80" s="27">
        <v>3616200</v>
      </c>
      <c r="H80" s="29">
        <f t="shared" si="25"/>
        <v>16028224</v>
      </c>
      <c r="I80" s="27">
        <v>1533612921</v>
      </c>
      <c r="J80" s="30">
        <f t="shared" si="26"/>
        <v>5.2815463696114272E-3</v>
      </c>
      <c r="K80" s="27">
        <v>1594598704</v>
      </c>
      <c r="L80" s="30">
        <f t="shared" si="27"/>
        <v>5.7705538492241679E-3</v>
      </c>
      <c r="M80" s="30">
        <f t="shared" si="28"/>
        <v>3.9766085799690522E-2</v>
      </c>
      <c r="N80" s="51">
        <f t="shared" si="33"/>
        <v>2.2677805964151842E-3</v>
      </c>
      <c r="O80" s="52">
        <f t="shared" si="34"/>
        <v>1.0051572197941533E-2</v>
      </c>
      <c r="P80" s="64">
        <f t="shared" si="35"/>
        <v>103.54006564209145</v>
      </c>
      <c r="Q80" s="64">
        <f t="shared" si="36"/>
        <v>1.0407404451810878</v>
      </c>
      <c r="R80" s="27">
        <v>104</v>
      </c>
      <c r="S80" s="27">
        <v>104</v>
      </c>
      <c r="T80" s="27">
        <v>347</v>
      </c>
      <c r="U80" s="27">
        <v>14978273</v>
      </c>
      <c r="V80" s="27">
        <v>15400789</v>
      </c>
    </row>
    <row r="81" spans="1:22" ht="14.25">
      <c r="A81" s="55">
        <v>71</v>
      </c>
      <c r="B81" s="25" t="s">
        <v>120</v>
      </c>
      <c r="C81" s="25" t="s">
        <v>40</v>
      </c>
      <c r="D81" s="27">
        <v>58664190.57</v>
      </c>
      <c r="E81" s="27">
        <v>999637.17</v>
      </c>
      <c r="F81" s="27"/>
      <c r="G81" s="27">
        <v>162826.54</v>
      </c>
      <c r="H81" s="29">
        <f t="shared" si="25"/>
        <v>836810.63</v>
      </c>
      <c r="I81" s="27">
        <v>57638450.390000001</v>
      </c>
      <c r="J81" s="30">
        <f t="shared" si="26"/>
        <v>1.9849868518898118E-4</v>
      </c>
      <c r="K81" s="27">
        <v>69143509.319999993</v>
      </c>
      <c r="L81" s="30">
        <f t="shared" si="27"/>
        <v>2.502174013151544E-4</v>
      </c>
      <c r="M81" s="30">
        <f t="shared" si="28"/>
        <v>0.19960736022833928</v>
      </c>
      <c r="N81" s="51">
        <f t="shared" si="33"/>
        <v>2.3549070852974755E-3</v>
      </c>
      <c r="O81" s="52">
        <f t="shared" si="34"/>
        <v>1.2102518923753119E-2</v>
      </c>
      <c r="P81" s="64">
        <f t="shared" si="35"/>
        <v>15.068311749028711</v>
      </c>
      <c r="Q81" s="64">
        <f t="shared" si="36"/>
        <v>0.18236452809163142</v>
      </c>
      <c r="R81" s="27">
        <v>14.8</v>
      </c>
      <c r="S81" s="27">
        <v>15.09</v>
      </c>
      <c r="T81" s="27">
        <v>58</v>
      </c>
      <c r="U81" s="27">
        <v>4606318.95</v>
      </c>
      <c r="V81" s="27">
        <v>4588669.95</v>
      </c>
    </row>
    <row r="82" spans="1:22" ht="14.25">
      <c r="A82" s="55">
        <v>72</v>
      </c>
      <c r="B82" s="24" t="s">
        <v>121</v>
      </c>
      <c r="C82" s="24" t="s">
        <v>122</v>
      </c>
      <c r="D82" s="27">
        <v>7207714669.0799999</v>
      </c>
      <c r="E82" s="27">
        <v>85824609.590000004</v>
      </c>
      <c r="F82" s="27"/>
      <c r="G82" s="27">
        <v>10130987.77</v>
      </c>
      <c r="H82" s="29">
        <f t="shared" si="25"/>
        <v>75693621.820000008</v>
      </c>
      <c r="I82" s="27">
        <v>7173401506</v>
      </c>
      <c r="J82" s="30">
        <f t="shared" si="26"/>
        <v>2.4704181976424183E-2</v>
      </c>
      <c r="K82" s="27">
        <v>7132255637</v>
      </c>
      <c r="L82" s="30">
        <f t="shared" si="27"/>
        <v>2.5810296419092736E-2</v>
      </c>
      <c r="M82" s="30">
        <f t="shared" si="28"/>
        <v>-5.735893768888391E-3</v>
      </c>
      <c r="N82" s="51">
        <f t="shared" si="33"/>
        <v>1.4204465299089222E-3</v>
      </c>
      <c r="O82" s="52">
        <f t="shared" si="34"/>
        <v>1.061285877462443E-2</v>
      </c>
      <c r="P82" s="64">
        <f t="shared" si="35"/>
        <v>1.0299999999884468</v>
      </c>
      <c r="Q82" s="64">
        <f t="shared" si="36"/>
        <v>1.0931244537740551E-2</v>
      </c>
      <c r="R82" s="27">
        <v>1.03</v>
      </c>
      <c r="S82" s="27">
        <v>1.03</v>
      </c>
      <c r="T82" s="29">
        <v>3996</v>
      </c>
      <c r="U82" s="27">
        <v>7032746574</v>
      </c>
      <c r="V82" s="27">
        <v>6924520036</v>
      </c>
    </row>
    <row r="83" spans="1:22" ht="14.25">
      <c r="A83" s="55">
        <v>73</v>
      </c>
      <c r="B83" s="25" t="s">
        <v>123</v>
      </c>
      <c r="C83" s="24" t="s">
        <v>44</v>
      </c>
      <c r="D83" s="27">
        <v>19303848392.02</v>
      </c>
      <c r="E83" s="27">
        <v>213822897.16</v>
      </c>
      <c r="F83" s="27"/>
      <c r="G83" s="27">
        <v>24459143.129999999</v>
      </c>
      <c r="H83" s="29">
        <f t="shared" si="25"/>
        <v>189363754.03</v>
      </c>
      <c r="I83" s="37">
        <v>21452185271.689999</v>
      </c>
      <c r="J83" s="30">
        <f t="shared" si="26"/>
        <v>7.3878297248596306E-2</v>
      </c>
      <c r="K83" s="27">
        <v>19392229512.950001</v>
      </c>
      <c r="L83" s="30">
        <f t="shared" si="27"/>
        <v>7.0176844105218919E-2</v>
      </c>
      <c r="M83" s="30">
        <f t="shared" si="28"/>
        <v>-9.6025450677907326E-2</v>
      </c>
      <c r="N83" s="51">
        <f t="shared" si="33"/>
        <v>1.2612857698320013E-3</v>
      </c>
      <c r="O83" s="52">
        <f t="shared" si="34"/>
        <v>9.764929499392741E-3</v>
      </c>
      <c r="P83" s="64">
        <f t="shared" si="35"/>
        <v>5121.4228486296033</v>
      </c>
      <c r="Q83" s="64">
        <f t="shared" si="36"/>
        <v>50.010333053447226</v>
      </c>
      <c r="R83" s="27">
        <v>5121.42</v>
      </c>
      <c r="S83" s="27">
        <v>5121.42</v>
      </c>
      <c r="T83" s="27">
        <v>402</v>
      </c>
      <c r="U83" s="27">
        <v>4214101.58</v>
      </c>
      <c r="V83" s="27">
        <v>3786492.56</v>
      </c>
    </row>
    <row r="84" spans="1:22" ht="14.25">
      <c r="A84" s="55">
        <v>74</v>
      </c>
      <c r="B84" s="24" t="s">
        <v>124</v>
      </c>
      <c r="C84" s="24" t="s">
        <v>44</v>
      </c>
      <c r="D84" s="27">
        <v>39130578789.849998</v>
      </c>
      <c r="E84" s="27">
        <v>297564228.06999999</v>
      </c>
      <c r="F84" s="27"/>
      <c r="G84" s="27">
        <v>60071934.25</v>
      </c>
      <c r="H84" s="29">
        <f t="shared" si="25"/>
        <v>237492293.81999999</v>
      </c>
      <c r="I84" s="37">
        <v>35315925659.040001</v>
      </c>
      <c r="J84" s="30">
        <f t="shared" si="26"/>
        <v>0.1216230617256059</v>
      </c>
      <c r="K84" s="27">
        <v>39077060855.800003</v>
      </c>
      <c r="L84" s="30">
        <f t="shared" si="27"/>
        <v>0.14141255939325267</v>
      </c>
      <c r="M84" s="30">
        <f t="shared" si="28"/>
        <v>0.1064996917558423</v>
      </c>
      <c r="N84" s="51">
        <f t="shared" si="33"/>
        <v>1.5372684878137103E-3</v>
      </c>
      <c r="O84" s="52">
        <f t="shared" si="34"/>
        <v>6.0775372717098873E-3</v>
      </c>
      <c r="P84" s="64">
        <f t="shared" si="35"/>
        <v>257.83833560333289</v>
      </c>
      <c r="Q84" s="64">
        <f t="shared" si="36"/>
        <v>1.5670220947048981</v>
      </c>
      <c r="R84" s="27">
        <v>257.83999999999997</v>
      </c>
      <c r="S84" s="27">
        <v>257.83999999999997</v>
      </c>
      <c r="T84" s="27">
        <v>6639</v>
      </c>
      <c r="U84" s="27">
        <v>137110576.69</v>
      </c>
      <c r="V84" s="27">
        <v>151556442.38999999</v>
      </c>
    </row>
    <row r="85" spans="1:22" ht="14.25">
      <c r="A85" s="55">
        <v>75</v>
      </c>
      <c r="B85" s="25" t="s">
        <v>125</v>
      </c>
      <c r="C85" s="24" t="s">
        <v>44</v>
      </c>
      <c r="D85" s="27">
        <v>347049532.31</v>
      </c>
      <c r="E85" s="27">
        <v>3647050.78</v>
      </c>
      <c r="F85" s="27"/>
      <c r="G85" s="27">
        <v>362335.65</v>
      </c>
      <c r="H85" s="29">
        <f t="shared" si="25"/>
        <v>3284715.13</v>
      </c>
      <c r="I85" s="37">
        <v>310057474.75999999</v>
      </c>
      <c r="J85" s="30">
        <f t="shared" si="26"/>
        <v>1.0677941661588052E-3</v>
      </c>
      <c r="K85" s="27">
        <v>350235536.55000001</v>
      </c>
      <c r="L85" s="30">
        <f t="shared" si="27"/>
        <v>1.2674367654407013E-3</v>
      </c>
      <c r="M85" s="30">
        <f t="shared" si="28"/>
        <v>0.1295826259989373</v>
      </c>
      <c r="N85" s="51">
        <f t="shared" si="33"/>
        <v>1.0345485028994839E-3</v>
      </c>
      <c r="O85" s="52">
        <f t="shared" si="34"/>
        <v>9.3785889414767318E-3</v>
      </c>
      <c r="P85" s="64">
        <f t="shared" si="35"/>
        <v>5671.0710411739192</v>
      </c>
      <c r="Q85" s="64">
        <f t="shared" si="36"/>
        <v>53.186644153082653</v>
      </c>
      <c r="R85" s="27">
        <v>5656.33</v>
      </c>
      <c r="S85" s="27">
        <v>5681.18</v>
      </c>
      <c r="T85" s="27">
        <v>16</v>
      </c>
      <c r="U85" s="27">
        <v>56376.67</v>
      </c>
      <c r="V85" s="27">
        <v>61758.27</v>
      </c>
    </row>
    <row r="86" spans="1:22" ht="14.25">
      <c r="A86" s="55">
        <v>76</v>
      </c>
      <c r="B86" s="24" t="s">
        <v>126</v>
      </c>
      <c r="C86" s="24" t="s">
        <v>44</v>
      </c>
      <c r="D86" s="27">
        <v>15546779694.780001</v>
      </c>
      <c r="E86" s="27">
        <v>164622792.03</v>
      </c>
      <c r="F86" s="27"/>
      <c r="G86" s="27">
        <v>22808725.129999999</v>
      </c>
      <c r="H86" s="29">
        <f t="shared" si="25"/>
        <v>141814066.90000001</v>
      </c>
      <c r="I86" s="37">
        <v>16421315640.52</v>
      </c>
      <c r="J86" s="30">
        <f t="shared" si="26"/>
        <v>5.6552692545703817E-2</v>
      </c>
      <c r="K86" s="27">
        <v>15839315324.469999</v>
      </c>
      <c r="L86" s="30">
        <f t="shared" si="27"/>
        <v>5.731951354620924E-2</v>
      </c>
      <c r="M86" s="30">
        <f t="shared" si="28"/>
        <v>-3.5441759283519343E-2</v>
      </c>
      <c r="N86" s="51">
        <f t="shared" si="33"/>
        <v>1.440007011841164E-3</v>
      </c>
      <c r="O86" s="52">
        <f t="shared" si="34"/>
        <v>8.9532952652892055E-3</v>
      </c>
      <c r="P86" s="64">
        <f t="shared" si="35"/>
        <v>128.96979035993928</v>
      </c>
      <c r="Q86" s="64">
        <f t="shared" si="36"/>
        <v>1.1547046133949859</v>
      </c>
      <c r="R86" s="27">
        <v>128.97</v>
      </c>
      <c r="S86" s="27">
        <v>128.97</v>
      </c>
      <c r="T86" s="27">
        <v>4342</v>
      </c>
      <c r="U86" s="27">
        <v>128360952.62</v>
      </c>
      <c r="V86" s="27">
        <v>122814151.13</v>
      </c>
    </row>
    <row r="87" spans="1:22" ht="14.25">
      <c r="A87" s="55">
        <v>77</v>
      </c>
      <c r="B87" s="24" t="s">
        <v>127</v>
      </c>
      <c r="C87" s="24" t="s">
        <v>44</v>
      </c>
      <c r="D87" s="27">
        <v>12859156875.18</v>
      </c>
      <c r="E87" s="27">
        <v>95806220.310000002</v>
      </c>
      <c r="F87" s="27"/>
      <c r="G87" s="27">
        <v>22358926</v>
      </c>
      <c r="H87" s="29">
        <f t="shared" si="25"/>
        <v>73447294.310000002</v>
      </c>
      <c r="I87" s="37">
        <v>13261156303.209999</v>
      </c>
      <c r="J87" s="30">
        <f t="shared" si="26"/>
        <v>4.5669549969883476E-2</v>
      </c>
      <c r="K87" s="27">
        <v>12944724403.84</v>
      </c>
      <c r="L87" s="30">
        <f t="shared" si="27"/>
        <v>4.6844531510245681E-2</v>
      </c>
      <c r="M87" s="30">
        <f t="shared" si="28"/>
        <v>-2.3861561702081993E-2</v>
      </c>
      <c r="N87" s="51">
        <f t="shared" si="33"/>
        <v>1.7272616474837668E-3</v>
      </c>
      <c r="O87" s="52">
        <f t="shared" si="34"/>
        <v>5.673917189632261E-3</v>
      </c>
      <c r="P87" s="64">
        <f t="shared" si="35"/>
        <v>359.00359478632134</v>
      </c>
      <c r="Q87" s="64">
        <f t="shared" si="36"/>
        <v>2.0369566675978836</v>
      </c>
      <c r="R87" s="27">
        <v>358.84</v>
      </c>
      <c r="S87" s="27">
        <v>359.12</v>
      </c>
      <c r="T87" s="27">
        <v>10254</v>
      </c>
      <c r="U87" s="27">
        <v>37325042.009999998</v>
      </c>
      <c r="V87" s="27">
        <v>36057367.090000004</v>
      </c>
    </row>
    <row r="88" spans="1:22" ht="14.25">
      <c r="A88" s="55">
        <v>78</v>
      </c>
      <c r="B88" s="24" t="s">
        <v>128</v>
      </c>
      <c r="C88" s="24" t="s">
        <v>48</v>
      </c>
      <c r="D88" s="27">
        <v>92880569756</v>
      </c>
      <c r="E88" s="50">
        <v>610456090</v>
      </c>
      <c r="F88" s="50"/>
      <c r="G88" s="50">
        <v>143881658</v>
      </c>
      <c r="H88" s="29">
        <f t="shared" si="25"/>
        <v>466574432</v>
      </c>
      <c r="I88" s="50">
        <v>103823240158</v>
      </c>
      <c r="J88" s="30">
        <f t="shared" si="26"/>
        <v>0.35755258033443515</v>
      </c>
      <c r="K88" s="50">
        <v>94344035700</v>
      </c>
      <c r="L88" s="30">
        <f t="shared" si="27"/>
        <v>0.34141338318808595</v>
      </c>
      <c r="M88" s="30">
        <f t="shared" si="28"/>
        <v>-9.1301373792364623E-2</v>
      </c>
      <c r="N88" s="51">
        <f t="shared" si="33"/>
        <v>1.5250742342369397E-3</v>
      </c>
      <c r="O88" s="52">
        <f t="shared" si="34"/>
        <v>4.9454576385054936E-3</v>
      </c>
      <c r="P88" s="64">
        <f t="shared" si="35"/>
        <v>2.0822646718528248</v>
      </c>
      <c r="Q88" s="64">
        <f t="shared" si="36"/>
        <v>1.0297751726804688E-2</v>
      </c>
      <c r="R88" s="27">
        <v>2.08</v>
      </c>
      <c r="S88" s="27">
        <v>2.04</v>
      </c>
      <c r="T88" s="27">
        <v>1777</v>
      </c>
      <c r="U88" s="50">
        <v>48693208560</v>
      </c>
      <c r="V88" s="50">
        <v>45308378409</v>
      </c>
    </row>
    <row r="89" spans="1:22" ht="14.25">
      <c r="A89" s="55">
        <v>79</v>
      </c>
      <c r="B89" s="32" t="s">
        <v>236</v>
      </c>
      <c r="C89" s="32" t="s">
        <v>237</v>
      </c>
      <c r="D89" s="27">
        <v>83745903.260000005</v>
      </c>
      <c r="E89" s="50">
        <v>1010162.9</v>
      </c>
      <c r="F89" s="50"/>
      <c r="G89" s="50">
        <v>419570.14</v>
      </c>
      <c r="H89" s="29">
        <f t="shared" si="25"/>
        <v>590592.76</v>
      </c>
      <c r="I89" s="27">
        <v>83086087.290000007</v>
      </c>
      <c r="J89" s="30">
        <f t="shared" si="26"/>
        <v>2.8613675372895326E-4</v>
      </c>
      <c r="K89" s="50">
        <v>84203163.629999995</v>
      </c>
      <c r="L89" s="30">
        <f t="shared" si="27"/>
        <v>3.0471546777448587E-4</v>
      </c>
      <c r="M89" s="30">
        <f t="shared" si="28"/>
        <v>1.3444806181581217E-2</v>
      </c>
      <c r="N89" s="51">
        <f t="shared" si="33"/>
        <v>4.9828310708567615E-3</v>
      </c>
      <c r="O89" s="52">
        <f t="shared" si="34"/>
        <v>7.0139022637574983E-3</v>
      </c>
      <c r="P89" s="64">
        <f t="shared" si="35"/>
        <v>103.57816980191049</v>
      </c>
      <c r="Q89" s="64">
        <f t="shared" si="36"/>
        <v>0.72648715964947852</v>
      </c>
      <c r="R89" s="27">
        <v>103.57822</v>
      </c>
      <c r="S89" s="27">
        <v>103.57822</v>
      </c>
      <c r="T89" s="27">
        <v>61</v>
      </c>
      <c r="U89" s="50">
        <v>807704.87</v>
      </c>
      <c r="V89" s="50">
        <v>812943.15</v>
      </c>
    </row>
    <row r="90" spans="1:22" ht="14.25">
      <c r="A90" s="55">
        <v>80</v>
      </c>
      <c r="B90" s="25" t="s">
        <v>129</v>
      </c>
      <c r="C90" s="25" t="s">
        <v>95</v>
      </c>
      <c r="D90" s="50">
        <v>2547910665.46</v>
      </c>
      <c r="E90" s="50">
        <v>23266754.02</v>
      </c>
      <c r="F90" s="50"/>
      <c r="G90" s="27">
        <v>4475266.93</v>
      </c>
      <c r="H90" s="29">
        <f t="shared" si="25"/>
        <v>18791487.09</v>
      </c>
      <c r="I90" s="50">
        <v>2577074093.9000001</v>
      </c>
      <c r="J90" s="30">
        <f t="shared" si="26"/>
        <v>8.8750793231333266E-3</v>
      </c>
      <c r="K90" s="50">
        <v>2553294682.8200002</v>
      </c>
      <c r="L90" s="30">
        <f t="shared" si="27"/>
        <v>9.2398949172547134E-3</v>
      </c>
      <c r="M90" s="30">
        <f t="shared" si="28"/>
        <v>-9.2272904129091175E-3</v>
      </c>
      <c r="N90" s="51">
        <f t="shared" si="33"/>
        <v>1.7527420395742441E-3</v>
      </c>
      <c r="O90" s="52">
        <f t="shared" si="34"/>
        <v>7.3597016499660902E-3</v>
      </c>
      <c r="P90" s="64">
        <f t="shared" si="35"/>
        <v>25.747307478461146</v>
      </c>
      <c r="Q90" s="64">
        <f t="shared" si="36"/>
        <v>0.18949250133141476</v>
      </c>
      <c r="R90" s="27">
        <v>25.747299999999999</v>
      </c>
      <c r="S90" s="27">
        <v>25.747299999999999</v>
      </c>
      <c r="T90" s="50">
        <v>1317</v>
      </c>
      <c r="U90" s="27">
        <v>99924690.170000002</v>
      </c>
      <c r="V90" s="27">
        <v>99167444.400000006</v>
      </c>
    </row>
    <row r="91" spans="1:22" ht="13.5">
      <c r="A91" s="98" t="s">
        <v>49</v>
      </c>
      <c r="B91" s="98"/>
      <c r="C91" s="98"/>
      <c r="D91" s="98"/>
      <c r="E91" s="98"/>
      <c r="F91" s="98"/>
      <c r="G91" s="98"/>
      <c r="H91" s="98"/>
      <c r="I91" s="56">
        <f>SUM(I59:I90)</f>
        <v>290371950499.95001</v>
      </c>
      <c r="J91" s="104">
        <f>(I91/$I$185)</f>
        <v>0.1013116732705929</v>
      </c>
      <c r="K91" s="58">
        <f>SUM(K59:K90)</f>
        <v>276333736009.48004</v>
      </c>
      <c r="L91" s="104">
        <f>(K91/$K$185)</f>
        <v>0.10429131444930749</v>
      </c>
      <c r="M91" s="57">
        <f t="shared" si="28"/>
        <v>-4.8345628654212547E-2</v>
      </c>
      <c r="N91" s="51"/>
      <c r="O91" s="51"/>
      <c r="P91" s="65"/>
      <c r="Q91" s="65"/>
      <c r="R91" s="58"/>
      <c r="S91" s="58"/>
      <c r="T91" s="58">
        <f>SUM(T59:T90)</f>
        <v>45197</v>
      </c>
      <c r="U91" s="58"/>
      <c r="V91" s="58"/>
    </row>
    <row r="92" spans="1:22" ht="6.95" customHeight="1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</row>
    <row r="93" spans="1:22">
      <c r="A93" s="96" t="s">
        <v>130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</row>
    <row r="94" spans="1:22" ht="13.5">
      <c r="A94" s="99" t="s">
        <v>131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</row>
    <row r="95" spans="1:22" ht="14.25">
      <c r="A95" s="34">
        <v>81</v>
      </c>
      <c r="B95" s="24" t="s">
        <v>132</v>
      </c>
      <c r="C95" s="24" t="s">
        <v>20</v>
      </c>
      <c r="D95" s="27">
        <v>2314336316.9200001</v>
      </c>
      <c r="E95" s="27">
        <v>15574938.689999999</v>
      </c>
      <c r="F95" s="27">
        <v>135055710.71000001</v>
      </c>
      <c r="G95" s="27">
        <v>4578129.7</v>
      </c>
      <c r="H95" s="29">
        <f t="shared" ref="H95:H109" si="37">(E95+F95)-G95</f>
        <v>146052519.70000002</v>
      </c>
      <c r="I95" s="36">
        <v>2632635391.5700002</v>
      </c>
      <c r="J95" s="30">
        <f t="shared" ref="J95:J109" si="38">(I95/$I$122)</f>
        <v>1.8972759415787834E-3</v>
      </c>
      <c r="K95" s="36">
        <v>2360888193.6100001</v>
      </c>
      <c r="L95" s="30">
        <f t="shared" ref="L95:L109" si="39">(K95/$K$122)</f>
        <v>1.9244425254502427E-3</v>
      </c>
      <c r="M95" s="30">
        <f t="shared" ref="M95:M109" si="40">((K95-I95)/I95)</f>
        <v>-0.10322249667772669</v>
      </c>
      <c r="N95" s="51">
        <f t="shared" ref="N95" si="41">(G95/K95)</f>
        <v>1.9391556586166193E-3</v>
      </c>
      <c r="O95" s="52">
        <f t="shared" ref="O95" si="42">H95/K95</f>
        <v>6.1863378407883522E-2</v>
      </c>
      <c r="P95" s="64">
        <f t="shared" ref="P95" si="43">K95/V95</f>
        <v>145282.1193369751</v>
      </c>
      <c r="Q95" s="64">
        <f t="shared" ref="Q95" si="44">H95/V95</f>
        <v>8987.6427244425831</v>
      </c>
      <c r="R95" s="27">
        <f>109.21*1330.76</f>
        <v>145332.2996</v>
      </c>
      <c r="S95" s="27">
        <f>109.21*1330.76</f>
        <v>145332.2996</v>
      </c>
      <c r="T95" s="27">
        <v>238</v>
      </c>
      <c r="U95" s="27">
        <v>15653.96</v>
      </c>
      <c r="V95" s="27">
        <v>16250.37</v>
      </c>
    </row>
    <row r="96" spans="1:22" ht="14.25">
      <c r="A96" s="34">
        <v>82</v>
      </c>
      <c r="B96" s="32" t="s">
        <v>253</v>
      </c>
      <c r="C96" s="33" t="s">
        <v>53</v>
      </c>
      <c r="D96" s="27">
        <f>(856850.67+367817.95)*1330.76</f>
        <v>1629740012.7512002</v>
      </c>
      <c r="E96" s="27">
        <f>4086.72*1330.76</f>
        <v>5438443.5071999999</v>
      </c>
      <c r="F96" s="27"/>
      <c r="G96" s="27">
        <f>1002.78*1330.76</f>
        <v>1334459.5127999999</v>
      </c>
      <c r="H96" s="29">
        <f t="shared" si="37"/>
        <v>4103983.9944000002</v>
      </c>
      <c r="I96" s="36">
        <v>0</v>
      </c>
      <c r="J96" s="30">
        <f t="shared" si="38"/>
        <v>0</v>
      </c>
      <c r="K96" s="36">
        <f>1227263.35*1330.76</f>
        <v>1633192975.6460001</v>
      </c>
      <c r="L96" s="30">
        <f t="shared" si="39"/>
        <v>1.3312727062241311E-3</v>
      </c>
      <c r="M96" s="30" t="e">
        <f t="shared" si="40"/>
        <v>#DIV/0!</v>
      </c>
      <c r="N96" s="51">
        <f t="shared" ref="N96:N109" si="45">(G96/K96)</f>
        <v>8.170862431441466E-4</v>
      </c>
      <c r="O96" s="52">
        <f t="shared" ref="O96:O109" si="46">H96/K96</f>
        <v>2.5128592001056661E-3</v>
      </c>
      <c r="P96" s="64">
        <f t="shared" ref="P96:P109" si="47">K96/V96</f>
        <v>133432.9789413226</v>
      </c>
      <c r="Q96" s="64">
        <f t="shared" ref="Q96:Q109" si="48">H96/V96</f>
        <v>335.29828873020807</v>
      </c>
      <c r="R96" s="27">
        <f>100*1330.76</f>
        <v>133076</v>
      </c>
      <c r="S96" s="27">
        <f>100*1330.76</f>
        <v>133076</v>
      </c>
      <c r="T96" s="27">
        <v>9</v>
      </c>
      <c r="U96" s="27">
        <v>719.8</v>
      </c>
      <c r="V96" s="27">
        <v>12239.8</v>
      </c>
    </row>
    <row r="97" spans="1:76" ht="12.95" customHeight="1">
      <c r="A97" s="34">
        <v>83</v>
      </c>
      <c r="B97" s="24" t="s">
        <v>133</v>
      </c>
      <c r="C97" s="25" t="s">
        <v>24</v>
      </c>
      <c r="D97" s="27">
        <f>9283480.74*1330.76</f>
        <v>12354084829.562401</v>
      </c>
      <c r="E97" s="36">
        <f>74562.1*1330.76</f>
        <v>99224260.19600001</v>
      </c>
      <c r="F97" s="36"/>
      <c r="G97" s="36">
        <f>19475.2*1330.76</f>
        <v>25916817.152000003</v>
      </c>
      <c r="H97" s="29">
        <f t="shared" si="37"/>
        <v>73307443.044</v>
      </c>
      <c r="I97" s="36">
        <f>10924639*1544.581</f>
        <v>16873989831.258999</v>
      </c>
      <c r="J97" s="30">
        <f t="shared" si="38"/>
        <v>1.216067179215443E-2</v>
      </c>
      <c r="K97" s="36">
        <f>10999033*1330.76</f>
        <v>14637073155.08</v>
      </c>
      <c r="L97" s="30">
        <f t="shared" si="39"/>
        <v>1.1931190178341529E-2</v>
      </c>
      <c r="M97" s="30">
        <f t="shared" si="40"/>
        <v>-0.13256596089889303</v>
      </c>
      <c r="N97" s="51">
        <f t="shared" si="45"/>
        <v>1.7706283816040921E-3</v>
      </c>
      <c r="O97" s="52">
        <f t="shared" si="46"/>
        <v>5.0083402786408587E-3</v>
      </c>
      <c r="P97" s="64">
        <f t="shared" si="47"/>
        <v>1484.5571788057371</v>
      </c>
      <c r="Q97" s="64">
        <f t="shared" si="48"/>
        <v>7.4351675145582128</v>
      </c>
      <c r="R97" s="27">
        <f>1.1156*1330.76</f>
        <v>1484.5958559999999</v>
      </c>
      <c r="S97" s="27">
        <f>1.1156*1330.76</f>
        <v>1484.5958559999999</v>
      </c>
      <c r="T97" s="27">
        <v>298</v>
      </c>
      <c r="U97" s="27">
        <v>9814854</v>
      </c>
      <c r="V97" s="27">
        <v>9859555</v>
      </c>
    </row>
    <row r="98" spans="1:76" ht="12.95" customHeight="1">
      <c r="A98" s="34">
        <v>84</v>
      </c>
      <c r="B98" s="32" t="s">
        <v>225</v>
      </c>
      <c r="C98" s="33" t="s">
        <v>103</v>
      </c>
      <c r="D98" s="27">
        <f>1362805.4*1330.76</f>
        <v>1813566914.1039999</v>
      </c>
      <c r="E98" s="36">
        <f>8831.55*1330.76</f>
        <v>11752673.477999998</v>
      </c>
      <c r="F98" s="36"/>
      <c r="G98" s="36">
        <f>1955.7*1330.76</f>
        <v>2602567.3319999999</v>
      </c>
      <c r="H98" s="29">
        <f t="shared" si="37"/>
        <v>9150106.1459999979</v>
      </c>
      <c r="I98" s="36">
        <f>1380091.22*1544.581</f>
        <v>2131662676.6788199</v>
      </c>
      <c r="J98" s="30">
        <f t="shared" si="38"/>
        <v>1.5362371580108043E-3</v>
      </c>
      <c r="K98" s="36">
        <f>1387241.52*1330.76</f>
        <v>1846085525.1552</v>
      </c>
      <c r="L98" s="30">
        <f t="shared" si="39"/>
        <v>1.5048088680533619E-3</v>
      </c>
      <c r="M98" s="30">
        <f t="shared" si="40"/>
        <v>-0.13396920378066371</v>
      </c>
      <c r="N98" s="51">
        <f t="shared" si="45"/>
        <v>1.4097761433784074E-3</v>
      </c>
      <c r="O98" s="52">
        <f t="shared" si="46"/>
        <v>4.9564909216385034E-3</v>
      </c>
      <c r="P98" s="64">
        <f t="shared" si="47"/>
        <v>1338.5209506347339</v>
      </c>
      <c r="Q98" s="64">
        <f t="shared" si="48"/>
        <v>6.6343669402439982</v>
      </c>
      <c r="R98" s="27">
        <f>1.0058*1330.76</f>
        <v>1338.4784079999999</v>
      </c>
      <c r="S98" s="27">
        <f>1.0058*1330.76</f>
        <v>1338.4784079999999</v>
      </c>
      <c r="T98" s="27">
        <v>182</v>
      </c>
      <c r="U98" s="27">
        <v>1378902.93</v>
      </c>
      <c r="V98" s="27">
        <v>1379198.08</v>
      </c>
    </row>
    <row r="99" spans="1:76" ht="12.95" customHeight="1">
      <c r="A99" s="34">
        <v>85</v>
      </c>
      <c r="B99" s="32" t="s">
        <v>226</v>
      </c>
      <c r="C99" s="33" t="s">
        <v>227</v>
      </c>
      <c r="D99" s="27">
        <f>310061.67*1330.76</f>
        <v>412617667.96919996</v>
      </c>
      <c r="E99" s="36">
        <f>5491.18*1330.76</f>
        <v>7307442.6968</v>
      </c>
      <c r="F99" s="36"/>
      <c r="G99" s="36">
        <f>689.34*1330.76</f>
        <v>917346.09840000002</v>
      </c>
      <c r="H99" s="29">
        <f t="shared" si="37"/>
        <v>6390096.5984000005</v>
      </c>
      <c r="I99" s="36">
        <f>258449.79*1544.581</f>
        <v>399196635.08798999</v>
      </c>
      <c r="J99" s="30">
        <f t="shared" si="38"/>
        <v>2.8769125194354125E-4</v>
      </c>
      <c r="K99" s="36">
        <f>309372.33*1330.76</f>
        <v>411700321.87080002</v>
      </c>
      <c r="L99" s="30">
        <f t="shared" si="39"/>
        <v>3.3559132926927617E-4</v>
      </c>
      <c r="M99" s="30">
        <f t="shared" si="40"/>
        <v>3.1322124696902813E-2</v>
      </c>
      <c r="N99" s="51">
        <f t="shared" si="45"/>
        <v>2.2281889269153451E-3</v>
      </c>
      <c r="O99" s="52">
        <f t="shared" si="46"/>
        <v>1.552123294284269E-2</v>
      </c>
      <c r="P99" s="64">
        <f t="shared" si="47"/>
        <v>1420.1771935133588</v>
      </c>
      <c r="Q99" s="64">
        <f t="shared" si="48"/>
        <v>22.042901040633424</v>
      </c>
      <c r="R99" s="27">
        <v>1330.76</v>
      </c>
      <c r="S99" s="27">
        <v>1330.76</v>
      </c>
      <c r="T99" s="27">
        <v>11</v>
      </c>
      <c r="U99" s="27">
        <f>V99-46102.12</f>
        <v>243791.51</v>
      </c>
      <c r="V99" s="27">
        <v>289893.63</v>
      </c>
    </row>
    <row r="100" spans="1:76" ht="12.95" customHeight="1">
      <c r="A100" s="34">
        <v>86</v>
      </c>
      <c r="B100" s="32" t="s">
        <v>228</v>
      </c>
      <c r="C100" s="33" t="s">
        <v>46</v>
      </c>
      <c r="D100" s="27">
        <f>(381906.89+9859.9)*1330.76</f>
        <v>521347573.46040004</v>
      </c>
      <c r="E100" s="36">
        <f>2772.78*1330.76</f>
        <v>3689904.7128000003</v>
      </c>
      <c r="F100" s="36"/>
      <c r="G100" s="36">
        <f>369.74*1330.76</f>
        <v>492035.20240000001</v>
      </c>
      <c r="H100" s="29">
        <f t="shared" si="37"/>
        <v>3197869.5104000005</v>
      </c>
      <c r="I100" s="36">
        <f>471736.97*1544.581</f>
        <v>728635960.85956991</v>
      </c>
      <c r="J100" s="30">
        <f t="shared" si="38"/>
        <v>5.2511011708445473E-4</v>
      </c>
      <c r="K100" s="36">
        <f>387763.04*1330.76</f>
        <v>516019543.11039996</v>
      </c>
      <c r="L100" s="30">
        <f t="shared" si="39"/>
        <v>4.2062557448203426E-4</v>
      </c>
      <c r="M100" s="30">
        <f t="shared" si="40"/>
        <v>-0.2918006098660666</v>
      </c>
      <c r="N100" s="51">
        <f t="shared" si="45"/>
        <v>9.5352047993021722E-4</v>
      </c>
      <c r="O100" s="52">
        <f t="shared" si="46"/>
        <v>6.1971868180113309E-3</v>
      </c>
      <c r="P100" s="64">
        <f t="shared" si="47"/>
        <v>1499.5096647014145</v>
      </c>
      <c r="Q100" s="64">
        <f t="shared" si="48"/>
        <v>9.2927415275681984</v>
      </c>
      <c r="R100" s="27">
        <f>1.1268 *1330.76</f>
        <v>1499.500368</v>
      </c>
      <c r="S100" s="27">
        <f>1.1268 *1330.76</f>
        <v>1499.500368</v>
      </c>
      <c r="T100" s="27">
        <v>28</v>
      </c>
      <c r="U100" s="27">
        <v>339856.02</v>
      </c>
      <c r="V100" s="27">
        <v>344125.52</v>
      </c>
    </row>
    <row r="101" spans="1:76" ht="12.95" customHeight="1">
      <c r="A101" s="34">
        <v>87</v>
      </c>
      <c r="B101" s="32" t="s">
        <v>229</v>
      </c>
      <c r="C101" s="33" t="s">
        <v>170</v>
      </c>
      <c r="D101" s="27">
        <f>(334675.1+85325.83)*1330.76</f>
        <v>558920437.60679996</v>
      </c>
      <c r="E101" s="36">
        <f>2504*1330.76</f>
        <v>3332223.04</v>
      </c>
      <c r="F101" s="36">
        <v>0</v>
      </c>
      <c r="G101" s="36">
        <f>812.17*1330.76</f>
        <v>1080803.3491999998</v>
      </c>
      <c r="H101" s="29">
        <f t="shared" si="37"/>
        <v>2251419.6908</v>
      </c>
      <c r="I101" s="36">
        <f>408684.47*1544.581</f>
        <v>631246267.35706997</v>
      </c>
      <c r="J101" s="30">
        <f t="shared" si="38"/>
        <v>4.5492374679113732E-4</v>
      </c>
      <c r="K101" s="36">
        <f>419368.43*1330.76</f>
        <v>558078731.90680003</v>
      </c>
      <c r="L101" s="30">
        <f t="shared" si="39"/>
        <v>4.5490949005448997E-4</v>
      </c>
      <c r="M101" s="30">
        <f t="shared" si="40"/>
        <v>-0.11590965243503307</v>
      </c>
      <c r="N101" s="51">
        <f t="shared" si="45"/>
        <v>1.9366503100865266E-3</v>
      </c>
      <c r="O101" s="52">
        <f t="shared" si="46"/>
        <v>4.0342330966591832E-3</v>
      </c>
      <c r="P101" s="64">
        <f t="shared" si="47"/>
        <v>141000.18491834259</v>
      </c>
      <c r="Q101" s="64">
        <f t="shared" si="48"/>
        <v>568.82761263264274</v>
      </c>
      <c r="R101" s="27">
        <f>104.71*1330.76</f>
        <v>139343.87959999999</v>
      </c>
      <c r="S101" s="27">
        <f>105.95*1330.76</f>
        <v>140994.022</v>
      </c>
      <c r="T101" s="27">
        <v>33</v>
      </c>
      <c r="U101" s="27">
        <v>3880.91</v>
      </c>
      <c r="V101" s="27">
        <v>3958</v>
      </c>
    </row>
    <row r="102" spans="1:76" ht="15" customHeight="1">
      <c r="A102" s="34">
        <v>88</v>
      </c>
      <c r="B102" s="24" t="s">
        <v>134</v>
      </c>
      <c r="C102" s="25" t="s">
        <v>69</v>
      </c>
      <c r="D102" s="27">
        <f>332186.18*1330.76</f>
        <v>442060080.89679998</v>
      </c>
      <c r="E102" s="36">
        <f>19266.51*1330.76</f>
        <v>25639100.847599998</v>
      </c>
      <c r="F102" s="36"/>
      <c r="G102" s="36">
        <f>4705.89*1330.76</f>
        <v>6262410.1764000002</v>
      </c>
      <c r="H102" s="29">
        <f t="shared" si="37"/>
        <v>19376690.6712</v>
      </c>
      <c r="I102" s="37">
        <f>2775216.38*1544.581</f>
        <v>4286546491.4367795</v>
      </c>
      <c r="J102" s="30">
        <f t="shared" si="38"/>
        <v>3.0892092223267905E-3</v>
      </c>
      <c r="K102" s="27">
        <f>2748513.74*1330.76</f>
        <v>3657612144.6424003</v>
      </c>
      <c r="L102" s="30">
        <f t="shared" si="39"/>
        <v>2.9814475635926126E-3</v>
      </c>
      <c r="M102" s="30">
        <f t="shared" si="40"/>
        <v>-0.14672285674512089</v>
      </c>
      <c r="N102" s="51">
        <f t="shared" si="45"/>
        <v>1.7121580771140696E-3</v>
      </c>
      <c r="O102" s="52">
        <f t="shared" si="46"/>
        <v>5.2976340587622458E-3</v>
      </c>
      <c r="P102" s="64">
        <f t="shared" si="47"/>
        <v>145226.9598345079</v>
      </c>
      <c r="Q102" s="64">
        <f t="shared" si="48"/>
        <v>769.35928866978566</v>
      </c>
      <c r="R102" s="36">
        <f>109.12*1330.76</f>
        <v>145212.5312</v>
      </c>
      <c r="S102" s="36">
        <f>109.12*1330.76</f>
        <v>145212.5312</v>
      </c>
      <c r="T102" s="27">
        <v>47</v>
      </c>
      <c r="U102" s="27">
        <v>25565.67</v>
      </c>
      <c r="V102" s="27">
        <v>25185.49</v>
      </c>
    </row>
    <row r="103" spans="1:76" ht="15" customHeight="1">
      <c r="A103" s="34">
        <v>89</v>
      </c>
      <c r="B103" s="24" t="s">
        <v>135</v>
      </c>
      <c r="C103" s="24" t="s">
        <v>136</v>
      </c>
      <c r="D103" s="27">
        <v>43133364359.830002</v>
      </c>
      <c r="E103" s="27">
        <v>311331597.41000003</v>
      </c>
      <c r="F103" s="27"/>
      <c r="G103" s="27">
        <v>69295614.780000001</v>
      </c>
      <c r="H103" s="29">
        <f t="shared" si="37"/>
        <v>242035982.63000003</v>
      </c>
      <c r="I103" s="50">
        <v>52674822317.559998</v>
      </c>
      <c r="J103" s="30">
        <f t="shared" si="38"/>
        <v>3.7961456200907587E-2</v>
      </c>
      <c r="K103" s="50">
        <v>42613424192.699997</v>
      </c>
      <c r="L103" s="30">
        <f t="shared" si="39"/>
        <v>3.4735692225257901E-2</v>
      </c>
      <c r="M103" s="30">
        <f t="shared" si="40"/>
        <v>-0.19100962627273774</v>
      </c>
      <c r="N103" s="51">
        <f t="shared" si="45"/>
        <v>1.6261451899908777E-3</v>
      </c>
      <c r="O103" s="52">
        <f t="shared" si="46"/>
        <v>5.6798060051569997E-3</v>
      </c>
      <c r="P103" s="64">
        <f t="shared" si="47"/>
        <v>164214.21351411758</v>
      </c>
      <c r="Q103" s="64">
        <f t="shared" si="48"/>
        <v>932.70487604961875</v>
      </c>
      <c r="R103" s="50">
        <f>126.28*1330.76</f>
        <v>168048.37280000001</v>
      </c>
      <c r="S103" s="50">
        <f>126.28*1330.76</f>
        <v>168048.37280000001</v>
      </c>
      <c r="T103" s="27">
        <v>2098</v>
      </c>
      <c r="U103" s="27">
        <v>260898.64</v>
      </c>
      <c r="V103" s="27">
        <v>259499</v>
      </c>
    </row>
    <row r="104" spans="1:76" ht="14.25">
      <c r="A104" s="34">
        <v>90</v>
      </c>
      <c r="B104" s="24" t="s">
        <v>137</v>
      </c>
      <c r="C104" s="24" t="s">
        <v>136</v>
      </c>
      <c r="D104" s="27">
        <v>58413116839.769997</v>
      </c>
      <c r="E104" s="27">
        <v>448369384.08999997</v>
      </c>
      <c r="F104" s="27"/>
      <c r="G104" s="27">
        <v>90171493.920000002</v>
      </c>
      <c r="H104" s="29">
        <f t="shared" si="37"/>
        <v>358197890.16999996</v>
      </c>
      <c r="I104" s="50">
        <v>64827265026.099998</v>
      </c>
      <c r="J104" s="30">
        <f t="shared" si="38"/>
        <v>4.6719424454376005E-2</v>
      </c>
      <c r="K104" s="50">
        <v>58065068798.779999</v>
      </c>
      <c r="L104" s="30">
        <f t="shared" si="39"/>
        <v>4.733086807838275E-2</v>
      </c>
      <c r="M104" s="30">
        <f t="shared" si="40"/>
        <v>-0.10431099051606578</v>
      </c>
      <c r="N104" s="51">
        <f t="shared" si="45"/>
        <v>1.552938725216745E-3</v>
      </c>
      <c r="O104" s="52">
        <f t="shared" si="46"/>
        <v>6.1689049471603486E-3</v>
      </c>
      <c r="P104" s="64">
        <f t="shared" si="47"/>
        <v>149948.27106808801</v>
      </c>
      <c r="Q104" s="64">
        <f t="shared" si="48"/>
        <v>925.01663121006925</v>
      </c>
      <c r="R104" s="50">
        <f>114.52*1330.76</f>
        <v>152398.63519999999</v>
      </c>
      <c r="S104" s="50">
        <f>114.52*1330.76</f>
        <v>152398.63519999999</v>
      </c>
      <c r="T104" s="27">
        <v>352</v>
      </c>
      <c r="U104" s="50">
        <v>357830</v>
      </c>
      <c r="V104" s="50">
        <v>387234</v>
      </c>
    </row>
    <row r="105" spans="1:76" s="11" customFormat="1" ht="14.25">
      <c r="A105" s="34">
        <v>91</v>
      </c>
      <c r="B105" s="32" t="s">
        <v>138</v>
      </c>
      <c r="C105" s="33" t="s">
        <v>139</v>
      </c>
      <c r="D105" s="27">
        <f>100392.65*1330.76</f>
        <v>133598522.91399999</v>
      </c>
      <c r="E105" s="27">
        <f>11794.21*1330.76</f>
        <v>15695262.899599999</v>
      </c>
      <c r="F105" s="27"/>
      <c r="G105" s="27">
        <f>1648.7*1330.76</f>
        <v>2194024.0120000001</v>
      </c>
      <c r="H105" s="29">
        <f t="shared" si="37"/>
        <v>13501238.887599999</v>
      </c>
      <c r="I105" s="36">
        <f>116347.21*1544.581</f>
        <v>179707689.96901</v>
      </c>
      <c r="J105" s="30">
        <f t="shared" si="38"/>
        <v>1.2951093713420352E-4</v>
      </c>
      <c r="K105" s="36">
        <f>117280.8*1330.76</f>
        <v>156072597.40799999</v>
      </c>
      <c r="L105" s="30">
        <f t="shared" si="39"/>
        <v>1.272202319120269E-4</v>
      </c>
      <c r="M105" s="30">
        <f t="shared" si="40"/>
        <v>-0.13151965041165348</v>
      </c>
      <c r="N105" s="51">
        <f t="shared" si="45"/>
        <v>1.4057714476708892E-2</v>
      </c>
      <c r="O105" s="52">
        <f t="shared" si="46"/>
        <v>8.650614593352024E-2</v>
      </c>
      <c r="P105" s="64">
        <f t="shared" si="47"/>
        <v>155806.16885925067</v>
      </c>
      <c r="Q105" s="64">
        <f t="shared" si="48"/>
        <v>13478.191180681035</v>
      </c>
      <c r="R105" s="50">
        <f>117.0795*1330.76</f>
        <v>155804.71541999999</v>
      </c>
      <c r="S105" s="50">
        <f>117.0795*1330.76</f>
        <v>155804.71541999999</v>
      </c>
      <c r="T105" s="27">
        <v>4</v>
      </c>
      <c r="U105" s="27">
        <v>1001.71</v>
      </c>
      <c r="V105" s="27">
        <v>1001.71</v>
      </c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1:76" ht="14.25">
      <c r="A106" s="34">
        <v>92</v>
      </c>
      <c r="B106" s="24" t="s">
        <v>140</v>
      </c>
      <c r="C106" s="24" t="s">
        <v>141</v>
      </c>
      <c r="D106" s="29">
        <f>10509587.49*1330.76</f>
        <v>13985738648.1924</v>
      </c>
      <c r="E106" s="29">
        <f>63730.84*1330.76</f>
        <v>84810452.638399988</v>
      </c>
      <c r="F106" s="29"/>
      <c r="G106" s="29">
        <f>17152.14*1330.76</f>
        <v>22825381.826400001</v>
      </c>
      <c r="H106" s="29">
        <f t="shared" si="37"/>
        <v>61985070.811999992</v>
      </c>
      <c r="I106" s="37">
        <f>10290386.39*1544.581</f>
        <v>15894335300.65259</v>
      </c>
      <c r="J106" s="30">
        <f t="shared" si="38"/>
        <v>1.1454658730896542E-2</v>
      </c>
      <c r="K106" s="27">
        <f>10429776.34*1330.76</f>
        <v>13879529162.218399</v>
      </c>
      <c r="L106" s="30">
        <f t="shared" si="39"/>
        <v>1.1313689578902695E-2</v>
      </c>
      <c r="M106" s="30">
        <f t="shared" si="40"/>
        <v>-0.12676252893390683</v>
      </c>
      <c r="N106" s="51">
        <f t="shared" si="45"/>
        <v>1.6445357446658346E-3</v>
      </c>
      <c r="O106" s="52">
        <f t="shared" si="46"/>
        <v>4.4659346932841319E-3</v>
      </c>
      <c r="P106" s="64">
        <f t="shared" si="47"/>
        <v>1643.6081029571146</v>
      </c>
      <c r="Q106" s="64">
        <f t="shared" si="48"/>
        <v>7.3402464491590953</v>
      </c>
      <c r="R106" s="50">
        <f>1.34*1330.76</f>
        <v>1783.2184000000002</v>
      </c>
      <c r="S106" s="50">
        <f>1.34*1330.76</f>
        <v>1783.2184000000002</v>
      </c>
      <c r="T106" s="27">
        <v>127</v>
      </c>
      <c r="U106" s="27">
        <v>8370002</v>
      </c>
      <c r="V106" s="27">
        <v>8444549</v>
      </c>
    </row>
    <row r="107" spans="1:76" ht="14.25">
      <c r="A107" s="34">
        <v>93</v>
      </c>
      <c r="B107" s="24" t="s">
        <v>142</v>
      </c>
      <c r="C107" s="24" t="s">
        <v>48</v>
      </c>
      <c r="D107" s="27">
        <f>136921295*1330.76</f>
        <v>182209382534.20001</v>
      </c>
      <c r="E107" s="36">
        <f>978678*1330.76</f>
        <v>1302385535.28</v>
      </c>
      <c r="F107" s="36"/>
      <c r="G107" s="27">
        <f>216285*1330.76</f>
        <v>287823426.60000002</v>
      </c>
      <c r="H107" s="29">
        <f t="shared" si="37"/>
        <v>1014562108.6799999</v>
      </c>
      <c r="I107" s="36">
        <f>144127906*1544.581</f>
        <v>222617225177.38599</v>
      </c>
      <c r="J107" s="30">
        <f t="shared" si="38"/>
        <v>0.16043478974055667</v>
      </c>
      <c r="K107" s="36">
        <f>147298517*1330.76</f>
        <v>196018974482.92001</v>
      </c>
      <c r="L107" s="30">
        <f t="shared" si="39"/>
        <v>0.15978192076655037</v>
      </c>
      <c r="M107" s="30">
        <f t="shared" si="40"/>
        <v>-0.1194797512783296</v>
      </c>
      <c r="N107" s="51">
        <f t="shared" si="45"/>
        <v>1.4683447220313834E-3</v>
      </c>
      <c r="O107" s="52">
        <f t="shared" si="46"/>
        <v>5.1758362237957897E-3</v>
      </c>
      <c r="P107" s="64">
        <f t="shared" si="47"/>
        <v>167258.10673867172</v>
      </c>
      <c r="Q107" s="64">
        <f t="shared" si="48"/>
        <v>865.70056758151975</v>
      </c>
      <c r="R107" s="36">
        <f>126*1330.76</f>
        <v>167675.76</v>
      </c>
      <c r="S107" s="36">
        <f>126*1330.76</f>
        <v>167675.76</v>
      </c>
      <c r="T107" s="27">
        <v>1156</v>
      </c>
      <c r="U107" s="27">
        <v>1164421</v>
      </c>
      <c r="V107" s="27">
        <v>1171955</v>
      </c>
    </row>
    <row r="108" spans="1:76" ht="16.5" customHeight="1">
      <c r="A108" s="34">
        <v>94</v>
      </c>
      <c r="B108" s="24" t="s">
        <v>143</v>
      </c>
      <c r="C108" s="24" t="s">
        <v>218</v>
      </c>
      <c r="D108" s="50">
        <v>12772119320.16</v>
      </c>
      <c r="E108" s="36">
        <v>151123045.66</v>
      </c>
      <c r="F108" s="36"/>
      <c r="G108" s="27">
        <v>30769667.239999998</v>
      </c>
      <c r="H108" s="29">
        <f t="shared" si="37"/>
        <v>120353378.42</v>
      </c>
      <c r="I108" s="36">
        <v>17079110506.23</v>
      </c>
      <c r="J108" s="30">
        <f t="shared" si="38"/>
        <v>1.2308497246066145E-2</v>
      </c>
      <c r="K108" s="36">
        <v>13014320292.969999</v>
      </c>
      <c r="L108" s="30">
        <f t="shared" si="39"/>
        <v>1.0608427573745076E-2</v>
      </c>
      <c r="M108" s="30">
        <f t="shared" si="40"/>
        <v>-0.23799776995278965</v>
      </c>
      <c r="N108" s="51">
        <f t="shared" si="45"/>
        <v>2.3642930669703112E-3</v>
      </c>
      <c r="O108" s="52">
        <f t="shared" si="46"/>
        <v>9.2477652086841444E-3</v>
      </c>
      <c r="P108" s="64">
        <f t="shared" si="47"/>
        <v>136886.21802985042</v>
      </c>
      <c r="Q108" s="64">
        <f t="shared" si="48"/>
        <v>1265.891604644803</v>
      </c>
      <c r="R108" s="36">
        <v>136886.22</v>
      </c>
      <c r="S108" s="36">
        <v>136886.22</v>
      </c>
      <c r="T108" s="27">
        <v>280</v>
      </c>
      <c r="U108" s="27">
        <v>100581</v>
      </c>
      <c r="V108" s="27">
        <v>95074</v>
      </c>
    </row>
    <row r="109" spans="1:76" ht="14.25">
      <c r="A109" s="34">
        <v>95</v>
      </c>
      <c r="B109" s="24" t="s">
        <v>144</v>
      </c>
      <c r="C109" s="24" t="s">
        <v>40</v>
      </c>
      <c r="D109" s="27">
        <f>2038536.71*1330.76</f>
        <v>2712803112.1995997</v>
      </c>
      <c r="E109" s="27">
        <f>44267.84*1330.76</f>
        <v>58909870.758399993</v>
      </c>
      <c r="F109" s="27"/>
      <c r="G109" s="27">
        <f>1982.98*1330.76</f>
        <v>2638870.4648000002</v>
      </c>
      <c r="H109" s="29">
        <f t="shared" si="37"/>
        <v>56271000.293599993</v>
      </c>
      <c r="I109" s="36">
        <f>1933440.69*1544.581</f>
        <v>2986355754.4008899</v>
      </c>
      <c r="J109" s="30">
        <f t="shared" si="38"/>
        <v>2.1521935562984367E-3</v>
      </c>
      <c r="K109" s="36">
        <f>2532700.35*1330.76</f>
        <v>3370416317.7660003</v>
      </c>
      <c r="L109" s="30">
        <f t="shared" si="39"/>
        <v>2.7473442020405025E-3</v>
      </c>
      <c r="M109" s="30">
        <f t="shared" si="40"/>
        <v>0.12860509428561334</v>
      </c>
      <c r="N109" s="51">
        <f t="shared" si="45"/>
        <v>7.8295089271022522E-4</v>
      </c>
      <c r="O109" s="52">
        <f t="shared" si="46"/>
        <v>1.6695563689561613E-2</v>
      </c>
      <c r="P109" s="64">
        <f t="shared" si="47"/>
        <v>237764.49392512685</v>
      </c>
      <c r="Q109" s="64">
        <f t="shared" si="48"/>
        <v>3969.6122514433409</v>
      </c>
      <c r="R109" s="27">
        <f>148.12*1330.76</f>
        <v>197112.17120000001</v>
      </c>
      <c r="S109" s="36">
        <f>151.23*1330.76</f>
        <v>201250.83479999998</v>
      </c>
      <c r="T109" s="27">
        <v>48</v>
      </c>
      <c r="U109" s="27">
        <v>14192.44</v>
      </c>
      <c r="V109" s="27">
        <v>14175.44</v>
      </c>
    </row>
    <row r="110" spans="1:76" ht="8.1" customHeight="1">
      <c r="A110" s="100"/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</row>
    <row r="111" spans="1:76" ht="13.5">
      <c r="A111" s="99" t="s">
        <v>145</v>
      </c>
      <c r="B111" s="99"/>
      <c r="C111" s="99"/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</row>
    <row r="112" spans="1:76" ht="14.25">
      <c r="A112" s="55">
        <v>96</v>
      </c>
      <c r="B112" s="24" t="s">
        <v>146</v>
      </c>
      <c r="C112" s="25" t="s">
        <v>101</v>
      </c>
      <c r="D112" s="29">
        <f>930311.45*1330.76</f>
        <v>1238021265.2019999</v>
      </c>
      <c r="E112" s="27">
        <f>7571.93*1330.76</f>
        <v>10076421.5668</v>
      </c>
      <c r="F112" s="27"/>
      <c r="G112" s="27">
        <f>1757.09*1330.76</f>
        <v>2338265.0883999998</v>
      </c>
      <c r="H112" s="29">
        <f t="shared" ref="H112:H121" si="49">(E112+F112)-G112</f>
        <v>7738156.4784000004</v>
      </c>
      <c r="I112" s="27">
        <f>1083005.78*1544.581</f>
        <v>1672790150.67818</v>
      </c>
      <c r="J112" s="30">
        <f t="shared" ref="J112:J121" si="50">(I112/$I$122)</f>
        <v>1.2055389509517164E-3</v>
      </c>
      <c r="K112" s="27">
        <f>1098304.71*1330.76</f>
        <v>1461579975.8796</v>
      </c>
      <c r="L112" s="30">
        <f t="shared" ref="L112:L121" si="51">(K112/$K$122)</f>
        <v>1.1913849489112581E-3</v>
      </c>
      <c r="M112" s="30">
        <f t="shared" ref="M112:M122" si="52">((K112-I112)/I112)</f>
        <v>-0.1262622061188915</v>
      </c>
      <c r="N112" s="51">
        <f t="shared" ref="N112" si="53">(G112/K112)</f>
        <v>1.5998201446299906E-3</v>
      </c>
      <c r="O112" s="52">
        <f t="shared" ref="O112" si="54">H112/K112</f>
        <v>5.2943777323872171E-3</v>
      </c>
      <c r="P112" s="53">
        <f t="shared" ref="P112" si="55">K112/V112</f>
        <v>144768.22265051506</v>
      </c>
      <c r="Q112" s="53">
        <f t="shared" ref="Q112" si="56">H112/V112</f>
        <v>766.45765435816168</v>
      </c>
      <c r="R112" s="27">
        <f>110.19*1330.76</f>
        <v>146636.44440000001</v>
      </c>
      <c r="S112" s="27">
        <f>110.19*1330.76</f>
        <v>146636.44440000001</v>
      </c>
      <c r="T112" s="27">
        <v>24</v>
      </c>
      <c r="U112" s="27">
        <v>10201</v>
      </c>
      <c r="V112" s="27">
        <v>10096</v>
      </c>
    </row>
    <row r="113" spans="1:22" ht="14.25">
      <c r="A113" s="55">
        <v>97</v>
      </c>
      <c r="B113" s="24" t="s">
        <v>147</v>
      </c>
      <c r="C113" s="25" t="s">
        <v>26</v>
      </c>
      <c r="D113" s="27">
        <f>5488794.85*1330.76</f>
        <v>7304268634.5859995</v>
      </c>
      <c r="E113" s="27">
        <f>46948.97*1330.76</f>
        <v>62477811.317199998</v>
      </c>
      <c r="F113" s="27"/>
      <c r="G113" s="27">
        <f>8870.27*1330.76</f>
        <v>11804200.5052</v>
      </c>
      <c r="H113" s="29">
        <f t="shared" si="49"/>
        <v>50673610.811999999</v>
      </c>
      <c r="I113" s="27">
        <f>7343277.52*1544.581</f>
        <v>11342286935.119118</v>
      </c>
      <c r="J113" s="30">
        <f t="shared" si="50"/>
        <v>8.1741088011627414E-3</v>
      </c>
      <c r="K113" s="27">
        <f>7226511.28*1330.76</f>
        <v>9616752150.9728012</v>
      </c>
      <c r="L113" s="30">
        <f t="shared" si="51"/>
        <v>7.8389509702907773E-3</v>
      </c>
      <c r="M113" s="30">
        <f t="shared" si="52"/>
        <v>-0.15213288061013022</v>
      </c>
      <c r="N113" s="51">
        <f t="shared" ref="N113:N121" si="57">(G113/K113)</f>
        <v>1.2274622783125303E-3</v>
      </c>
      <c r="O113" s="52">
        <f t="shared" ref="O113:O121" si="58">H113/K113</f>
        <v>5.2693061042312517E-3</v>
      </c>
      <c r="P113" s="53">
        <f t="shared" ref="P113:P121" si="59">K113/V113</f>
        <v>177680.19384717374</v>
      </c>
      <c r="Q113" s="53">
        <f t="shared" ref="Q113:Q121" si="60">H113/V113</f>
        <v>936.2513300399047</v>
      </c>
      <c r="R113" s="27">
        <f>133.52*1330.76</f>
        <v>177683.07520000002</v>
      </c>
      <c r="S113" s="27">
        <f>133.52*1330.76</f>
        <v>177683.07520000002</v>
      </c>
      <c r="T113" s="27">
        <v>415</v>
      </c>
      <c r="U113" s="27">
        <v>55285.27</v>
      </c>
      <c r="V113" s="27">
        <v>54123.94</v>
      </c>
    </row>
    <row r="114" spans="1:22" ht="14.1" customHeight="1">
      <c r="A114" s="55">
        <v>98</v>
      </c>
      <c r="B114" s="24" t="s">
        <v>148</v>
      </c>
      <c r="C114" s="24" t="s">
        <v>60</v>
      </c>
      <c r="D114" s="27">
        <f>10315007.9*1330.76</f>
        <v>13726799913.004</v>
      </c>
      <c r="E114" s="27">
        <f>79381.21*1330.76</f>
        <v>105637339.0196</v>
      </c>
      <c r="F114" s="27"/>
      <c r="G114" s="27">
        <f>20102.03*1330.76</f>
        <v>26750977.442799997</v>
      </c>
      <c r="H114" s="29">
        <f t="shared" si="49"/>
        <v>78886361.576800004</v>
      </c>
      <c r="I114" s="27">
        <f>11354933.97*1544.581</f>
        <v>17538615266.31657</v>
      </c>
      <c r="J114" s="30">
        <f t="shared" si="50"/>
        <v>1.2639651088768711E-2</v>
      </c>
      <c r="K114" s="27">
        <f>11147150.47*1330.76</f>
        <v>14834181959.457201</v>
      </c>
      <c r="L114" s="30">
        <f t="shared" si="51"/>
        <v>1.2091860457565603E-2</v>
      </c>
      <c r="M114" s="30">
        <f t="shared" si="52"/>
        <v>-0.15419879310844531</v>
      </c>
      <c r="N114" s="51">
        <f t="shared" si="57"/>
        <v>1.8033335114745245E-3</v>
      </c>
      <c r="O114" s="52">
        <f t="shared" si="58"/>
        <v>5.3178774395785111E-3</v>
      </c>
      <c r="P114" s="53">
        <f t="shared" si="59"/>
        <v>155944.09418614666</v>
      </c>
      <c r="Q114" s="53">
        <f t="shared" si="60"/>
        <v>829.2915803080158</v>
      </c>
      <c r="R114" s="27">
        <f>116.18*1330.76</f>
        <v>154607.69680000001</v>
      </c>
      <c r="S114" s="27">
        <f>116.18*1330.76</f>
        <v>154607.69680000001</v>
      </c>
      <c r="T114" s="27">
        <v>527</v>
      </c>
      <c r="U114" s="27">
        <v>95967</v>
      </c>
      <c r="V114" s="27">
        <v>95125</v>
      </c>
    </row>
    <row r="115" spans="1:22" ht="15" customHeight="1">
      <c r="A115" s="55">
        <v>99</v>
      </c>
      <c r="B115" s="24" t="s">
        <v>149</v>
      </c>
      <c r="C115" s="25" t="s">
        <v>58</v>
      </c>
      <c r="D115" s="27">
        <f>4127957.22*1330.76</f>
        <v>5493320350.0872002</v>
      </c>
      <c r="E115" s="27">
        <f>22417.06*1330.76</f>
        <v>29831726.765600003</v>
      </c>
      <c r="F115" s="27"/>
      <c r="G115" s="27">
        <f>5655.16*1330.76</f>
        <v>7525660.7215999998</v>
      </c>
      <c r="H115" s="29">
        <f t="shared" si="49"/>
        <v>22306066.044000003</v>
      </c>
      <c r="I115" s="27">
        <f>4292315.7*1544.581</f>
        <v>6629829276.2216997</v>
      </c>
      <c r="J115" s="30">
        <f t="shared" si="50"/>
        <v>4.7779558167561969E-3</v>
      </c>
      <c r="K115" s="27">
        <f>4160014.3*1330.76</f>
        <v>5535980629.868</v>
      </c>
      <c r="L115" s="30">
        <f t="shared" si="51"/>
        <v>4.512571401315035E-3</v>
      </c>
      <c r="M115" s="30">
        <f t="shared" si="52"/>
        <v>-0.16498896137142727</v>
      </c>
      <c r="N115" s="51">
        <f t="shared" si="57"/>
        <v>1.3594087885707507E-3</v>
      </c>
      <c r="O115" s="52">
        <f t="shared" si="58"/>
        <v>4.0292890339343312E-3</v>
      </c>
      <c r="P115" s="53">
        <f t="shared" si="59"/>
        <v>1612.7444188099596</v>
      </c>
      <c r="Q115" s="53">
        <f t="shared" si="60"/>
        <v>6.4982134012497657</v>
      </c>
      <c r="R115" s="27">
        <f>1.21*1330.76</f>
        <v>1610.2195999999999</v>
      </c>
      <c r="S115" s="27">
        <f>1.21*1330.76</f>
        <v>1610.2195999999999</v>
      </c>
      <c r="T115" s="27">
        <v>169</v>
      </c>
      <c r="U115" s="27">
        <v>3558785.04</v>
      </c>
      <c r="V115" s="27">
        <v>3432645.97</v>
      </c>
    </row>
    <row r="116" spans="1:22" ht="15" customHeight="1">
      <c r="A116" s="55">
        <v>100</v>
      </c>
      <c r="B116" s="32" t="s">
        <v>223</v>
      </c>
      <c r="C116" s="33" t="s">
        <v>224</v>
      </c>
      <c r="D116" s="27">
        <f>930543.59*1330.76</f>
        <v>1238330187.8283999</v>
      </c>
      <c r="E116" s="27">
        <f>62167.07*1330.76</f>
        <v>82729450.073200002</v>
      </c>
      <c r="F116" s="27"/>
      <c r="G116" s="27">
        <f>6061.9*1330.76</f>
        <v>8066934.0439999998</v>
      </c>
      <c r="H116" s="29">
        <f t="shared" si="49"/>
        <v>74662516.029200003</v>
      </c>
      <c r="I116" s="27">
        <f>906740.16*1544.581</f>
        <v>1400533623.0729599</v>
      </c>
      <c r="J116" s="30">
        <f t="shared" si="50"/>
        <v>1.0093303299564952E-3</v>
      </c>
      <c r="K116" s="27">
        <f>920614.63*1330.76</f>
        <v>1225117125.0188</v>
      </c>
      <c r="L116" s="30">
        <f t="shared" si="51"/>
        <v>9.9863581021109038E-4</v>
      </c>
      <c r="M116" s="30">
        <f t="shared" si="52"/>
        <v>-0.12524975849510303</v>
      </c>
      <c r="N116" s="51">
        <f t="shared" si="57"/>
        <v>6.5846227101561483E-3</v>
      </c>
      <c r="O116" s="52">
        <f t="shared" si="58"/>
        <v>6.0943165763072876E-2</v>
      </c>
      <c r="P116" s="53">
        <f t="shared" si="59"/>
        <v>1403.929874962374</v>
      </c>
      <c r="Q116" s="53">
        <f t="shared" si="60"/>
        <v>85.559931089562127</v>
      </c>
      <c r="R116" s="27">
        <f>1.055*1330.76</f>
        <v>1403.9517999999998</v>
      </c>
      <c r="S116" s="27">
        <f>1.0664*1330.76</f>
        <v>1419.122464</v>
      </c>
      <c r="T116" s="27">
        <v>36</v>
      </c>
      <c r="U116" s="27">
        <v>872634.13</v>
      </c>
      <c r="V116" s="27">
        <v>872634.13</v>
      </c>
    </row>
    <row r="117" spans="1:22" ht="14.25">
      <c r="A117" s="55">
        <v>101</v>
      </c>
      <c r="B117" s="25" t="s">
        <v>150</v>
      </c>
      <c r="C117" s="25" t="s">
        <v>42</v>
      </c>
      <c r="D117" s="27">
        <f>11548480.37*1330.76</f>
        <v>15368255737.181198</v>
      </c>
      <c r="E117" s="27">
        <f>104640.55*1330.76</f>
        <v>139251458.31799999</v>
      </c>
      <c r="F117" s="27"/>
      <c r="G117" s="27">
        <f>19043.47*1330.76</f>
        <v>25342288.137200002</v>
      </c>
      <c r="H117" s="29">
        <f t="shared" si="49"/>
        <v>113909170.18079999</v>
      </c>
      <c r="I117" s="27">
        <f>11447522.61*1544.581</f>
        <v>17681625920.476406</v>
      </c>
      <c r="J117" s="30">
        <f t="shared" si="50"/>
        <v>1.2742715369677391E-2</v>
      </c>
      <c r="K117" s="27">
        <f>11553505.82*1330.76</f>
        <v>15374943405.023201</v>
      </c>
      <c r="L117" s="30">
        <f t="shared" si="51"/>
        <v>1.2532654021948629E-2</v>
      </c>
      <c r="M117" s="30">
        <f t="shared" si="52"/>
        <v>-0.13045647079219821</v>
      </c>
      <c r="N117" s="51">
        <f t="shared" si="57"/>
        <v>1.6482849705268077E-3</v>
      </c>
      <c r="O117" s="52">
        <f t="shared" si="58"/>
        <v>7.4087537872551991E-3</v>
      </c>
      <c r="P117" s="53">
        <f t="shared" si="59"/>
        <v>1381.9335370683757</v>
      </c>
      <c r="Q117" s="53">
        <f t="shared" si="60"/>
        <v>10.238405326490302</v>
      </c>
      <c r="R117" s="27">
        <f>1.0384*1330.76</f>
        <v>1381.8611839999999</v>
      </c>
      <c r="S117" s="27">
        <f>1.0384*1330.76</f>
        <v>1381.8611839999999</v>
      </c>
      <c r="T117" s="27">
        <v>417</v>
      </c>
      <c r="U117" s="27">
        <v>11110736</v>
      </c>
      <c r="V117" s="27">
        <v>11125675</v>
      </c>
    </row>
    <row r="118" spans="1:22" ht="14.25">
      <c r="A118" s="55">
        <v>102</v>
      </c>
      <c r="B118" s="24" t="s">
        <v>151</v>
      </c>
      <c r="C118" s="25" t="s">
        <v>84</v>
      </c>
      <c r="D118" s="27">
        <f>(196292.39+82291)*1330.76</f>
        <v>370727632.07640004</v>
      </c>
      <c r="E118" s="27">
        <f>1511.77*1330.76</f>
        <v>2011803.0452000001</v>
      </c>
      <c r="F118" s="27">
        <f>5737.46*1330.76</f>
        <v>7635182.2696000002</v>
      </c>
      <c r="G118" s="27">
        <f>100.66*1330.76</f>
        <v>133954.30160000001</v>
      </c>
      <c r="H118" s="29">
        <f t="shared" si="49"/>
        <v>9513031.0131999999</v>
      </c>
      <c r="I118" s="27">
        <f>265286.79*1544.581</f>
        <v>409756935.38498992</v>
      </c>
      <c r="J118" s="30">
        <f t="shared" si="50"/>
        <v>2.9530180209929094E-4</v>
      </c>
      <c r="K118" s="27">
        <f>255538.87*1330.76</f>
        <v>340060906.64120001</v>
      </c>
      <c r="L118" s="30">
        <f t="shared" si="51"/>
        <v>2.7719553672840992E-4</v>
      </c>
      <c r="M118" s="30">
        <f t="shared" si="52"/>
        <v>-0.17009115093636312</v>
      </c>
      <c r="N118" s="51">
        <f t="shared" si="57"/>
        <v>3.9391267559412785E-4</v>
      </c>
      <c r="O118" s="52">
        <f t="shared" si="58"/>
        <v>2.7974491708443416E-2</v>
      </c>
      <c r="P118" s="53">
        <f t="shared" si="59"/>
        <v>1300.4987155714477</v>
      </c>
      <c r="Q118" s="53">
        <f t="shared" si="60"/>
        <v>36.380790535594777</v>
      </c>
      <c r="R118" s="27">
        <f>1.0647*1330.76</f>
        <v>1416.8601719999999</v>
      </c>
      <c r="S118" s="27">
        <f>1.0647*1330.76</f>
        <v>1416.8601719999999</v>
      </c>
      <c r="T118" s="27">
        <v>3</v>
      </c>
      <c r="U118" s="27">
        <v>261485</v>
      </c>
      <c r="V118" s="27">
        <v>261485</v>
      </c>
    </row>
    <row r="119" spans="1:22" ht="14.25">
      <c r="A119" s="55">
        <v>103</v>
      </c>
      <c r="B119" s="24" t="s">
        <v>152</v>
      </c>
      <c r="C119" s="24" t="s">
        <v>44</v>
      </c>
      <c r="D119" s="27">
        <f>551704477.8*1330.76</f>
        <v>734186250877.12793</v>
      </c>
      <c r="E119" s="27">
        <f>4374083.3*1330.76</f>
        <v>5820855092.3079996</v>
      </c>
      <c r="F119" s="27"/>
      <c r="G119" s="27">
        <f>846600.04*1330.76</f>
        <v>1126621469.2304001</v>
      </c>
      <c r="H119" s="29">
        <f t="shared" si="49"/>
        <v>4694233623.0775995</v>
      </c>
      <c r="I119" s="27">
        <f>537086231.86*1544.581</f>
        <v>829573189092.55066</v>
      </c>
      <c r="J119" s="30">
        <f t="shared" si="50"/>
        <v>0.59785310889764109</v>
      </c>
      <c r="K119" s="27">
        <f>554447737.08*1330.76</f>
        <v>737836870596.58081</v>
      </c>
      <c r="L119" s="30">
        <f t="shared" si="51"/>
        <v>0.6014366349344149</v>
      </c>
      <c r="M119" s="30">
        <f t="shared" si="52"/>
        <v>-0.11058254980047982</v>
      </c>
      <c r="N119" s="51">
        <f t="shared" si="57"/>
        <v>1.5269248720512789E-3</v>
      </c>
      <c r="O119" s="52">
        <f t="shared" si="58"/>
        <v>6.3621564740754403E-3</v>
      </c>
      <c r="P119" s="53">
        <f t="shared" si="59"/>
        <v>1984.5744767712017</v>
      </c>
      <c r="Q119" s="53">
        <f t="shared" si="60"/>
        <v>12.62617335567478</v>
      </c>
      <c r="R119" s="27">
        <f>1.4913*1330.76</f>
        <v>1984.5623880000001</v>
      </c>
      <c r="S119" s="27">
        <f>1.4913*1330.76</f>
        <v>1984.5623880000001</v>
      </c>
      <c r="T119" s="27">
        <v>7087</v>
      </c>
      <c r="U119" s="27">
        <v>362223768.5</v>
      </c>
      <c r="V119" s="27">
        <v>371785931.56</v>
      </c>
    </row>
    <row r="120" spans="1:22" ht="14.25">
      <c r="A120" s="55">
        <v>104</v>
      </c>
      <c r="B120" s="24" t="s">
        <v>153</v>
      </c>
      <c r="C120" s="24" t="s">
        <v>48</v>
      </c>
      <c r="D120" s="27">
        <f>17874478*1330.76</f>
        <v>23786640343.279999</v>
      </c>
      <c r="E120" s="27">
        <f>258094*1330.76</f>
        <v>343461171.44</v>
      </c>
      <c r="F120" s="27"/>
      <c r="G120" s="27">
        <f>60651*1330.76</f>
        <v>80711924.760000005</v>
      </c>
      <c r="H120" s="29">
        <f t="shared" si="49"/>
        <v>262749246.68000001</v>
      </c>
      <c r="I120" s="89">
        <f>29872706*1544.581</f>
        <v>46140814106.185997</v>
      </c>
      <c r="J120" s="30">
        <f t="shared" si="50"/>
        <v>3.3252556282136407E-2</v>
      </c>
      <c r="K120" s="27">
        <f>31129978*1330.76</f>
        <v>41426529523.279999</v>
      </c>
      <c r="L120" s="30">
        <f t="shared" si="51"/>
        <v>3.3768212875221651E-2</v>
      </c>
      <c r="M120" s="30">
        <f t="shared" si="52"/>
        <v>-0.1021716819312463</v>
      </c>
      <c r="N120" s="51">
        <f t="shared" si="57"/>
        <v>1.9483149008328886E-3</v>
      </c>
      <c r="O120" s="52">
        <f t="shared" si="58"/>
        <v>6.3425358026272943E-3</v>
      </c>
      <c r="P120" s="53">
        <f t="shared" si="59"/>
        <v>1453.4979755031216</v>
      </c>
      <c r="Q120" s="53">
        <f t="shared" si="60"/>
        <v>9.2188629486748379</v>
      </c>
      <c r="R120" s="27">
        <f>1.09*1330.76</f>
        <v>1450.5284000000001</v>
      </c>
      <c r="S120" s="27">
        <f>1.09*1330.76</f>
        <v>1450.5284000000001</v>
      </c>
      <c r="T120" s="27">
        <v>145</v>
      </c>
      <c r="U120" s="27">
        <v>27275642</v>
      </c>
      <c r="V120" s="27">
        <v>28501264</v>
      </c>
    </row>
    <row r="121" spans="1:22" ht="14.25">
      <c r="A121" s="55">
        <v>105</v>
      </c>
      <c r="B121" s="25" t="s">
        <v>154</v>
      </c>
      <c r="C121" s="25" t="s">
        <v>34</v>
      </c>
      <c r="D121" s="27">
        <f>34835503.42*1330.76</f>
        <v>46357694531.199203</v>
      </c>
      <c r="E121" s="27">
        <f>220500.47*1330.76</f>
        <v>293433205.45719999</v>
      </c>
      <c r="F121" s="27"/>
      <c r="G121" s="27">
        <f>68408.88*1330.76</f>
        <v>91035801.148800001</v>
      </c>
      <c r="H121" s="29">
        <f t="shared" si="49"/>
        <v>202397404.30839998</v>
      </c>
      <c r="I121" s="27">
        <f>33183628.69*1544.581</f>
        <v>51254802385.628891</v>
      </c>
      <c r="J121" s="30">
        <f t="shared" si="50"/>
        <v>3.6938082564724521E-2</v>
      </c>
      <c r="K121" s="27">
        <f>34867464.95*1330.76</f>
        <v>46400227656.862007</v>
      </c>
      <c r="L121" s="30">
        <f t="shared" si="51"/>
        <v>3.7822448151133607E-2</v>
      </c>
      <c r="M121" s="30">
        <f t="shared" si="52"/>
        <v>-9.4714534108281664E-2</v>
      </c>
      <c r="N121" s="51">
        <f t="shared" si="57"/>
        <v>1.9619688468346763E-3</v>
      </c>
      <c r="O121" s="52">
        <f t="shared" si="58"/>
        <v>4.3619916222214471E-3</v>
      </c>
      <c r="P121" s="53">
        <f t="shared" si="59"/>
        <v>1470.0958453705396</v>
      </c>
      <c r="Q121" s="53">
        <f t="shared" si="60"/>
        <v>6.4125457613688503</v>
      </c>
      <c r="R121" s="27">
        <f>1.1*1330.76</f>
        <v>1463.836</v>
      </c>
      <c r="S121" s="27">
        <f>1.1*1330.76</f>
        <v>1463.836</v>
      </c>
      <c r="T121" s="27">
        <v>1445</v>
      </c>
      <c r="U121" s="27">
        <v>30876924.289999999</v>
      </c>
      <c r="V121" s="27">
        <v>31562722.800000001</v>
      </c>
    </row>
    <row r="122" spans="1:22" ht="15" customHeight="1">
      <c r="A122" s="98" t="s">
        <v>49</v>
      </c>
      <c r="B122" s="98"/>
      <c r="C122" s="98"/>
      <c r="D122" s="98"/>
      <c r="E122" s="98"/>
      <c r="F122" s="98"/>
      <c r="G122" s="98"/>
      <c r="H122" s="98"/>
      <c r="I122" s="56">
        <f>SUM(I95:I121)</f>
        <v>1387586978718.1831</v>
      </c>
      <c r="J122" s="104">
        <f>(I122/$I$185)</f>
        <v>0.48413339642614661</v>
      </c>
      <c r="K122" s="58">
        <f>SUM(K95:K121)</f>
        <v>1226790700365.3677</v>
      </c>
      <c r="L122" s="104">
        <f>(K122/$K$185)</f>
        <v>0.4630039623207694</v>
      </c>
      <c r="M122" s="30">
        <f t="shared" si="52"/>
        <v>-0.11588194528991247</v>
      </c>
      <c r="N122" s="51"/>
      <c r="O122" s="51"/>
      <c r="P122" s="66"/>
      <c r="Q122" s="66"/>
      <c r="R122" s="58"/>
      <c r="S122" s="58"/>
      <c r="T122" s="59">
        <f>SUM(T95:T121)</f>
        <v>15179</v>
      </c>
      <c r="U122" s="59"/>
      <c r="V122" s="58"/>
    </row>
    <row r="123" spans="1:22" ht="6.95" customHeight="1">
      <c r="A123" s="100"/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  <c r="L123" s="100"/>
      <c r="M123" s="100"/>
      <c r="N123" s="100"/>
      <c r="O123" s="100"/>
      <c r="P123" s="100"/>
      <c r="Q123" s="100"/>
      <c r="R123" s="100"/>
      <c r="S123" s="100"/>
      <c r="T123" s="100"/>
      <c r="U123" s="100"/>
      <c r="V123" s="100"/>
    </row>
    <row r="124" spans="1:22" ht="12.75" customHeight="1">
      <c r="A124" s="101" t="s">
        <v>155</v>
      </c>
      <c r="B124" s="101"/>
      <c r="C124" s="101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</row>
    <row r="125" spans="1:22" ht="14.25">
      <c r="A125" s="61">
        <v>106</v>
      </c>
      <c r="B125" s="60" t="s">
        <v>240</v>
      </c>
      <c r="C125" s="60" t="s">
        <v>241</v>
      </c>
      <c r="D125" s="43">
        <v>2136535669.1500001</v>
      </c>
      <c r="E125" s="43">
        <v>25923367.809999999</v>
      </c>
      <c r="F125" s="47">
        <v>0</v>
      </c>
      <c r="G125" s="43">
        <v>3685804.78</v>
      </c>
      <c r="H125" s="29">
        <f t="shared" ref="H125" si="61">(E125+F125)-G125</f>
        <v>22237563.029999997</v>
      </c>
      <c r="I125" s="43" t="s">
        <v>256</v>
      </c>
      <c r="J125" s="30">
        <f>(I125/$I$130)</f>
        <v>2.2541569123856554E-2</v>
      </c>
      <c r="K125" s="43">
        <v>2234328776.1999998</v>
      </c>
      <c r="L125" s="30">
        <f>(K125/$K$130)</f>
        <v>2.3138876471602707E-2</v>
      </c>
      <c r="M125" s="30">
        <f t="shared" ref="M125:M130" si="62">((K125-I125)/I125)</f>
        <v>1.0343486472362644E-2</v>
      </c>
      <c r="N125" s="51">
        <f>(G125/K125)</f>
        <v>1.6496250772317293E-3</v>
      </c>
      <c r="O125" s="52">
        <f>H125/K125</f>
        <v>9.9526816585248437E-3</v>
      </c>
      <c r="P125" s="53">
        <f>K125/V125</f>
        <v>105.29353327992459</v>
      </c>
      <c r="Q125" s="53">
        <f>H125/V125</f>
        <v>1.0479530174363807</v>
      </c>
      <c r="R125" s="27">
        <v>105.29</v>
      </c>
      <c r="S125" s="27">
        <v>105.29</v>
      </c>
      <c r="T125" s="27">
        <v>7</v>
      </c>
      <c r="U125" s="43" t="s">
        <v>242</v>
      </c>
      <c r="V125" s="43" t="s">
        <v>242</v>
      </c>
    </row>
    <row r="126" spans="1:22" ht="14.25">
      <c r="A126" s="61">
        <v>107</v>
      </c>
      <c r="B126" s="48" t="s">
        <v>156</v>
      </c>
      <c r="C126" s="48" t="s">
        <v>42</v>
      </c>
      <c r="D126" s="27">
        <v>37520624087</v>
      </c>
      <c r="E126" s="27">
        <v>471224324</v>
      </c>
      <c r="F126" s="27"/>
      <c r="G126" s="27">
        <v>108150144</v>
      </c>
      <c r="H126" s="29">
        <f t="shared" ref="H126:H129" si="63">(E126+F126)-G126</f>
        <v>363074180</v>
      </c>
      <c r="I126" s="27">
        <v>54331355296</v>
      </c>
      <c r="J126" s="30">
        <f t="shared" ref="J126:J129" si="64">(I126/$I$130)</f>
        <v>0.55380471615456861</v>
      </c>
      <c r="K126" s="27">
        <v>53831387445</v>
      </c>
      <c r="L126" s="30">
        <f t="shared" ref="L126:L129" si="65">(K126/$K$130)</f>
        <v>0.55748188791770881</v>
      </c>
      <c r="M126" s="30">
        <f t="shared" si="62"/>
        <v>-9.2021972998124115E-3</v>
      </c>
      <c r="N126" s="51">
        <f t="shared" ref="N126:N129" si="66">(G126/K126)</f>
        <v>2.0090536234180839E-3</v>
      </c>
      <c r="O126" s="52">
        <f t="shared" ref="O126:O129" si="67">H126/K126</f>
        <v>6.7446558083043293E-3</v>
      </c>
      <c r="P126" s="53">
        <f t="shared" ref="P126:P129" si="68">K126/V126</f>
        <v>101.44462514699009</v>
      </c>
      <c r="Q126" s="53">
        <f t="shared" ref="Q126:Q129" si="69">H126/V126</f>
        <v>0.68420908021890214</v>
      </c>
      <c r="R126" s="27">
        <v>101.44</v>
      </c>
      <c r="S126" s="27">
        <v>101.44</v>
      </c>
      <c r="T126" s="27">
        <v>658</v>
      </c>
      <c r="U126" s="27">
        <v>530648000</v>
      </c>
      <c r="V126" s="27">
        <v>530648000</v>
      </c>
    </row>
    <row r="127" spans="1:22" ht="14.25">
      <c r="A127" s="61">
        <v>108</v>
      </c>
      <c r="B127" s="48" t="s">
        <v>157</v>
      </c>
      <c r="C127" s="48" t="s">
        <v>122</v>
      </c>
      <c r="D127" s="27">
        <v>2975406380.04</v>
      </c>
      <c r="E127" s="27">
        <v>29453434.809999999</v>
      </c>
      <c r="F127" s="27"/>
      <c r="G127" s="27">
        <v>5882281.3300000001</v>
      </c>
      <c r="H127" s="29">
        <f t="shared" si="63"/>
        <v>23571153.479999997</v>
      </c>
      <c r="I127" s="27">
        <v>2628630494.3499999</v>
      </c>
      <c r="J127" s="30">
        <f t="shared" si="64"/>
        <v>2.6793882774831509E-2</v>
      </c>
      <c r="K127" s="27">
        <v>2579701647.8299999</v>
      </c>
      <c r="L127" s="30">
        <f t="shared" si="65"/>
        <v>2.6715583847175588E-2</v>
      </c>
      <c r="M127" s="30">
        <f t="shared" si="62"/>
        <v>-1.8613816824071715E-2</v>
      </c>
      <c r="N127" s="51">
        <f t="shared" si="66"/>
        <v>2.2802176891068286E-3</v>
      </c>
      <c r="O127" s="52">
        <f t="shared" si="67"/>
        <v>9.1371626249212353E-3</v>
      </c>
      <c r="P127" s="53">
        <f t="shared" si="68"/>
        <v>128.98508239149999</v>
      </c>
      <c r="Q127" s="53">
        <f t="shared" si="69"/>
        <v>1.1785576739999999</v>
      </c>
      <c r="R127" s="50">
        <v>101.35</v>
      </c>
      <c r="S127" s="50">
        <v>101.35</v>
      </c>
      <c r="T127" s="27">
        <v>2760</v>
      </c>
      <c r="U127" s="27">
        <v>20000000</v>
      </c>
      <c r="V127" s="27">
        <v>20000000</v>
      </c>
    </row>
    <row r="128" spans="1:22" ht="14.25">
      <c r="A128" s="61">
        <v>109</v>
      </c>
      <c r="B128" s="48" t="s">
        <v>158</v>
      </c>
      <c r="C128" s="48" t="s">
        <v>122</v>
      </c>
      <c r="D128" s="27">
        <v>11081374428.370001</v>
      </c>
      <c r="E128" s="27">
        <v>91844620.510000005</v>
      </c>
      <c r="F128" s="27"/>
      <c r="G128" s="50" t="s">
        <v>249</v>
      </c>
      <c r="H128" s="29">
        <f t="shared" si="63"/>
        <v>66001333.890000001</v>
      </c>
      <c r="I128" s="37">
        <v>10942433719</v>
      </c>
      <c r="J128" s="30">
        <f t="shared" si="64"/>
        <v>0.11153727652800012</v>
      </c>
      <c r="K128" s="27">
        <v>9889080762</v>
      </c>
      <c r="L128" s="30">
        <f t="shared" si="65"/>
        <v>0.10241206245339893</v>
      </c>
      <c r="M128" s="30">
        <f t="shared" si="62"/>
        <v>-9.6263133417111818E-2</v>
      </c>
      <c r="N128" s="51">
        <f t="shared" si="66"/>
        <v>2.6133153568030291E-3</v>
      </c>
      <c r="O128" s="52">
        <f t="shared" si="67"/>
        <v>6.6741626930197778E-3</v>
      </c>
      <c r="P128" s="53">
        <f t="shared" si="68"/>
        <v>52.565964973907583</v>
      </c>
      <c r="Q128" s="53">
        <f t="shared" si="69"/>
        <v>0.35083380235143835</v>
      </c>
      <c r="R128" s="50">
        <v>36.6</v>
      </c>
      <c r="S128" s="50">
        <v>36.6</v>
      </c>
      <c r="T128" s="27">
        <v>5264</v>
      </c>
      <c r="U128" s="27">
        <v>188127066</v>
      </c>
      <c r="V128" s="27">
        <v>188127066</v>
      </c>
    </row>
    <row r="129" spans="1:22" ht="15.95" customHeight="1">
      <c r="A129" s="61">
        <v>110</v>
      </c>
      <c r="B129" s="48" t="s">
        <v>159</v>
      </c>
      <c r="C129" s="27" t="s">
        <v>160</v>
      </c>
      <c r="D129" s="27">
        <v>27870321601.330002</v>
      </c>
      <c r="E129" s="27">
        <v>195812539.5</v>
      </c>
      <c r="F129" s="27"/>
      <c r="G129" s="27">
        <v>53414269.829999998</v>
      </c>
      <c r="H129" s="29">
        <f t="shared" si="63"/>
        <v>142398269.67000002</v>
      </c>
      <c r="I129" s="37">
        <v>30203200957.84</v>
      </c>
      <c r="J129" s="30">
        <f t="shared" si="64"/>
        <v>0.3078641245425997</v>
      </c>
      <c r="K129" s="27">
        <v>30261509747.119999</v>
      </c>
      <c r="L129" s="30">
        <f t="shared" si="65"/>
        <v>0.31339046578171664</v>
      </c>
      <c r="M129" s="30">
        <f t="shared" si="62"/>
        <v>1.9305499891018427E-3</v>
      </c>
      <c r="N129" s="51">
        <f t="shared" si="66"/>
        <v>1.7650893916515008E-3</v>
      </c>
      <c r="O129" s="52">
        <f t="shared" si="67"/>
        <v>4.7055903971728354E-3</v>
      </c>
      <c r="P129" s="53">
        <f t="shared" si="68"/>
        <v>11.341249355479272</v>
      </c>
      <c r="Q129" s="53">
        <f t="shared" si="69"/>
        <v>5.3367274059085867E-2</v>
      </c>
      <c r="R129" s="50">
        <v>11.34</v>
      </c>
      <c r="S129" s="50">
        <v>11.34</v>
      </c>
      <c r="T129" s="63">
        <v>208300</v>
      </c>
      <c r="U129" s="27">
        <v>2668269500</v>
      </c>
      <c r="V129" s="27">
        <v>2668269500</v>
      </c>
    </row>
    <row r="130" spans="1:22" ht="15" customHeight="1">
      <c r="A130" s="94" t="s">
        <v>49</v>
      </c>
      <c r="B130" s="94"/>
      <c r="C130" s="94"/>
      <c r="D130" s="94"/>
      <c r="E130" s="94"/>
      <c r="F130" s="94"/>
      <c r="G130" s="94"/>
      <c r="H130" s="94"/>
      <c r="I130" s="58">
        <f>SUM(I126:I129)</f>
        <v>98105620467.190002</v>
      </c>
      <c r="J130" s="104">
        <f>(I130/$I$185)</f>
        <v>3.422935496926538E-2</v>
      </c>
      <c r="K130" s="58">
        <f>SUM(K126:K129)</f>
        <v>96561679601.949997</v>
      </c>
      <c r="L130" s="104">
        <f>(K130/$K$185)</f>
        <v>3.6443413086467168E-2</v>
      </c>
      <c r="M130" s="57">
        <f t="shared" si="62"/>
        <v>-1.5737537338712963E-2</v>
      </c>
      <c r="N130" s="51"/>
      <c r="O130" s="51"/>
      <c r="P130" s="65"/>
      <c r="Q130" s="65"/>
      <c r="R130" s="58"/>
      <c r="S130" s="58"/>
      <c r="T130" s="58">
        <f>SUM(T126:T129)</f>
        <v>216982</v>
      </c>
      <c r="U130" s="58"/>
      <c r="V130" s="58"/>
    </row>
    <row r="131" spans="1:22" ht="8.1" customHeight="1">
      <c r="A131" s="100"/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  <c r="L131" s="100"/>
      <c r="M131" s="100"/>
      <c r="N131" s="100"/>
      <c r="O131" s="100"/>
      <c r="P131" s="100"/>
      <c r="Q131" s="100"/>
      <c r="R131" s="100"/>
      <c r="S131" s="100"/>
      <c r="T131" s="100"/>
      <c r="U131" s="100"/>
      <c r="V131" s="100"/>
    </row>
    <row r="132" spans="1:22">
      <c r="A132" s="96" t="s">
        <v>161</v>
      </c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</row>
    <row r="133" spans="1:22" ht="14.25">
      <c r="A133" s="55">
        <v>111</v>
      </c>
      <c r="B133" s="24" t="s">
        <v>162</v>
      </c>
      <c r="C133" s="24" t="s">
        <v>53</v>
      </c>
      <c r="D133" s="36">
        <v>237475211.24000001</v>
      </c>
      <c r="E133" s="36">
        <v>2550244.2200000002</v>
      </c>
      <c r="F133" s="36">
        <v>-46230</v>
      </c>
      <c r="G133" s="27">
        <v>555449.74</v>
      </c>
      <c r="H133" s="29">
        <f t="shared" ref="H133:H158" si="70">(E133+F133)-G133</f>
        <v>1948564.4800000002</v>
      </c>
      <c r="I133" s="27">
        <v>235204608.49000001</v>
      </c>
      <c r="J133" s="30">
        <f t="shared" ref="J133:J158" si="71">(I133/$I$159)</f>
        <v>4.8225888035325487E-3</v>
      </c>
      <c r="K133" s="27">
        <v>238454335.40000001</v>
      </c>
      <c r="L133" s="30">
        <f t="shared" ref="L133:L158" si="72">(K133/$K$159)</f>
        <v>4.7391375770088123E-3</v>
      </c>
      <c r="M133" s="30">
        <f t="shared" ref="M133:M159" si="73">((K133-I133)/I133)</f>
        <v>1.3816595392679825E-2</v>
      </c>
      <c r="N133" s="51">
        <f t="shared" ref="N133" si="74">(G133/K133)</f>
        <v>2.3293757233151147E-3</v>
      </c>
      <c r="O133" s="52">
        <f t="shared" ref="O133" si="75">H133/K133</f>
        <v>8.1716462681684591E-3</v>
      </c>
      <c r="P133" s="53">
        <f t="shared" ref="P133" si="76">K133/V133</f>
        <v>5.3965347831015427</v>
      </c>
      <c r="Q133" s="53">
        <f t="shared" ref="Q133" si="77">H133/V133</f>
        <v>4.4098573321373014E-2</v>
      </c>
      <c r="R133" s="27">
        <v>5.3163</v>
      </c>
      <c r="S133" s="27">
        <v>5.4009</v>
      </c>
      <c r="T133" s="27">
        <v>11833</v>
      </c>
      <c r="U133" s="27">
        <v>44167784.329999998</v>
      </c>
      <c r="V133" s="27">
        <v>44186565.079999998</v>
      </c>
    </row>
    <row r="134" spans="1:22" ht="14.25">
      <c r="A134" s="55">
        <v>112</v>
      </c>
      <c r="B134" s="32" t="s">
        <v>238</v>
      </c>
      <c r="C134" s="32" t="s">
        <v>239</v>
      </c>
      <c r="D134" s="36">
        <v>631835783.72000003</v>
      </c>
      <c r="E134" s="36">
        <v>200819.46</v>
      </c>
      <c r="F134" s="36">
        <v>39828541.75</v>
      </c>
      <c r="G134" s="27">
        <v>1280570.6499999999</v>
      </c>
      <c r="H134" s="29">
        <f t="shared" si="70"/>
        <v>38748790.560000002</v>
      </c>
      <c r="I134" s="27">
        <v>582270460.34000003</v>
      </c>
      <c r="J134" s="30">
        <f t="shared" si="71"/>
        <v>1.1938758431184459E-2</v>
      </c>
      <c r="K134" s="27">
        <v>629403816.55999994</v>
      </c>
      <c r="L134" s="30">
        <f t="shared" si="72"/>
        <v>1.2509025148016903E-2</v>
      </c>
      <c r="M134" s="30">
        <f t="shared" si="73"/>
        <v>8.0947531139528781E-2</v>
      </c>
      <c r="N134" s="51">
        <f t="shared" ref="N134:N158" si="78">(G134/K134)</f>
        <v>2.0345771924278207E-3</v>
      </c>
      <c r="O134" s="52">
        <f t="shared" ref="O134:O158" si="79">H134/K134</f>
        <v>6.1564276447799632E-2</v>
      </c>
      <c r="P134" s="53">
        <f t="shared" ref="P134:P158" si="80">K134/V134</f>
        <v>1208.7903077652877</v>
      </c>
      <c r="Q134" s="53">
        <f t="shared" ref="Q134:Q158" si="81">H134/V134</f>
        <v>74.418300674682968</v>
      </c>
      <c r="R134" s="27">
        <v>1201.4618</v>
      </c>
      <c r="S134" s="27">
        <v>1213.5728999999999</v>
      </c>
      <c r="T134" s="27">
        <v>176</v>
      </c>
      <c r="U134" s="27">
        <v>520837</v>
      </c>
      <c r="V134" s="27">
        <v>520689</v>
      </c>
    </row>
    <row r="135" spans="1:22" ht="14.25">
      <c r="A135" s="55">
        <v>113</v>
      </c>
      <c r="B135" s="24" t="s">
        <v>163</v>
      </c>
      <c r="C135" s="25" t="s">
        <v>56</v>
      </c>
      <c r="D135" s="36">
        <v>6271894046.2799997</v>
      </c>
      <c r="E135" s="36">
        <v>62914229.159999996</v>
      </c>
      <c r="F135" s="36"/>
      <c r="G135" s="27">
        <v>10645416.98</v>
      </c>
      <c r="H135" s="29">
        <f t="shared" si="70"/>
        <v>52268812.179999992</v>
      </c>
      <c r="I135" s="27">
        <v>7191275300</v>
      </c>
      <c r="J135" s="30">
        <f t="shared" si="71"/>
        <v>0.14744848737253657</v>
      </c>
      <c r="K135" s="27">
        <v>7315183144</v>
      </c>
      <c r="L135" s="30">
        <f t="shared" si="72"/>
        <v>0.14538489838013599</v>
      </c>
      <c r="M135" s="30">
        <f t="shared" si="73"/>
        <v>1.7230301835336494E-2</v>
      </c>
      <c r="N135" s="51">
        <f t="shared" si="78"/>
        <v>1.455249550208664E-3</v>
      </c>
      <c r="O135" s="52">
        <f t="shared" si="79"/>
        <v>7.1452499754393016E-3</v>
      </c>
      <c r="P135" s="53">
        <f t="shared" si="80"/>
        <v>771.91648653094853</v>
      </c>
      <c r="Q135" s="53">
        <f t="shared" si="81"/>
        <v>5.5155362564264516</v>
      </c>
      <c r="R135" s="27">
        <v>768.05690000000004</v>
      </c>
      <c r="S135" s="27">
        <v>791.21439999999996</v>
      </c>
      <c r="T135" s="27">
        <v>20952</v>
      </c>
      <c r="U135" s="27">
        <v>9415491</v>
      </c>
      <c r="V135" s="27">
        <v>9476651</v>
      </c>
    </row>
    <row r="136" spans="1:22" ht="14.25">
      <c r="A136" s="55">
        <v>114</v>
      </c>
      <c r="B136" s="24" t="s">
        <v>164</v>
      </c>
      <c r="C136" s="24" t="s">
        <v>105</v>
      </c>
      <c r="D136" s="27">
        <v>1635381465.8299999</v>
      </c>
      <c r="E136" s="27">
        <v>7004304.3799999999</v>
      </c>
      <c r="F136" s="27">
        <v>84367954.400000006</v>
      </c>
      <c r="G136" s="27">
        <v>2489112</v>
      </c>
      <c r="H136" s="29">
        <f t="shared" si="70"/>
        <v>88883146.780000001</v>
      </c>
      <c r="I136" s="27">
        <v>1470620458.8399999</v>
      </c>
      <c r="J136" s="30">
        <f t="shared" si="71"/>
        <v>3.0153311215197622E-2</v>
      </c>
      <c r="K136" s="27">
        <v>1551531225.4100001</v>
      </c>
      <c r="L136" s="30">
        <f t="shared" si="72"/>
        <v>3.083575695912074E-2</v>
      </c>
      <c r="M136" s="30">
        <f t="shared" si="73"/>
        <v>5.5018115710032477E-2</v>
      </c>
      <c r="N136" s="51">
        <f t="shared" si="78"/>
        <v>1.6042938480611238E-3</v>
      </c>
      <c r="O136" s="52">
        <f t="shared" si="79"/>
        <v>5.728737219356457E-2</v>
      </c>
      <c r="P136" s="53">
        <f t="shared" si="80"/>
        <v>3.6936480176307307</v>
      </c>
      <c r="Q136" s="53">
        <f t="shared" si="81"/>
        <v>0.21159938873803361</v>
      </c>
      <c r="R136" s="27">
        <v>3.6145999999999998</v>
      </c>
      <c r="S136" s="27">
        <v>3.7090000000000001</v>
      </c>
      <c r="T136" s="27">
        <v>2752</v>
      </c>
      <c r="U136" s="27">
        <v>422259204.98000002</v>
      </c>
      <c r="V136" s="27">
        <v>420053891.98000002</v>
      </c>
    </row>
    <row r="137" spans="1:22" ht="14.25">
      <c r="A137" s="55">
        <v>115</v>
      </c>
      <c r="B137" s="24" t="s">
        <v>165</v>
      </c>
      <c r="C137" s="24" t="s">
        <v>58</v>
      </c>
      <c r="D137" s="36">
        <v>3346844357.5500002</v>
      </c>
      <c r="E137" s="36">
        <v>24938312</v>
      </c>
      <c r="F137" s="36">
        <v>810515097.73000002</v>
      </c>
      <c r="G137" s="27">
        <v>8737467.3900000006</v>
      </c>
      <c r="H137" s="29">
        <f t="shared" si="70"/>
        <v>826715942.34000003</v>
      </c>
      <c r="I137" s="27">
        <v>3111243765.9200001</v>
      </c>
      <c r="J137" s="30">
        <f t="shared" si="71"/>
        <v>6.3792327229099166E-2</v>
      </c>
      <c r="K137" s="27">
        <v>3319877866.8499999</v>
      </c>
      <c r="L137" s="30">
        <f t="shared" si="72"/>
        <v>6.598059088955735E-2</v>
      </c>
      <c r="M137" s="30">
        <f t="shared" si="73"/>
        <v>6.7058101719749491E-2</v>
      </c>
      <c r="N137" s="51">
        <f t="shared" si="78"/>
        <v>2.6318641047751471E-3</v>
      </c>
      <c r="O137" s="52">
        <f t="shared" si="79"/>
        <v>0.24901998672752773</v>
      </c>
      <c r="P137" s="53">
        <f t="shared" si="80"/>
        <v>6174.0853483211422</v>
      </c>
      <c r="Q137" s="53">
        <f t="shared" si="81"/>
        <v>1537.4706514935542</v>
      </c>
      <c r="R137" s="27">
        <v>6174.09</v>
      </c>
      <c r="S137" s="27">
        <v>6221.7</v>
      </c>
      <c r="T137" s="27">
        <v>867</v>
      </c>
      <c r="U137" s="27">
        <v>536770.81999999995</v>
      </c>
      <c r="V137" s="27">
        <v>537711.68999999994</v>
      </c>
    </row>
    <row r="138" spans="1:22" ht="14.1" customHeight="1">
      <c r="A138" s="55">
        <v>116</v>
      </c>
      <c r="B138" s="24" t="s">
        <v>166</v>
      </c>
      <c r="C138" s="25" t="s">
        <v>60</v>
      </c>
      <c r="D138" s="36">
        <v>450840489.83999997</v>
      </c>
      <c r="E138" s="36">
        <v>11801654.199999999</v>
      </c>
      <c r="F138" s="36">
        <v>28649726.329999998</v>
      </c>
      <c r="G138" s="27">
        <v>1123719.79</v>
      </c>
      <c r="H138" s="29">
        <f t="shared" si="70"/>
        <v>39327660.740000002</v>
      </c>
      <c r="I138" s="27">
        <v>464067507.43000001</v>
      </c>
      <c r="J138" s="30">
        <f t="shared" si="71"/>
        <v>9.5151484479111623E-3</v>
      </c>
      <c r="K138" s="27">
        <v>527039378.58999997</v>
      </c>
      <c r="L138" s="30">
        <f t="shared" si="72"/>
        <v>1.0474593047131667E-2</v>
      </c>
      <c r="M138" s="30">
        <f t="shared" si="73"/>
        <v>0.13569549721060498</v>
      </c>
      <c r="N138" s="51">
        <f t="shared" si="78"/>
        <v>2.1321362988213749E-3</v>
      </c>
      <c r="O138" s="52">
        <f t="shared" si="79"/>
        <v>7.4619966434413598E-2</v>
      </c>
      <c r="P138" s="53">
        <f t="shared" si="80"/>
        <v>193.81378593009691</v>
      </c>
      <c r="Q138" s="53">
        <f t="shared" si="81"/>
        <v>14.462378200630456</v>
      </c>
      <c r="R138" s="27">
        <v>191.38</v>
      </c>
      <c r="S138" s="27">
        <v>192.77</v>
      </c>
      <c r="T138" s="27">
        <v>651</v>
      </c>
      <c r="U138" s="27">
        <v>2718659</v>
      </c>
      <c r="V138" s="27">
        <v>2719308</v>
      </c>
    </row>
    <row r="139" spans="1:22" ht="15" customHeight="1">
      <c r="A139" s="55">
        <v>117</v>
      </c>
      <c r="B139" s="24" t="s">
        <v>167</v>
      </c>
      <c r="C139" s="25" t="s">
        <v>62</v>
      </c>
      <c r="D139" s="36">
        <v>248331135.28999999</v>
      </c>
      <c r="E139" s="36">
        <v>1956454.75</v>
      </c>
      <c r="F139" s="36"/>
      <c r="G139" s="27">
        <v>691169.45</v>
      </c>
      <c r="H139" s="29">
        <v>3676035.92</v>
      </c>
      <c r="I139" s="27">
        <v>331444396.5</v>
      </c>
      <c r="J139" s="30">
        <f t="shared" si="71"/>
        <v>6.7958703947863398E-3</v>
      </c>
      <c r="K139" s="27">
        <v>331444396.5</v>
      </c>
      <c r="L139" s="30">
        <f t="shared" si="72"/>
        <v>6.5872595333913899E-3</v>
      </c>
      <c r="M139" s="30">
        <f t="shared" si="73"/>
        <v>0</v>
      </c>
      <c r="N139" s="51">
        <f t="shared" si="78"/>
        <v>2.0853254944076267E-3</v>
      </c>
      <c r="O139" s="52">
        <f t="shared" si="79"/>
        <v>1.1090958117917675E-2</v>
      </c>
      <c r="P139" s="53">
        <f t="shared" si="80"/>
        <v>137.41595449214111</v>
      </c>
      <c r="Q139" s="53">
        <f t="shared" si="81"/>
        <v>1.5240745960060182</v>
      </c>
      <c r="R139" s="27">
        <v>141.68</v>
      </c>
      <c r="S139" s="27">
        <v>142.58000000000001</v>
      </c>
      <c r="T139" s="27">
        <f>549+27+3</f>
        <v>579</v>
      </c>
      <c r="U139" s="27">
        <v>2411979</v>
      </c>
      <c r="V139" s="27">
        <v>2411979</v>
      </c>
    </row>
    <row r="140" spans="1:22" ht="14.25">
      <c r="A140" s="55">
        <v>118</v>
      </c>
      <c r="B140" s="24" t="s">
        <v>168</v>
      </c>
      <c r="C140" s="25" t="s">
        <v>64</v>
      </c>
      <c r="D140" s="50">
        <v>138652919.38</v>
      </c>
      <c r="E140" s="50">
        <v>1429534.23</v>
      </c>
      <c r="F140" s="50"/>
      <c r="G140" s="27">
        <v>455558.55</v>
      </c>
      <c r="H140" s="29">
        <f t="shared" si="70"/>
        <v>973975.67999999993</v>
      </c>
      <c r="I140" s="50">
        <v>182935784.94</v>
      </c>
      <c r="J140" s="30">
        <f t="shared" si="71"/>
        <v>3.7508791765642254E-3</v>
      </c>
      <c r="K140" s="50">
        <v>190206573.44999999</v>
      </c>
      <c r="L140" s="30">
        <f t="shared" si="72"/>
        <v>3.7802421084895971E-3</v>
      </c>
      <c r="M140" s="30">
        <f t="shared" si="73"/>
        <v>3.974503136379081E-2</v>
      </c>
      <c r="N140" s="51">
        <f t="shared" si="78"/>
        <v>2.3950725873296574E-3</v>
      </c>
      <c r="O140" s="52">
        <f t="shared" si="79"/>
        <v>5.1206205039808E-3</v>
      </c>
      <c r="P140" s="53">
        <f t="shared" si="80"/>
        <v>1.5848320160825127</v>
      </c>
      <c r="Q140" s="53">
        <f t="shared" si="81"/>
        <v>8.1153233169173437E-3</v>
      </c>
      <c r="R140" s="27">
        <v>1.5770999999999999</v>
      </c>
      <c r="S140" s="27">
        <v>1.5919000000000001</v>
      </c>
      <c r="T140" s="27">
        <v>293</v>
      </c>
      <c r="U140" s="50">
        <v>119894447.79000001</v>
      </c>
      <c r="V140" s="50">
        <v>120016867.09999999</v>
      </c>
    </row>
    <row r="141" spans="1:22" ht="14.25">
      <c r="A141" s="55">
        <v>119</v>
      </c>
      <c r="B141" s="32" t="s">
        <v>213</v>
      </c>
      <c r="C141" s="33" t="s">
        <v>46</v>
      </c>
      <c r="D141" s="36">
        <f>62314555.45+33685556.09+49341751.58</f>
        <v>145341863.12</v>
      </c>
      <c r="E141" s="36">
        <v>872143.88</v>
      </c>
      <c r="F141" s="36"/>
      <c r="G141" s="27">
        <v>208319.72</v>
      </c>
      <c r="H141" s="29">
        <f>(E141+F141)-G141</f>
        <v>663824.16</v>
      </c>
      <c r="I141" s="27">
        <v>150392947.52000001</v>
      </c>
      <c r="J141" s="30">
        <f t="shared" si="71"/>
        <v>3.0836272703008987E-3</v>
      </c>
      <c r="K141" s="27">
        <v>147522412.84</v>
      </c>
      <c r="L141" s="30">
        <f t="shared" si="72"/>
        <v>2.931919895556872E-3</v>
      </c>
      <c r="M141" s="30">
        <f t="shared" si="73"/>
        <v>-1.9086896874723924E-2</v>
      </c>
      <c r="N141" s="51">
        <f t="shared" si="78"/>
        <v>1.412122510671918E-3</v>
      </c>
      <c r="O141" s="52">
        <f t="shared" si="79"/>
        <v>4.4998190256010191E-3</v>
      </c>
      <c r="P141" s="53">
        <f t="shared" si="80"/>
        <v>142.78247307606691</v>
      </c>
      <c r="Q141" s="53">
        <f t="shared" si="81"/>
        <v>0.64249528887005114</v>
      </c>
      <c r="R141" s="27">
        <v>142.63800000000001</v>
      </c>
      <c r="S141" s="27">
        <v>143.13249999999999</v>
      </c>
      <c r="T141" s="27">
        <v>98</v>
      </c>
      <c r="U141" s="27">
        <v>1038996.65</v>
      </c>
      <c r="V141" s="27">
        <v>1033196.93</v>
      </c>
    </row>
    <row r="142" spans="1:22" ht="14.25">
      <c r="A142" s="55">
        <v>120</v>
      </c>
      <c r="B142" s="32" t="s">
        <v>169</v>
      </c>
      <c r="C142" s="33" t="s">
        <v>170</v>
      </c>
      <c r="D142" s="36">
        <v>145042766.56999999</v>
      </c>
      <c r="E142" s="36">
        <v>2413914.37</v>
      </c>
      <c r="F142" s="36"/>
      <c r="G142" s="27">
        <v>551764.07999999996</v>
      </c>
      <c r="H142" s="29">
        <v>1862150.3</v>
      </c>
      <c r="I142" s="27">
        <v>197037694.00999999</v>
      </c>
      <c r="J142" s="30">
        <f t="shared" si="71"/>
        <v>4.0400219328478783E-3</v>
      </c>
      <c r="K142" s="27">
        <v>200523910.44</v>
      </c>
      <c r="L142" s="30">
        <f t="shared" si="72"/>
        <v>3.9852930225019248E-3</v>
      </c>
      <c r="M142" s="30">
        <f t="shared" si="73"/>
        <v>1.7693144692523026E-2</v>
      </c>
      <c r="N142" s="51">
        <f t="shared" si="78"/>
        <v>2.7516124076639565E-3</v>
      </c>
      <c r="O142" s="52">
        <f t="shared" si="79"/>
        <v>9.2864252243733576E-3</v>
      </c>
      <c r="P142" s="53">
        <f t="shared" si="80"/>
        <v>113.01190143381194</v>
      </c>
      <c r="Q142" s="53">
        <f t="shared" si="81"/>
        <v>1.0494765721293469</v>
      </c>
      <c r="R142" s="27">
        <v>110.17</v>
      </c>
      <c r="S142" s="27">
        <v>113.01</v>
      </c>
      <c r="T142" s="27">
        <v>52</v>
      </c>
      <c r="U142" s="50">
        <v>1778849</v>
      </c>
      <c r="V142" s="27">
        <v>1774361</v>
      </c>
    </row>
    <row r="143" spans="1:22" ht="14.25">
      <c r="A143" s="55">
        <v>121</v>
      </c>
      <c r="B143" s="24" t="s">
        <v>171</v>
      </c>
      <c r="C143" s="25" t="s">
        <v>69</v>
      </c>
      <c r="D143" s="50">
        <v>374894577.56</v>
      </c>
      <c r="E143" s="36">
        <v>4811129.9800000004</v>
      </c>
      <c r="F143" s="36"/>
      <c r="G143" s="27">
        <v>753848.7</v>
      </c>
      <c r="H143" s="29">
        <f t="shared" si="70"/>
        <v>4057281.2800000003</v>
      </c>
      <c r="I143" s="37">
        <v>340885541</v>
      </c>
      <c r="J143" s="30">
        <f t="shared" si="71"/>
        <v>6.989449755541801E-3</v>
      </c>
      <c r="K143" s="27">
        <v>370537738.97000003</v>
      </c>
      <c r="L143" s="30">
        <f t="shared" si="72"/>
        <v>7.3642163792363982E-3</v>
      </c>
      <c r="M143" s="30">
        <f t="shared" si="73"/>
        <v>8.6985789667154076E-2</v>
      </c>
      <c r="N143" s="51">
        <f t="shared" si="78"/>
        <v>2.034472121774981E-3</v>
      </c>
      <c r="O143" s="52">
        <f t="shared" si="79"/>
        <v>1.0949711333798826E-2</v>
      </c>
      <c r="P143" s="53">
        <f t="shared" si="80"/>
        <v>1.5369963492465364</v>
      </c>
      <c r="Q143" s="53">
        <f t="shared" si="81"/>
        <v>1.6829666345352219E-2</v>
      </c>
      <c r="R143" s="27">
        <v>1.42</v>
      </c>
      <c r="S143" s="27">
        <v>1.44</v>
      </c>
      <c r="T143" s="27">
        <v>108</v>
      </c>
      <c r="U143" s="27">
        <v>238989428.34999999</v>
      </c>
      <c r="V143" s="27">
        <v>241079127.58000001</v>
      </c>
    </row>
    <row r="144" spans="1:22" ht="14.25">
      <c r="A144" s="55">
        <v>122</v>
      </c>
      <c r="B144" s="25" t="s">
        <v>172</v>
      </c>
      <c r="C144" s="25" t="s">
        <v>73</v>
      </c>
      <c r="D144" s="27">
        <v>8410761542.1300001</v>
      </c>
      <c r="E144" s="36">
        <v>93772909.670000002</v>
      </c>
      <c r="F144" s="36"/>
      <c r="G144" s="27">
        <v>15353267.25</v>
      </c>
      <c r="H144" s="29">
        <f t="shared" si="70"/>
        <v>78419642.420000002</v>
      </c>
      <c r="I144" s="27">
        <v>8060468855.8000002</v>
      </c>
      <c r="J144" s="30">
        <f t="shared" si="71"/>
        <v>0.16527026024176136</v>
      </c>
      <c r="K144" s="27">
        <v>8321415006.2600002</v>
      </c>
      <c r="L144" s="30">
        <f t="shared" si="72"/>
        <v>0.16538315599881431</v>
      </c>
      <c r="M144" s="30">
        <f t="shared" si="73"/>
        <v>3.2373569717626699E-2</v>
      </c>
      <c r="N144" s="51">
        <f t="shared" si="78"/>
        <v>1.8450308317095238E-3</v>
      </c>
      <c r="O144" s="52">
        <f t="shared" si="79"/>
        <v>9.4238350522124897E-3</v>
      </c>
      <c r="P144" s="53">
        <f t="shared" si="80"/>
        <v>305.08211935672057</v>
      </c>
      <c r="Q144" s="53">
        <f t="shared" si="81"/>
        <v>2.8750435701971377</v>
      </c>
      <c r="R144" s="27">
        <v>305.08</v>
      </c>
      <c r="S144" s="27">
        <v>307.47000000000003</v>
      </c>
      <c r="T144" s="27">
        <v>5499</v>
      </c>
      <c r="U144" s="27">
        <v>27407005</v>
      </c>
      <c r="V144" s="27">
        <v>27275984</v>
      </c>
    </row>
    <row r="145" spans="1:22" ht="15.75" customHeight="1">
      <c r="A145" s="55">
        <v>123</v>
      </c>
      <c r="B145" s="31" t="s">
        <v>173</v>
      </c>
      <c r="C145" s="24" t="s">
        <v>75</v>
      </c>
      <c r="D145" s="36">
        <v>2860732673.9899998</v>
      </c>
      <c r="E145" s="36">
        <v>18005957.329999998</v>
      </c>
      <c r="F145" s="36">
        <v>114070437.01000001</v>
      </c>
      <c r="G145" s="27">
        <v>8636316.7899999991</v>
      </c>
      <c r="H145" s="29">
        <f t="shared" si="70"/>
        <v>123440077.55000001</v>
      </c>
      <c r="I145" s="27">
        <v>2625013532.1799998</v>
      </c>
      <c r="J145" s="30">
        <f t="shared" si="71"/>
        <v>5.3822758621461804E-2</v>
      </c>
      <c r="K145" s="27">
        <v>2770919459.29</v>
      </c>
      <c r="L145" s="30">
        <f t="shared" si="72"/>
        <v>5.5070370225636829E-2</v>
      </c>
      <c r="M145" s="30">
        <f t="shared" si="73"/>
        <v>5.5582923791188753E-2</v>
      </c>
      <c r="N145" s="51">
        <f t="shared" si="78"/>
        <v>3.1167693312215234E-3</v>
      </c>
      <c r="O145" s="52">
        <f t="shared" si="79"/>
        <v>4.4548417723274204E-2</v>
      </c>
      <c r="P145" s="53">
        <f t="shared" si="80"/>
        <v>1.9542891296939782</v>
      </c>
      <c r="Q145" s="53">
        <f t="shared" si="81"/>
        <v>8.7060488501661329E-2</v>
      </c>
      <c r="R145" s="27">
        <v>1.9354</v>
      </c>
      <c r="S145" s="27">
        <v>1.9354</v>
      </c>
      <c r="T145" s="27">
        <v>10309</v>
      </c>
      <c r="U145" s="27">
        <v>1419907628.6700001</v>
      </c>
      <c r="V145" s="27">
        <v>1417865666.4400001</v>
      </c>
    </row>
    <row r="146" spans="1:22" ht="14.25">
      <c r="A146" s="55">
        <v>124</v>
      </c>
      <c r="B146" s="24" t="s">
        <v>174</v>
      </c>
      <c r="C146" s="25" t="s">
        <v>77</v>
      </c>
      <c r="D146" s="27">
        <v>178333172.06999999</v>
      </c>
      <c r="E146" s="36">
        <v>3079558.11</v>
      </c>
      <c r="F146" s="36"/>
      <c r="G146" s="27">
        <v>455403.1</v>
      </c>
      <c r="H146" s="29">
        <f t="shared" si="70"/>
        <v>2624155.0099999998</v>
      </c>
      <c r="I146" s="27">
        <v>190022959.22999999</v>
      </c>
      <c r="J146" s="30">
        <f t="shared" si="71"/>
        <v>3.8961931974036208E-3</v>
      </c>
      <c r="K146" s="27">
        <v>210084413.56</v>
      </c>
      <c r="L146" s="30">
        <f t="shared" si="72"/>
        <v>4.1753023151201458E-3</v>
      </c>
      <c r="M146" s="30">
        <f t="shared" si="73"/>
        <v>0.10557384439907616</v>
      </c>
      <c r="N146" s="51">
        <f t="shared" si="78"/>
        <v>2.1677148355888718E-3</v>
      </c>
      <c r="O146" s="52">
        <f t="shared" si="79"/>
        <v>1.2490955257137828E-2</v>
      </c>
      <c r="P146" s="53">
        <f t="shared" si="80"/>
        <v>273.34984704024077</v>
      </c>
      <c r="Q146" s="53">
        <f t="shared" si="81"/>
        <v>3.4144007089251169</v>
      </c>
      <c r="R146" s="27">
        <v>269.66000000000003</v>
      </c>
      <c r="S146" s="27">
        <v>275.08999999999997</v>
      </c>
      <c r="T146" s="27">
        <v>39</v>
      </c>
      <c r="U146" s="29">
        <v>768555.08</v>
      </c>
      <c r="V146" s="29">
        <v>768555.08</v>
      </c>
    </row>
    <row r="147" spans="1:22" ht="14.25">
      <c r="A147" s="55">
        <v>125</v>
      </c>
      <c r="B147" s="25" t="s">
        <v>175</v>
      </c>
      <c r="C147" s="25" t="s">
        <v>34</v>
      </c>
      <c r="D147" s="27">
        <v>2668589850.6500001</v>
      </c>
      <c r="E147" s="27">
        <v>15496995.869999999</v>
      </c>
      <c r="F147" s="27"/>
      <c r="G147" s="27">
        <v>6071084.21</v>
      </c>
      <c r="H147" s="29">
        <f t="shared" si="70"/>
        <v>9425911.6600000001</v>
      </c>
      <c r="I147" s="37">
        <v>2538127271.5599999</v>
      </c>
      <c r="J147" s="30">
        <f t="shared" si="71"/>
        <v>5.2041259907057838E-2</v>
      </c>
      <c r="K147" s="27">
        <v>2630713636.0999999</v>
      </c>
      <c r="L147" s="30">
        <f t="shared" si="72"/>
        <v>5.2283863181927265E-2</v>
      </c>
      <c r="M147" s="30">
        <f t="shared" si="73"/>
        <v>3.6478219818777621E-2</v>
      </c>
      <c r="N147" s="51">
        <f t="shared" si="78"/>
        <v>2.3077708370418857E-3</v>
      </c>
      <c r="O147" s="52">
        <f t="shared" si="79"/>
        <v>3.5830245947916233E-3</v>
      </c>
      <c r="P147" s="53">
        <f t="shared" si="80"/>
        <v>3.6804541312582582</v>
      </c>
      <c r="Q147" s="53">
        <f t="shared" si="81"/>
        <v>1.3187157672300776E-2</v>
      </c>
      <c r="R147" s="27">
        <v>3.65</v>
      </c>
      <c r="S147" s="27">
        <v>3.72</v>
      </c>
      <c r="T147" s="27">
        <v>2563</v>
      </c>
      <c r="U147" s="27">
        <v>713826152.26999998</v>
      </c>
      <c r="V147" s="27">
        <v>714779628.35000002</v>
      </c>
    </row>
    <row r="148" spans="1:22" ht="14.25">
      <c r="A148" s="55">
        <v>126</v>
      </c>
      <c r="B148" s="25" t="s">
        <v>176</v>
      </c>
      <c r="C148" s="25" t="s">
        <v>115</v>
      </c>
      <c r="D148" s="36">
        <v>224700305.28999999</v>
      </c>
      <c r="E148" s="36">
        <v>2931512.53</v>
      </c>
      <c r="F148" s="36">
        <v>3338046.91</v>
      </c>
      <c r="G148" s="86">
        <v>1525032.59</v>
      </c>
      <c r="H148" s="29">
        <f t="shared" si="70"/>
        <v>4744526.8499999996</v>
      </c>
      <c r="I148" s="27">
        <v>190531717.43000001</v>
      </c>
      <c r="J148" s="30">
        <f t="shared" si="71"/>
        <v>3.9066246749787292E-3</v>
      </c>
      <c r="K148" s="27">
        <v>219321789.62</v>
      </c>
      <c r="L148" s="30">
        <f t="shared" si="72"/>
        <v>4.3588896503030964E-3</v>
      </c>
      <c r="M148" s="30">
        <f t="shared" si="73"/>
        <v>0.15110382973678524</v>
      </c>
      <c r="N148" s="51">
        <f t="shared" si="78"/>
        <v>6.9534020885124673E-3</v>
      </c>
      <c r="O148" s="52">
        <f t="shared" si="79"/>
        <v>2.1632719932754667E-2</v>
      </c>
      <c r="P148" s="53">
        <f t="shared" si="80"/>
        <v>189.00455710812014</v>
      </c>
      <c r="Q148" s="53">
        <f t="shared" si="81"/>
        <v>4.0886826499342979</v>
      </c>
      <c r="R148" s="27">
        <v>189.00460000000001</v>
      </c>
      <c r="S148" s="27">
        <v>193.6396</v>
      </c>
      <c r="T148" s="27">
        <v>139</v>
      </c>
      <c r="U148" s="50">
        <v>1043613.58</v>
      </c>
      <c r="V148" s="87">
        <v>1160404.77</v>
      </c>
    </row>
    <row r="149" spans="1:22" ht="14.25">
      <c r="A149" s="55">
        <v>127</v>
      </c>
      <c r="B149" s="24" t="s">
        <v>177</v>
      </c>
      <c r="C149" s="25" t="s">
        <v>30</v>
      </c>
      <c r="D149" s="36">
        <v>1650743867.75</v>
      </c>
      <c r="E149" s="50">
        <v>7920285.0899999999</v>
      </c>
      <c r="F149" s="50">
        <v>13119585.07</v>
      </c>
      <c r="G149" s="27">
        <v>1049279.3</v>
      </c>
      <c r="H149" s="29">
        <f t="shared" si="70"/>
        <v>19990590.859999999</v>
      </c>
      <c r="I149" s="37">
        <v>1635771855.8900001</v>
      </c>
      <c r="J149" s="30">
        <f t="shared" si="71"/>
        <v>3.3539542817606689E-2</v>
      </c>
      <c r="K149" s="27">
        <v>1741661751.78</v>
      </c>
      <c r="L149" s="30">
        <f t="shared" si="72"/>
        <v>3.4614487677289647E-2</v>
      </c>
      <c r="M149" s="30">
        <f t="shared" si="73"/>
        <v>6.4733902535807283E-2</v>
      </c>
      <c r="N149" s="51">
        <f t="shared" si="78"/>
        <v>6.0245871445912137E-4</v>
      </c>
      <c r="O149" s="52">
        <f t="shared" si="79"/>
        <v>1.1477883601433727E-2</v>
      </c>
      <c r="P149" s="53">
        <f t="shared" si="80"/>
        <v>2334.8237171124069</v>
      </c>
      <c r="Q149" s="53">
        <f t="shared" si="81"/>
        <v>26.798834854883033</v>
      </c>
      <c r="R149" s="27">
        <v>552.22</v>
      </c>
      <c r="S149" s="27">
        <v>552.22</v>
      </c>
      <c r="T149" s="27">
        <v>830</v>
      </c>
      <c r="U149" s="50">
        <v>745950</v>
      </c>
      <c r="V149" s="27">
        <v>745950</v>
      </c>
    </row>
    <row r="150" spans="1:22" ht="14.25">
      <c r="A150" s="55">
        <v>128</v>
      </c>
      <c r="B150" s="24" t="s">
        <v>179</v>
      </c>
      <c r="C150" s="25" t="s">
        <v>84</v>
      </c>
      <c r="D150" s="27">
        <f>5667484.23+5246371.63</f>
        <v>10913855.859999999</v>
      </c>
      <c r="E150" s="36">
        <v>83828.88</v>
      </c>
      <c r="F150" s="36">
        <v>1488663.3</v>
      </c>
      <c r="G150" s="27">
        <v>8393.9599999999991</v>
      </c>
      <c r="H150" s="29">
        <f t="shared" si="70"/>
        <v>1564098.2200000002</v>
      </c>
      <c r="I150" s="27">
        <v>26381079.989999998</v>
      </c>
      <c r="J150" s="30">
        <f t="shared" si="71"/>
        <v>5.4091244980975655E-4</v>
      </c>
      <c r="K150" s="27">
        <v>27069558.600000001</v>
      </c>
      <c r="L150" s="30">
        <f t="shared" si="72"/>
        <v>5.379913187114235E-4</v>
      </c>
      <c r="M150" s="30">
        <f t="shared" si="73"/>
        <v>2.609743840134587E-2</v>
      </c>
      <c r="N150" s="51">
        <f t="shared" si="78"/>
        <v>3.1008854351987839E-4</v>
      </c>
      <c r="O150" s="52">
        <f t="shared" si="79"/>
        <v>5.7780706479639461E-2</v>
      </c>
      <c r="P150" s="53">
        <f t="shared" si="80"/>
        <v>1.7210948058890321</v>
      </c>
      <c r="Q150" s="53">
        <f t="shared" si="81"/>
        <v>9.9446073802706217E-2</v>
      </c>
      <c r="R150" s="27">
        <v>1.7211000000000001</v>
      </c>
      <c r="S150" s="27">
        <v>1.7211000000000001</v>
      </c>
      <c r="T150" s="27">
        <v>8</v>
      </c>
      <c r="U150" s="27">
        <v>15784817.890000001</v>
      </c>
      <c r="V150" s="27">
        <v>15728104.289999999</v>
      </c>
    </row>
    <row r="151" spans="1:22" ht="14.25">
      <c r="A151" s="55">
        <v>129</v>
      </c>
      <c r="B151" s="25" t="s">
        <v>180</v>
      </c>
      <c r="C151" s="25" t="s">
        <v>40</v>
      </c>
      <c r="D151" s="36">
        <v>290645397.77999997</v>
      </c>
      <c r="E151" s="36">
        <v>2018370.61</v>
      </c>
      <c r="F151" s="36">
        <v>96418063.209999993</v>
      </c>
      <c r="G151" s="27">
        <v>361114.84</v>
      </c>
      <c r="H151" s="29">
        <f t="shared" si="70"/>
        <v>98075318.979999989</v>
      </c>
      <c r="I151" s="27">
        <v>240686944.86000001</v>
      </c>
      <c r="J151" s="30">
        <f t="shared" si="71"/>
        <v>4.934997544861635E-3</v>
      </c>
      <c r="K151" s="27">
        <v>322709014.91000003</v>
      </c>
      <c r="L151" s="30">
        <f t="shared" si="72"/>
        <v>6.4136490386472473E-3</v>
      </c>
      <c r="M151" s="30">
        <f t="shared" si="73"/>
        <v>0.34078321156018521</v>
      </c>
      <c r="N151" s="51">
        <f t="shared" si="78"/>
        <v>1.1190106979215035E-3</v>
      </c>
      <c r="O151" s="52">
        <f t="shared" si="79"/>
        <v>0.30391254798801365</v>
      </c>
      <c r="P151" s="53">
        <f t="shared" si="80"/>
        <v>3.1470711784001906</v>
      </c>
      <c r="Q151" s="53">
        <f t="shared" si="81"/>
        <v>0.95643442052724248</v>
      </c>
      <c r="R151" s="27">
        <v>2.81</v>
      </c>
      <c r="S151" s="27">
        <v>2.86</v>
      </c>
      <c r="T151" s="27">
        <v>120</v>
      </c>
      <c r="U151" s="27">
        <v>102816689.90000001</v>
      </c>
      <c r="V151" s="27">
        <v>102542648.90000001</v>
      </c>
    </row>
    <row r="152" spans="1:22" ht="14.25">
      <c r="A152" s="55">
        <v>130</v>
      </c>
      <c r="B152" s="24" t="s">
        <v>181</v>
      </c>
      <c r="C152" s="24" t="s">
        <v>44</v>
      </c>
      <c r="D152" s="27">
        <v>2924756434.1700001</v>
      </c>
      <c r="E152" s="27">
        <v>22053792.329999998</v>
      </c>
      <c r="F152" s="27"/>
      <c r="G152" s="27">
        <v>5133267.37</v>
      </c>
      <c r="H152" s="29">
        <f t="shared" si="70"/>
        <v>16920524.959999997</v>
      </c>
      <c r="I152" s="37">
        <v>2871334088.1399999</v>
      </c>
      <c r="J152" s="30">
        <f t="shared" si="71"/>
        <v>5.8873266614816504E-2</v>
      </c>
      <c r="K152" s="27">
        <v>2958802094.98</v>
      </c>
      <c r="L152" s="30">
        <f t="shared" si="72"/>
        <v>5.880442545836017E-2</v>
      </c>
      <c r="M152" s="30">
        <f t="shared" si="73"/>
        <v>3.0462497276539633E-2</v>
      </c>
      <c r="N152" s="51">
        <f t="shared" si="78"/>
        <v>1.7349140649552969E-3</v>
      </c>
      <c r="O152" s="52">
        <f t="shared" si="79"/>
        <v>5.7187079151755065E-3</v>
      </c>
      <c r="P152" s="53">
        <f t="shared" si="80"/>
        <v>5586.0941903019029</v>
      </c>
      <c r="Q152" s="53">
        <f t="shared" si="81"/>
        <v>31.945241060995404</v>
      </c>
      <c r="R152" s="27">
        <v>5557.85</v>
      </c>
      <c r="S152" s="27">
        <v>5605.45</v>
      </c>
      <c r="T152" s="27">
        <v>2243</v>
      </c>
      <c r="U152" s="27">
        <v>529261.98</v>
      </c>
      <c r="V152" s="27">
        <v>529672.79</v>
      </c>
    </row>
    <row r="153" spans="1:22" ht="14.25">
      <c r="A153" s="55">
        <v>131</v>
      </c>
      <c r="B153" s="32" t="s">
        <v>214</v>
      </c>
      <c r="C153" s="32" t="s">
        <v>215</v>
      </c>
      <c r="D153" s="27">
        <v>629325884.96000004</v>
      </c>
      <c r="E153" s="27">
        <v>22144534.870000001</v>
      </c>
      <c r="F153" s="27">
        <v>0</v>
      </c>
      <c r="G153" s="27">
        <v>818786.1</v>
      </c>
      <c r="H153" s="27">
        <v>8944323</v>
      </c>
      <c r="I153" s="27">
        <v>604710541.92999995</v>
      </c>
      <c r="J153" s="30">
        <f t="shared" si="71"/>
        <v>1.2398865428751607E-2</v>
      </c>
      <c r="K153" s="27">
        <v>626855077.79999995</v>
      </c>
      <c r="L153" s="30">
        <f t="shared" si="72"/>
        <v>1.2458370486564709E-2</v>
      </c>
      <c r="M153" s="30">
        <f t="shared" si="73"/>
        <v>3.6620059242432411E-2</v>
      </c>
      <c r="N153" s="51">
        <f t="shared" si="78"/>
        <v>1.3061808526359838E-3</v>
      </c>
      <c r="O153" s="52">
        <f t="shared" si="79"/>
        <v>1.4268565920197769E-2</v>
      </c>
      <c r="P153" s="53">
        <f t="shared" si="80"/>
        <v>1.2038849244828029</v>
      </c>
      <c r="Q153" s="53">
        <f t="shared" si="81"/>
        <v>1.7177711405315186E-2</v>
      </c>
      <c r="R153" s="27">
        <v>1.204</v>
      </c>
      <c r="S153" s="27">
        <v>1.204</v>
      </c>
      <c r="T153" s="27">
        <v>32</v>
      </c>
      <c r="U153" s="27">
        <v>508493519</v>
      </c>
      <c r="V153" s="27">
        <v>520693519</v>
      </c>
    </row>
    <row r="154" spans="1:22" ht="14.25">
      <c r="A154" s="55">
        <v>132</v>
      </c>
      <c r="B154" s="24" t="s">
        <v>182</v>
      </c>
      <c r="C154" s="24" t="s">
        <v>48</v>
      </c>
      <c r="D154" s="36">
        <v>1327925151</v>
      </c>
      <c r="E154" s="36">
        <v>12035496</v>
      </c>
      <c r="F154" s="36"/>
      <c r="G154" s="36">
        <v>3091173</v>
      </c>
      <c r="H154" s="29">
        <f t="shared" si="70"/>
        <v>8944323</v>
      </c>
      <c r="I154" s="27">
        <v>1689465118.47</v>
      </c>
      <c r="J154" s="30">
        <f t="shared" si="71"/>
        <v>3.4640458860901183E-2</v>
      </c>
      <c r="K154" s="27">
        <v>1822186265.0699999</v>
      </c>
      <c r="L154" s="30">
        <f t="shared" si="72"/>
        <v>3.621486431193055E-2</v>
      </c>
      <c r="M154" s="30">
        <f t="shared" si="73"/>
        <v>7.8558086313255032E-2</v>
      </c>
      <c r="N154" s="51">
        <f t="shared" si="78"/>
        <v>1.6964089013596266E-3</v>
      </c>
      <c r="O154" s="52">
        <f t="shared" si="79"/>
        <v>4.9085667977287716E-3</v>
      </c>
      <c r="P154" s="53">
        <f t="shared" si="80"/>
        <v>1.9984675657461493</v>
      </c>
      <c r="Q154" s="53">
        <f t="shared" si="81"/>
        <v>9.8096115395593896E-3</v>
      </c>
      <c r="R154" s="27">
        <v>2</v>
      </c>
      <c r="S154" s="27">
        <v>2</v>
      </c>
      <c r="T154" s="27">
        <v>1418</v>
      </c>
      <c r="U154" s="27">
        <v>926704506</v>
      </c>
      <c r="V154" s="27">
        <v>911791763</v>
      </c>
    </row>
    <row r="155" spans="1:22" ht="14.25">
      <c r="A155" s="55">
        <v>133</v>
      </c>
      <c r="B155" s="28" t="s">
        <v>183</v>
      </c>
      <c r="C155" s="24" t="s">
        <v>91</v>
      </c>
      <c r="D155" s="27">
        <v>8361229470.6800003</v>
      </c>
      <c r="E155" s="50">
        <v>34795196.789999999</v>
      </c>
      <c r="F155" s="50"/>
      <c r="G155" s="50">
        <v>11460912.73</v>
      </c>
      <c r="H155" s="29">
        <f t="shared" si="70"/>
        <v>23334284.059999999</v>
      </c>
      <c r="I155" s="50">
        <v>8956856000.6700001</v>
      </c>
      <c r="J155" s="30">
        <f t="shared" si="71"/>
        <v>0.1836496050863772</v>
      </c>
      <c r="K155" s="50">
        <v>8814968037.0100002</v>
      </c>
      <c r="L155" s="30">
        <f t="shared" si="72"/>
        <v>0.17519222787142372</v>
      </c>
      <c r="M155" s="30">
        <f t="shared" si="73"/>
        <v>-1.5841268816802034E-2</v>
      </c>
      <c r="N155" s="51">
        <f t="shared" si="78"/>
        <v>1.3001649786908919E-3</v>
      </c>
      <c r="O155" s="52">
        <f t="shared" si="79"/>
        <v>2.6471206658980569E-3</v>
      </c>
      <c r="P155" s="53">
        <f t="shared" si="80"/>
        <v>434.95537582258146</v>
      </c>
      <c r="Q155" s="53">
        <f t="shared" si="81"/>
        <v>1.1513793640834113</v>
      </c>
      <c r="R155" s="27">
        <v>431.86</v>
      </c>
      <c r="S155" s="27">
        <v>436.53</v>
      </c>
      <c r="T155" s="27">
        <v>29</v>
      </c>
      <c r="U155" s="50">
        <v>20266373.350000001</v>
      </c>
      <c r="V155" s="50">
        <v>20266373.350000001</v>
      </c>
    </row>
    <row r="156" spans="1:22" ht="14.25">
      <c r="A156" s="55">
        <v>134</v>
      </c>
      <c r="B156" s="24" t="s">
        <v>184</v>
      </c>
      <c r="C156" s="24" t="s">
        <v>48</v>
      </c>
      <c r="D156" s="50">
        <v>541813763</v>
      </c>
      <c r="E156" s="50">
        <v>6604276.5</v>
      </c>
      <c r="F156" s="50"/>
      <c r="G156" s="27">
        <v>1818031</v>
      </c>
      <c r="H156" s="29">
        <f t="shared" si="70"/>
        <v>4786245.5</v>
      </c>
      <c r="I156" s="50">
        <v>1089759119</v>
      </c>
      <c r="J156" s="30">
        <f t="shared" si="71"/>
        <v>2.2344205581585518E-2</v>
      </c>
      <c r="K156" s="50">
        <v>1061699896</v>
      </c>
      <c r="L156" s="30">
        <f t="shared" si="72"/>
        <v>2.1100651679071748E-2</v>
      </c>
      <c r="M156" s="30">
        <f t="shared" si="73"/>
        <v>-2.5748096538754452E-2</v>
      </c>
      <c r="N156" s="51">
        <f t="shared" si="78"/>
        <v>1.71237748713126E-3</v>
      </c>
      <c r="O156" s="52">
        <f t="shared" si="79"/>
        <v>4.5080964197438331E-3</v>
      </c>
      <c r="P156" s="53">
        <f t="shared" si="80"/>
        <v>1.6361401004359577</v>
      </c>
      <c r="Q156" s="53">
        <f t="shared" si="81"/>
        <v>7.3758773289746568E-3</v>
      </c>
      <c r="R156" s="27">
        <v>1.64</v>
      </c>
      <c r="S156" s="27">
        <v>1.64</v>
      </c>
      <c r="T156" s="27">
        <v>223</v>
      </c>
      <c r="U156" s="27">
        <v>656390778</v>
      </c>
      <c r="V156" s="27">
        <v>648905247</v>
      </c>
    </row>
    <row r="157" spans="1:22" ht="14.25">
      <c r="A157" s="55">
        <v>135</v>
      </c>
      <c r="B157" s="24" t="s">
        <v>185</v>
      </c>
      <c r="C157" s="24" t="s">
        <v>42</v>
      </c>
      <c r="D157" s="36">
        <v>386357268.32999998</v>
      </c>
      <c r="E157" s="36">
        <v>1232215.9099999999</v>
      </c>
      <c r="F157" s="36">
        <v>16728817.199999999</v>
      </c>
      <c r="G157" s="27">
        <v>705782.68</v>
      </c>
      <c r="H157" s="29">
        <f t="shared" si="70"/>
        <v>17255250.43</v>
      </c>
      <c r="I157" s="27">
        <v>317157764.36000001</v>
      </c>
      <c r="J157" s="30">
        <f t="shared" si="71"/>
        <v>6.5029401131865144E-3</v>
      </c>
      <c r="K157" s="27">
        <v>382626922.37</v>
      </c>
      <c r="L157" s="30">
        <f t="shared" si="72"/>
        <v>7.6044816829901963E-3</v>
      </c>
      <c r="M157" s="30">
        <f t="shared" si="73"/>
        <v>0.20642457908010456</v>
      </c>
      <c r="N157" s="51">
        <f t="shared" si="78"/>
        <v>1.8445714055570523E-3</v>
      </c>
      <c r="O157" s="52">
        <f t="shared" si="79"/>
        <v>4.5096801665498551E-2</v>
      </c>
      <c r="P157" s="53">
        <f t="shared" si="80"/>
        <v>232.27223010572925</v>
      </c>
      <c r="Q157" s="53">
        <f t="shared" si="81"/>
        <v>10.474734693481112</v>
      </c>
      <c r="R157" s="27">
        <v>230.78</v>
      </c>
      <c r="S157" s="27">
        <v>233.5</v>
      </c>
      <c r="T157" s="27">
        <v>694</v>
      </c>
      <c r="U157" s="27">
        <v>1427759</v>
      </c>
      <c r="V157" s="27">
        <v>1647321</v>
      </c>
    </row>
    <row r="158" spans="1:22" ht="14.25">
      <c r="A158" s="55">
        <v>136</v>
      </c>
      <c r="B158" s="24" t="s">
        <v>186</v>
      </c>
      <c r="C158" s="24" t="s">
        <v>95</v>
      </c>
      <c r="D158" s="27">
        <v>3603290707.2600002</v>
      </c>
      <c r="E158" s="50">
        <v>18338784.710000001</v>
      </c>
      <c r="F158" s="50"/>
      <c r="G158" s="27">
        <v>31445283.77</v>
      </c>
      <c r="H158" s="29">
        <f t="shared" si="70"/>
        <v>-13106499.059999999</v>
      </c>
      <c r="I158" s="37">
        <v>3477776347.23</v>
      </c>
      <c r="J158" s="30">
        <f t="shared" si="71"/>
        <v>7.1307638829937292E-2</v>
      </c>
      <c r="K158" s="27">
        <v>3583218871.5300002</v>
      </c>
      <c r="L158" s="30">
        <f t="shared" si="72"/>
        <v>7.1214336163061165E-2</v>
      </c>
      <c r="M158" s="30">
        <f t="shared" si="73"/>
        <v>3.0318949171065493E-2</v>
      </c>
      <c r="N158" s="51">
        <f t="shared" si="78"/>
        <v>8.7757083497869513E-3</v>
      </c>
      <c r="O158" s="52">
        <f t="shared" si="79"/>
        <v>-3.6577444833571244E-3</v>
      </c>
      <c r="P158" s="53">
        <f t="shared" si="80"/>
        <v>20.186844240822662</v>
      </c>
      <c r="Q158" s="53">
        <f t="shared" si="81"/>
        <v>-7.3838318158258628E-2</v>
      </c>
      <c r="R158" s="50">
        <v>20.186900000000001</v>
      </c>
      <c r="S158" s="50">
        <v>20.4343</v>
      </c>
      <c r="T158" s="50">
        <v>6263</v>
      </c>
      <c r="U158" s="27">
        <v>178342827.69999999</v>
      </c>
      <c r="V158" s="27">
        <v>177502675.94</v>
      </c>
    </row>
    <row r="159" spans="1:22" ht="15" customHeight="1">
      <c r="A159" s="98" t="s">
        <v>49</v>
      </c>
      <c r="B159" s="98"/>
      <c r="C159" s="98"/>
      <c r="D159" s="98"/>
      <c r="E159" s="98"/>
      <c r="F159" s="98"/>
      <c r="G159" s="98"/>
      <c r="H159" s="98"/>
      <c r="I159" s="56">
        <f>SUM(I133:I158)</f>
        <v>48771441661.730003</v>
      </c>
      <c r="J159" s="104">
        <f>(I159/$I$185)</f>
        <v>1.7016507118065537E-2</v>
      </c>
      <c r="K159" s="58">
        <f>SUM(K133:K158)</f>
        <v>50315976593.890007</v>
      </c>
      <c r="L159" s="104">
        <f>(K159/$K$185)</f>
        <v>1.8989788986884158E-2</v>
      </c>
      <c r="M159" s="57">
        <f t="shared" si="73"/>
        <v>3.1668838966717891E-2</v>
      </c>
      <c r="N159" s="51"/>
      <c r="O159" s="51"/>
      <c r="P159" s="66"/>
      <c r="Q159" s="66"/>
      <c r="R159" s="58"/>
      <c r="S159" s="58"/>
      <c r="T159" s="58">
        <f>SUM(T133:T158)</f>
        <v>68770</v>
      </c>
      <c r="U159" s="58"/>
      <c r="V159" s="62"/>
    </row>
    <row r="160" spans="1:22" ht="6" customHeight="1">
      <c r="A160" s="100"/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  <c r="L160" s="100"/>
      <c r="M160" s="100"/>
      <c r="N160" s="100"/>
      <c r="O160" s="100"/>
      <c r="P160" s="100"/>
      <c r="Q160" s="100"/>
      <c r="R160" s="100"/>
      <c r="S160" s="100"/>
      <c r="T160" s="100"/>
      <c r="U160" s="100"/>
      <c r="V160" s="100"/>
    </row>
    <row r="161" spans="1:22">
      <c r="A161" s="96" t="s">
        <v>187</v>
      </c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</row>
    <row r="162" spans="1:22" ht="14.25">
      <c r="A162" s="55">
        <v>137</v>
      </c>
      <c r="B162" s="25" t="s">
        <v>188</v>
      </c>
      <c r="C162" s="25" t="s">
        <v>24</v>
      </c>
      <c r="D162" s="27">
        <v>688476961.99000001</v>
      </c>
      <c r="E162" s="27">
        <v>18921411.91</v>
      </c>
      <c r="F162" s="27"/>
      <c r="G162" s="27">
        <v>698599.71</v>
      </c>
      <c r="H162" s="29">
        <f t="shared" ref="H162:H164" si="82">(E162+F162)-G162</f>
        <v>18222812.199999999</v>
      </c>
      <c r="I162" s="27">
        <v>1039375650</v>
      </c>
      <c r="J162" s="30">
        <f>(I162/$I$165)</f>
        <v>0.20368582171442012</v>
      </c>
      <c r="K162" s="27">
        <v>1013347171</v>
      </c>
      <c r="L162" s="30">
        <f>(K162/$K$165)</f>
        <v>0.19438778212378316</v>
      </c>
      <c r="M162" s="30">
        <f>((K162-I162)/I162)</f>
        <v>-2.5042417532102085E-2</v>
      </c>
      <c r="N162" s="51">
        <f>(G162/K162)</f>
        <v>6.8939819441209051E-4</v>
      </c>
      <c r="O162" s="52">
        <f>H162/K162</f>
        <v>1.7982792789579909E-2</v>
      </c>
      <c r="P162" s="53">
        <f>K162/V162</f>
        <v>64.393904526579732</v>
      </c>
      <c r="Q162" s="53">
        <f>H162/V162</f>
        <v>1.1579822420134749</v>
      </c>
      <c r="R162" s="27">
        <v>64.071899999999999</v>
      </c>
      <c r="S162" s="27">
        <v>66.003699999999995</v>
      </c>
      <c r="T162" s="27">
        <v>1522</v>
      </c>
      <c r="U162" s="27">
        <v>16265146</v>
      </c>
      <c r="V162" s="27">
        <v>15736694</v>
      </c>
    </row>
    <row r="163" spans="1:22" ht="14.25">
      <c r="A163" s="55">
        <v>138</v>
      </c>
      <c r="B163" s="25" t="s">
        <v>189</v>
      </c>
      <c r="C163" s="24" t="s">
        <v>44</v>
      </c>
      <c r="D163" s="27">
        <v>3425141201.9699998</v>
      </c>
      <c r="E163" s="27">
        <v>16630724.859999999</v>
      </c>
      <c r="F163" s="27"/>
      <c r="G163" s="27">
        <v>10448950.65</v>
      </c>
      <c r="H163" s="29">
        <f t="shared" si="82"/>
        <v>6181774.209999999</v>
      </c>
      <c r="I163" s="37">
        <v>3257082957.7600002</v>
      </c>
      <c r="J163" s="30">
        <f t="shared" ref="J163:J164" si="83">(I163/$I$165)</f>
        <v>0.63828859050467424</v>
      </c>
      <c r="K163" s="27">
        <v>3401596714.4200001</v>
      </c>
      <c r="L163" s="30">
        <f t="shared" ref="L163:L164" si="84">(K163/$K$165)</f>
        <v>0.65251955096803793</v>
      </c>
      <c r="M163" s="30">
        <f t="shared" ref="M163:M165" si="85">((K163-I163)/I163)</f>
        <v>4.4369074578126978E-2</v>
      </c>
      <c r="N163" s="51">
        <f t="shared" ref="N163:N164" si="86">(G163/K163)</f>
        <v>3.071778205130831E-3</v>
      </c>
      <c r="O163" s="52">
        <f t="shared" ref="O163:O164" si="87">H163/K163</f>
        <v>1.8173154341883946E-3</v>
      </c>
      <c r="P163" s="53">
        <f t="shared" ref="P163:P164" si="88">K163/V163</f>
        <v>2.4216105594728186</v>
      </c>
      <c r="Q163" s="53">
        <f t="shared" ref="Q163:Q164" si="89">H163/V163</f>
        <v>4.4008302453235467E-3</v>
      </c>
      <c r="R163" s="27">
        <v>2.4</v>
      </c>
      <c r="S163" s="27">
        <v>2.4300000000000002</v>
      </c>
      <c r="T163" s="27">
        <v>10051</v>
      </c>
      <c r="U163" s="27">
        <v>1426214859.97</v>
      </c>
      <c r="V163" s="27">
        <v>1404683631.3599999</v>
      </c>
    </row>
    <row r="164" spans="1:22" ht="14.25">
      <c r="A164" s="55">
        <v>139</v>
      </c>
      <c r="B164" s="25" t="s">
        <v>190</v>
      </c>
      <c r="C164" s="24" t="s">
        <v>95</v>
      </c>
      <c r="D164" s="50">
        <v>798816790.60000002</v>
      </c>
      <c r="E164" s="50">
        <v>5774384.0999999996</v>
      </c>
      <c r="F164" s="50"/>
      <c r="G164" s="50">
        <v>6220635.7400000002</v>
      </c>
      <c r="H164" s="29">
        <f t="shared" si="82"/>
        <v>-446251.6400000006</v>
      </c>
      <c r="I164" s="50">
        <v>806378895.86000001</v>
      </c>
      <c r="J164" s="30">
        <f t="shared" si="83"/>
        <v>0.1580255877809057</v>
      </c>
      <c r="K164" s="50">
        <v>798074957.26999998</v>
      </c>
      <c r="L164" s="30">
        <f t="shared" si="84"/>
        <v>0.1530926669081788</v>
      </c>
      <c r="M164" s="30">
        <f t="shared" si="85"/>
        <v>-1.0297812396421802E-2</v>
      </c>
      <c r="N164" s="51">
        <f t="shared" si="86"/>
        <v>7.7945507290181409E-3</v>
      </c>
      <c r="O164" s="52">
        <f t="shared" si="87"/>
        <v>-5.5916005875752267E-4</v>
      </c>
      <c r="P164" s="53">
        <f t="shared" si="88"/>
        <v>22.678902780896458</v>
      </c>
      <c r="Q164" s="53">
        <f t="shared" si="89"/>
        <v>-1.2681136611522209E-2</v>
      </c>
      <c r="R164" s="50">
        <v>22.678999999999998</v>
      </c>
      <c r="S164" s="50">
        <v>22.878599999999999</v>
      </c>
      <c r="T164" s="50">
        <v>1499</v>
      </c>
      <c r="U164" s="50">
        <v>36496748.909999996</v>
      </c>
      <c r="V164" s="50">
        <v>35190192.619999997</v>
      </c>
    </row>
    <row r="165" spans="1:22" ht="15" customHeight="1">
      <c r="A165" s="98" t="s">
        <v>49</v>
      </c>
      <c r="B165" s="98"/>
      <c r="C165" s="98"/>
      <c r="D165" s="98"/>
      <c r="E165" s="98"/>
      <c r="F165" s="98"/>
      <c r="G165" s="98"/>
      <c r="H165" s="98"/>
      <c r="I165" s="56">
        <f>SUM(I162:I164)</f>
        <v>5102837503.6199999</v>
      </c>
      <c r="J165" s="104">
        <f>(I165/$I$185)</f>
        <v>1.7803958165710167E-3</v>
      </c>
      <c r="K165" s="58">
        <f>SUM(K162:K164)</f>
        <v>5213018842.6900005</v>
      </c>
      <c r="L165" s="104">
        <f>(K165/$K$185)</f>
        <v>1.9674491982205763E-3</v>
      </c>
      <c r="M165" s="57">
        <f t="shared" si="85"/>
        <v>2.159217082492574E-2</v>
      </c>
      <c r="N165" s="51"/>
      <c r="O165" s="67"/>
      <c r="P165" s="66"/>
      <c r="Q165" s="66"/>
      <c r="R165" s="58"/>
      <c r="S165" s="58"/>
      <c r="T165" s="58">
        <f>SUM(T162:T164)</f>
        <v>13072</v>
      </c>
      <c r="U165" s="27"/>
      <c r="V165" s="48"/>
    </row>
    <row r="166" spans="1:22" ht="8.1" customHeight="1">
      <c r="A166" s="100"/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</row>
    <row r="167" spans="1:22">
      <c r="A167" s="96" t="s">
        <v>191</v>
      </c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</row>
    <row r="168" spans="1:22" ht="12.95" customHeight="1">
      <c r="A168" s="102" t="s">
        <v>192</v>
      </c>
      <c r="B168" s="102"/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</row>
    <row r="169" spans="1:22" ht="15" customHeight="1">
      <c r="A169" s="61">
        <v>140</v>
      </c>
      <c r="B169" s="27" t="s">
        <v>193</v>
      </c>
      <c r="C169" s="48" t="s">
        <v>118</v>
      </c>
      <c r="D169" s="68">
        <v>4204722581.6399999</v>
      </c>
      <c r="E169" s="36">
        <v>60935221.439999998</v>
      </c>
      <c r="F169" s="36"/>
      <c r="G169" s="27">
        <v>18884094.039999999</v>
      </c>
      <c r="H169" s="29">
        <f t="shared" ref="H169:H170" si="90">(E169+F169)-G169</f>
        <v>42051127.399999999</v>
      </c>
      <c r="I169" s="36">
        <v>4008643325.6700001</v>
      </c>
      <c r="J169" s="46">
        <f>(I169/$I$184)</f>
        <v>8.1654125818691956E-2</v>
      </c>
      <c r="K169" s="36">
        <v>4030273565.54</v>
      </c>
      <c r="L169" s="30">
        <f t="shared" ref="L169:L170" si="91">(K169/$K$184)</f>
        <v>8.1642867753175849E-2</v>
      </c>
      <c r="M169" s="30">
        <f t="shared" ref="M169:M170" si="92">((K169-I169)/I169)</f>
        <v>5.3959003365271043E-3</v>
      </c>
      <c r="N169" s="51">
        <f t="shared" ref="N169" si="93">(G169/K169)</f>
        <v>4.6855613478609601E-3</v>
      </c>
      <c r="O169" s="52">
        <f t="shared" ref="O169" si="94">H169/K169</f>
        <v>1.0433814657036994E-2</v>
      </c>
      <c r="P169" s="53">
        <f t="shared" ref="P169" si="95">K169/V169</f>
        <v>1.9300433744979204</v>
      </c>
      <c r="Q169" s="53">
        <f t="shared" ref="Q169" si="96">H169/V169</f>
        <v>2.0137714849553543E-2</v>
      </c>
      <c r="R169" s="36">
        <v>1.93</v>
      </c>
      <c r="S169" s="36">
        <v>1.96</v>
      </c>
      <c r="T169" s="36">
        <v>14957</v>
      </c>
      <c r="U169" s="27">
        <v>2084117807.99</v>
      </c>
      <c r="V169" s="27">
        <v>2088177716</v>
      </c>
    </row>
    <row r="170" spans="1:22" ht="14.25">
      <c r="A170" s="61">
        <v>141</v>
      </c>
      <c r="B170" s="48" t="s">
        <v>194</v>
      </c>
      <c r="C170" s="48" t="s">
        <v>44</v>
      </c>
      <c r="D170" s="27">
        <v>765794145.60000002</v>
      </c>
      <c r="E170" s="27">
        <v>3113783.57</v>
      </c>
      <c r="F170" s="27"/>
      <c r="G170" s="27">
        <v>2405466.94</v>
      </c>
      <c r="H170" s="29">
        <f t="shared" si="90"/>
        <v>708316.62999999989</v>
      </c>
      <c r="I170" s="37">
        <v>777546061.73000002</v>
      </c>
      <c r="J170" s="46">
        <f>(I170/$I$184)</f>
        <v>1.5838237227982419E-2</v>
      </c>
      <c r="K170" s="27">
        <v>776003168.73000002</v>
      </c>
      <c r="L170" s="30">
        <f t="shared" si="91"/>
        <v>1.5719807365528075E-2</v>
      </c>
      <c r="M170" s="30">
        <f t="shared" si="92"/>
        <v>-1.9843107385395823E-3</v>
      </c>
      <c r="N170" s="51">
        <f t="shared" ref="N170" si="97">(G170/K170)</f>
        <v>3.0998158730933612E-3</v>
      </c>
      <c r="O170" s="52">
        <f t="shared" ref="O170" si="98">H170/K170</f>
        <v>9.1277543513027751E-4</v>
      </c>
      <c r="P170" s="53">
        <f t="shared" ref="P170" si="99">K170/V170</f>
        <v>434.05558026007856</v>
      </c>
      <c r="Q170" s="53">
        <f t="shared" ref="Q170" si="100">H170/V170</f>
        <v>0.39619527114261827</v>
      </c>
      <c r="R170" s="27">
        <v>430.74</v>
      </c>
      <c r="S170" s="27">
        <v>436.33</v>
      </c>
      <c r="T170" s="27">
        <v>815</v>
      </c>
      <c r="U170" s="27">
        <v>1804414.15</v>
      </c>
      <c r="V170" s="27">
        <v>1787796.78</v>
      </c>
    </row>
    <row r="171" spans="1:22" ht="6.95" customHeight="1">
      <c r="A171" s="100"/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  <c r="L171" s="100"/>
      <c r="M171" s="100"/>
      <c r="N171" s="100"/>
      <c r="O171" s="100"/>
      <c r="P171" s="100"/>
      <c r="Q171" s="100"/>
      <c r="R171" s="100"/>
      <c r="S171" s="100"/>
      <c r="T171" s="100"/>
      <c r="U171" s="100"/>
      <c r="V171" s="100"/>
    </row>
    <row r="172" spans="1:22" ht="13.5">
      <c r="A172" s="102" t="s">
        <v>145</v>
      </c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</row>
    <row r="173" spans="1:22" ht="14.25">
      <c r="A173" s="55">
        <v>142</v>
      </c>
      <c r="B173" s="25" t="s">
        <v>195</v>
      </c>
      <c r="C173" s="24" t="s">
        <v>196</v>
      </c>
      <c r="D173" s="88">
        <v>248466692</v>
      </c>
      <c r="E173" s="27">
        <v>3860637</v>
      </c>
      <c r="F173" s="27"/>
      <c r="G173" s="29">
        <v>2902149</v>
      </c>
      <c r="H173" s="29">
        <f t="shared" ref="H173:H183" si="101">(E173+F173)-G173</f>
        <v>958488</v>
      </c>
      <c r="I173" s="27">
        <v>401172971</v>
      </c>
      <c r="J173" s="30">
        <f t="shared" ref="J173:J183" si="102">(I173/$I$184)</f>
        <v>8.1716993974806727E-3</v>
      </c>
      <c r="K173" s="27">
        <v>402264859</v>
      </c>
      <c r="L173" s="30">
        <f t="shared" ref="L173:L183" si="103">(K173/$K$184)</f>
        <v>8.1488405566053808E-3</v>
      </c>
      <c r="M173" s="30">
        <f t="shared" ref="M173:M184" si="104">((K173-I173)/I173)</f>
        <v>2.7217386985924335E-3</v>
      </c>
      <c r="N173" s="51">
        <f t="shared" ref="N173" si="105">(G173/K173)</f>
        <v>7.214522807720572E-3</v>
      </c>
      <c r="O173" s="52">
        <f t="shared" ref="O173" si="106">H173/K173</f>
        <v>2.3827286389935445E-3</v>
      </c>
      <c r="P173" s="53">
        <f t="shared" ref="P173" si="107">K173/V173</f>
        <v>1043.1097889223111</v>
      </c>
      <c r="Q173" s="53">
        <f t="shared" ref="Q173" si="108">H173/V173</f>
        <v>2.4854475676797012</v>
      </c>
      <c r="R173" s="27">
        <v>1043.1099999999999</v>
      </c>
      <c r="S173" s="27">
        <v>1043.1099999999999</v>
      </c>
      <c r="T173" s="27">
        <v>20</v>
      </c>
      <c r="U173" s="27">
        <v>385833</v>
      </c>
      <c r="V173" s="27">
        <v>385640</v>
      </c>
    </row>
    <row r="174" spans="1:22" ht="15" customHeight="1">
      <c r="A174" s="55">
        <v>143</v>
      </c>
      <c r="B174" s="25" t="s">
        <v>197</v>
      </c>
      <c r="C174" s="33" t="s">
        <v>60</v>
      </c>
      <c r="D174" s="27">
        <v>43008534.369999997</v>
      </c>
      <c r="E174" s="27">
        <v>984886.82</v>
      </c>
      <c r="F174" s="27"/>
      <c r="G174" s="27">
        <v>200949</v>
      </c>
      <c r="H174" s="29">
        <f t="shared" si="101"/>
        <v>783937.82</v>
      </c>
      <c r="I174" s="37">
        <v>103876812.67</v>
      </c>
      <c r="J174" s="30">
        <f t="shared" si="102"/>
        <v>2.1159204354962683E-3</v>
      </c>
      <c r="K174" s="27">
        <v>108273220.43000001</v>
      </c>
      <c r="L174" s="30">
        <f t="shared" si="103"/>
        <v>2.1933340437133696E-3</v>
      </c>
      <c r="M174" s="30">
        <f t="shared" si="104"/>
        <v>4.2323283194746153E-2</v>
      </c>
      <c r="N174" s="51">
        <f t="shared" ref="N174:N183" si="109">(G174/K174)</f>
        <v>1.8559436876629716E-3</v>
      </c>
      <c r="O174" s="52">
        <f t="shared" ref="O174:O183" si="110">H174/K174</f>
        <v>7.2403667027418437E-3</v>
      </c>
      <c r="P174" s="53">
        <f t="shared" ref="P174:P183" si="111">K174/V174</f>
        <v>111.05014023676044</v>
      </c>
      <c r="Q174" s="53">
        <f t="shared" ref="Q174:Q183" si="112">H174/V174</f>
        <v>0.80404373770505244</v>
      </c>
      <c r="R174" s="27">
        <v>111.73</v>
      </c>
      <c r="S174" s="27">
        <v>111.73</v>
      </c>
      <c r="T174" s="27">
        <v>69</v>
      </c>
      <c r="U174" s="27">
        <v>939494</v>
      </c>
      <c r="V174" s="27">
        <v>974994</v>
      </c>
    </row>
    <row r="175" spans="1:22" ht="15" customHeight="1">
      <c r="A175" s="55">
        <v>144</v>
      </c>
      <c r="B175" s="25" t="s">
        <v>198</v>
      </c>
      <c r="C175" s="33" t="s">
        <v>170</v>
      </c>
      <c r="D175" s="27">
        <v>38027849.030000001</v>
      </c>
      <c r="E175" s="27">
        <v>594712.72</v>
      </c>
      <c r="F175" s="27"/>
      <c r="G175" s="27">
        <v>242071.98</v>
      </c>
      <c r="H175" s="29">
        <v>352640.74</v>
      </c>
      <c r="I175" s="27">
        <v>55838226.68</v>
      </c>
      <c r="J175" s="30">
        <f t="shared" si="102"/>
        <v>1.1373976720813158E-3</v>
      </c>
      <c r="K175" s="27">
        <v>56223545.009999998</v>
      </c>
      <c r="L175" s="30">
        <f t="shared" si="103"/>
        <v>1.1389428968579531E-3</v>
      </c>
      <c r="M175" s="30">
        <f t="shared" si="104"/>
        <v>6.9006190366358933E-3</v>
      </c>
      <c r="N175" s="51">
        <f t="shared" si="109"/>
        <v>4.305526802995876E-3</v>
      </c>
      <c r="O175" s="52">
        <f t="shared" si="110"/>
        <v>6.2721185570436518E-3</v>
      </c>
      <c r="P175" s="53">
        <f t="shared" si="111"/>
        <v>102.45673837457221</v>
      </c>
      <c r="Q175" s="53">
        <f t="shared" si="112"/>
        <v>0.64262081005332072</v>
      </c>
      <c r="R175" s="27">
        <v>101.3</v>
      </c>
      <c r="S175" s="27">
        <v>102.46</v>
      </c>
      <c r="T175" s="27">
        <v>12</v>
      </c>
      <c r="U175" s="27">
        <v>550825</v>
      </c>
      <c r="V175" s="27">
        <v>548754</v>
      </c>
    </row>
    <row r="176" spans="1:22" ht="15" customHeight="1">
      <c r="A176" s="55">
        <v>145</v>
      </c>
      <c r="B176" s="24" t="s">
        <v>199</v>
      </c>
      <c r="C176" s="24" t="s">
        <v>73</v>
      </c>
      <c r="D176" s="27">
        <v>9707805058.5900002</v>
      </c>
      <c r="E176" s="27">
        <v>113135078.67</v>
      </c>
      <c r="F176" s="27"/>
      <c r="G176" s="27">
        <v>16348815.92</v>
      </c>
      <c r="H176" s="29">
        <f t="shared" si="101"/>
        <v>96786262.75</v>
      </c>
      <c r="I176" s="50">
        <v>9971316862.3099995</v>
      </c>
      <c r="J176" s="30">
        <f t="shared" si="102"/>
        <v>0.20311090199500878</v>
      </c>
      <c r="K176" s="50">
        <v>9584357944.6299992</v>
      </c>
      <c r="L176" s="30">
        <f t="shared" si="103"/>
        <v>0.19415418220318353</v>
      </c>
      <c r="M176" s="30">
        <f t="shared" si="104"/>
        <v>-3.8807203002709081E-2</v>
      </c>
      <c r="N176" s="51">
        <f t="shared" si="109"/>
        <v>1.7057810251296015E-3</v>
      </c>
      <c r="O176" s="52">
        <f t="shared" si="110"/>
        <v>1.0098356437556485E-2</v>
      </c>
      <c r="P176" s="53">
        <f t="shared" si="111"/>
        <v>138.05143080239611</v>
      </c>
      <c r="Q176" s="53">
        <f t="shared" si="112"/>
        <v>1.3940925549572607</v>
      </c>
      <c r="R176" s="27">
        <v>138.05000000000001</v>
      </c>
      <c r="S176" s="27">
        <v>138.05000000000001</v>
      </c>
      <c r="T176" s="27">
        <v>695</v>
      </c>
      <c r="U176" s="50">
        <v>73059762.349999994</v>
      </c>
      <c r="V176" s="50">
        <v>69425995</v>
      </c>
    </row>
    <row r="177" spans="1:22" ht="12.75" customHeight="1">
      <c r="A177" s="55">
        <v>146</v>
      </c>
      <c r="B177" s="24" t="s">
        <v>217</v>
      </c>
      <c r="C177" s="24" t="s">
        <v>58</v>
      </c>
      <c r="D177" s="27">
        <v>263944120.41</v>
      </c>
      <c r="E177" s="27">
        <v>3253366.31</v>
      </c>
      <c r="F177" s="27"/>
      <c r="G177" s="27">
        <v>717276.66</v>
      </c>
      <c r="H177" s="29">
        <f t="shared" si="101"/>
        <v>2536089.65</v>
      </c>
      <c r="I177" s="50">
        <v>247833674.03</v>
      </c>
      <c r="J177" s="30">
        <f t="shared" si="102"/>
        <v>5.0482520786435843E-3</v>
      </c>
      <c r="K177" s="50">
        <v>264866458.40000001</v>
      </c>
      <c r="L177" s="30">
        <f t="shared" si="103"/>
        <v>5.3655060590175789E-3</v>
      </c>
      <c r="M177" s="30">
        <f t="shared" si="104"/>
        <v>6.8726675003567939E-2</v>
      </c>
      <c r="N177" s="51">
        <f t="shared" si="109"/>
        <v>2.7080690561308157E-3</v>
      </c>
      <c r="O177" s="52">
        <f t="shared" si="110"/>
        <v>9.5749747450845964E-3</v>
      </c>
      <c r="P177" s="53">
        <f t="shared" si="111"/>
        <v>1059.1365692233599</v>
      </c>
      <c r="Q177" s="53">
        <f t="shared" si="112"/>
        <v>10.141205901909213</v>
      </c>
      <c r="R177" s="27">
        <v>1059.1400000000001</v>
      </c>
      <c r="S177" s="27">
        <v>1059.1400000000001</v>
      </c>
      <c r="T177" s="27">
        <v>28</v>
      </c>
      <c r="U177" s="50">
        <v>236291.52</v>
      </c>
      <c r="V177" s="50">
        <v>250077.72</v>
      </c>
    </row>
    <row r="178" spans="1:22" ht="12.75" customHeight="1">
      <c r="A178" s="55">
        <v>147</v>
      </c>
      <c r="B178" s="25" t="s">
        <v>117</v>
      </c>
      <c r="C178" s="24" t="s">
        <v>118</v>
      </c>
      <c r="D178" s="27">
        <v>18844989480.57</v>
      </c>
      <c r="E178" s="27">
        <v>280623697.20999998</v>
      </c>
      <c r="F178" s="27"/>
      <c r="G178" s="27">
        <v>33664031.399999999</v>
      </c>
      <c r="H178" s="29">
        <f t="shared" si="101"/>
        <v>246959665.80999997</v>
      </c>
      <c r="I178" s="27">
        <v>18780121746.119999</v>
      </c>
      <c r="J178" s="30">
        <f t="shared" si="102"/>
        <v>0.38254199722090071</v>
      </c>
      <c r="K178" s="27">
        <v>19863186554.669998</v>
      </c>
      <c r="L178" s="30">
        <f t="shared" si="103"/>
        <v>0.40237653515768224</v>
      </c>
      <c r="M178" s="30">
        <f t="shared" si="104"/>
        <v>5.7670808698232323E-2</v>
      </c>
      <c r="N178" s="51">
        <f t="shared" si="109"/>
        <v>1.6947951078919565E-3</v>
      </c>
      <c r="O178" s="52">
        <f t="shared" si="110"/>
        <v>1.2433033598626587E-2</v>
      </c>
      <c r="P178" s="53">
        <f t="shared" si="111"/>
        <v>1228.5899410638451</v>
      </c>
      <c r="Q178" s="53">
        <f t="shared" si="112"/>
        <v>15.275100016181446</v>
      </c>
      <c r="R178" s="29">
        <v>1228.5899999999999</v>
      </c>
      <c r="S178" s="29">
        <v>1228.5899999999999</v>
      </c>
      <c r="T178" s="27">
        <v>8016</v>
      </c>
      <c r="U178" s="27">
        <v>15471013.25</v>
      </c>
      <c r="V178" s="27">
        <v>16167466.369999999</v>
      </c>
    </row>
    <row r="179" spans="1:22" ht="12.75" customHeight="1">
      <c r="A179" s="55">
        <v>148</v>
      </c>
      <c r="B179" s="44" t="s">
        <v>219</v>
      </c>
      <c r="C179" s="45" t="s">
        <v>220</v>
      </c>
      <c r="D179" s="27">
        <v>282285469.18000001</v>
      </c>
      <c r="E179" s="27"/>
      <c r="F179" s="27">
        <v>47567281.729999997</v>
      </c>
      <c r="G179" s="27">
        <v>675681.02</v>
      </c>
      <c r="H179" s="29">
        <f t="shared" si="101"/>
        <v>46891600.709999993</v>
      </c>
      <c r="I179" s="50">
        <v>422504667.66000003</v>
      </c>
      <c r="J179" s="30">
        <f t="shared" si="102"/>
        <v>8.6062157416632E-3</v>
      </c>
      <c r="K179" s="50">
        <v>417768777.06</v>
      </c>
      <c r="L179" s="30">
        <f t="shared" si="103"/>
        <v>8.4629096418038351E-3</v>
      </c>
      <c r="M179" s="30">
        <f t="shared" si="104"/>
        <v>-1.120908468592615E-2</v>
      </c>
      <c r="N179" s="51">
        <f t="shared" si="109"/>
        <v>1.6173564351913226E-3</v>
      </c>
      <c r="O179" s="52">
        <f t="shared" si="110"/>
        <v>0.11224295180696429</v>
      </c>
      <c r="P179" s="53">
        <f t="shared" si="111"/>
        <v>112.33931411895104</v>
      </c>
      <c r="Q179" s="53">
        <f t="shared" si="112"/>
        <v>12.609296220680845</v>
      </c>
      <c r="R179" s="27">
        <v>112.00790000000001</v>
      </c>
      <c r="S179" s="27">
        <v>112.51300000000001</v>
      </c>
      <c r="T179" s="27">
        <v>155</v>
      </c>
      <c r="U179" s="50">
        <v>3673715.57</v>
      </c>
      <c r="V179" s="50">
        <v>3718811.89</v>
      </c>
    </row>
    <row r="180" spans="1:22" ht="12.75" customHeight="1">
      <c r="A180" s="55">
        <v>149</v>
      </c>
      <c r="B180" s="44" t="s">
        <v>221</v>
      </c>
      <c r="C180" s="45" t="s">
        <v>220</v>
      </c>
      <c r="D180" s="27">
        <v>82364559.290000007</v>
      </c>
      <c r="E180" s="27">
        <v>330000</v>
      </c>
      <c r="F180" s="27">
        <v>2365033.15</v>
      </c>
      <c r="G180" s="27">
        <v>238485.03</v>
      </c>
      <c r="H180" s="29">
        <f t="shared" si="101"/>
        <v>2456548.12</v>
      </c>
      <c r="I180" s="50">
        <v>135406731.72</v>
      </c>
      <c r="J180" s="30">
        <f t="shared" si="102"/>
        <v>2.7581696375331105E-3</v>
      </c>
      <c r="K180" s="50">
        <v>153852142.63</v>
      </c>
      <c r="L180" s="30">
        <f t="shared" si="103"/>
        <v>3.1166445478250926E-3</v>
      </c>
      <c r="M180" s="30">
        <f t="shared" si="104"/>
        <v>0.13622225923111583</v>
      </c>
      <c r="N180" s="51">
        <f t="shared" si="109"/>
        <v>1.5500923544076613E-3</v>
      </c>
      <c r="O180" s="52">
        <f t="shared" si="110"/>
        <v>1.5966941233361752E-2</v>
      </c>
      <c r="P180" s="53">
        <f t="shared" si="111"/>
        <v>101.51368596569907</v>
      </c>
      <c r="Q180" s="53">
        <f t="shared" si="112"/>
        <v>1.6208630581962566</v>
      </c>
      <c r="R180" s="27">
        <v>101.51430000000001</v>
      </c>
      <c r="S180" s="27">
        <v>101.51430000000001</v>
      </c>
      <c r="T180" s="27">
        <v>64</v>
      </c>
      <c r="U180" s="50">
        <v>1398764.19</v>
      </c>
      <c r="V180" s="50">
        <v>1515580.3</v>
      </c>
    </row>
    <row r="181" spans="1:22" ht="13.5" customHeight="1">
      <c r="A181" s="55">
        <v>150</v>
      </c>
      <c r="B181" s="24" t="s">
        <v>200</v>
      </c>
      <c r="C181" s="24" t="s">
        <v>218</v>
      </c>
      <c r="D181" s="27">
        <v>824942352.5</v>
      </c>
      <c r="E181" s="27">
        <v>12700556.859999999</v>
      </c>
      <c r="F181" s="27"/>
      <c r="G181" s="27">
        <v>2515504.88</v>
      </c>
      <c r="H181" s="29">
        <f t="shared" si="101"/>
        <v>10185051.98</v>
      </c>
      <c r="I181" s="27">
        <v>1032471806.6799999</v>
      </c>
      <c r="J181" s="30">
        <f t="shared" si="102"/>
        <v>2.1030951361283853E-2</v>
      </c>
      <c r="K181" s="27">
        <v>1089180668.8</v>
      </c>
      <c r="L181" s="30">
        <f t="shared" si="103"/>
        <v>2.2063969568338587E-2</v>
      </c>
      <c r="M181" s="30">
        <f t="shared" si="104"/>
        <v>5.4925337188966084E-2</v>
      </c>
      <c r="N181" s="51">
        <f t="shared" si="109"/>
        <v>2.3095386762339862E-3</v>
      </c>
      <c r="O181" s="52">
        <f t="shared" si="110"/>
        <v>9.3511134302643635E-3</v>
      </c>
      <c r="P181" s="53">
        <f t="shared" si="111"/>
        <v>105.03336583138007</v>
      </c>
      <c r="Q181" s="53">
        <f t="shared" si="112"/>
        <v>0.9821789178516882</v>
      </c>
      <c r="R181" s="27">
        <v>105.03</v>
      </c>
      <c r="S181" s="27">
        <v>105.03</v>
      </c>
      <c r="T181" s="27">
        <v>548</v>
      </c>
      <c r="U181" s="27">
        <v>9924703</v>
      </c>
      <c r="V181" s="27">
        <v>10369854</v>
      </c>
    </row>
    <row r="182" spans="1:22" ht="14.25">
      <c r="A182" s="55">
        <v>151</v>
      </c>
      <c r="B182" s="25" t="s">
        <v>201</v>
      </c>
      <c r="C182" s="25" t="s">
        <v>44</v>
      </c>
      <c r="D182" s="27">
        <v>8136721425.4499998</v>
      </c>
      <c r="E182" s="27">
        <v>63593420.340000004</v>
      </c>
      <c r="F182" s="27"/>
      <c r="G182" s="27">
        <v>13483911.140000001</v>
      </c>
      <c r="H182" s="29">
        <f t="shared" si="101"/>
        <v>50109509.200000003</v>
      </c>
      <c r="I182" s="37">
        <v>8104543689.29</v>
      </c>
      <c r="J182" s="30">
        <f t="shared" si="102"/>
        <v>0.16508563529975923</v>
      </c>
      <c r="K182" s="27">
        <v>8094436236.4499998</v>
      </c>
      <c r="L182" s="30">
        <f t="shared" si="103"/>
        <v>0.16397224070333219</v>
      </c>
      <c r="M182" s="30">
        <f t="shared" si="104"/>
        <v>-1.247134104953615E-3</v>
      </c>
      <c r="N182" s="51">
        <f t="shared" si="109"/>
        <v>1.6658246165780755E-3</v>
      </c>
      <c r="O182" s="52">
        <f t="shared" si="110"/>
        <v>6.1906113948186061E-3</v>
      </c>
      <c r="P182" s="53">
        <f t="shared" si="111"/>
        <v>130.40704224986558</v>
      </c>
      <c r="Q182" s="53">
        <f t="shared" si="112"/>
        <v>0.80729932171660934</v>
      </c>
      <c r="R182" s="27">
        <v>130.41</v>
      </c>
      <c r="S182" s="27">
        <v>130.41</v>
      </c>
      <c r="T182" s="27">
        <v>1160</v>
      </c>
      <c r="U182" s="27">
        <v>63770825.890000001</v>
      </c>
      <c r="V182" s="27">
        <v>62070545.399999999</v>
      </c>
    </row>
    <row r="183" spans="1:22" ht="15" customHeight="1">
      <c r="A183" s="55">
        <v>152</v>
      </c>
      <c r="B183" s="24" t="s">
        <v>202</v>
      </c>
      <c r="C183" s="24" t="s">
        <v>48</v>
      </c>
      <c r="D183" s="50">
        <v>3310669273</v>
      </c>
      <c r="E183" s="50">
        <v>47449566</v>
      </c>
      <c r="F183" s="50"/>
      <c r="G183" s="27">
        <v>7288869</v>
      </c>
      <c r="H183" s="29">
        <f t="shared" si="101"/>
        <v>40160697</v>
      </c>
      <c r="I183" s="37">
        <v>5051690687</v>
      </c>
      <c r="J183" s="30">
        <f t="shared" si="102"/>
        <v>0.10290049611347477</v>
      </c>
      <c r="K183" s="27">
        <v>4523987036</v>
      </c>
      <c r="L183" s="30">
        <f t="shared" si="103"/>
        <v>9.1644219502936428E-2</v>
      </c>
      <c r="M183" s="30">
        <f t="shared" si="104"/>
        <v>-0.10446080009569675</v>
      </c>
      <c r="N183" s="51">
        <f t="shared" si="109"/>
        <v>1.6111604524942764E-3</v>
      </c>
      <c r="O183" s="52">
        <f t="shared" si="110"/>
        <v>8.8772794175619729E-3</v>
      </c>
      <c r="P183" s="53">
        <f t="shared" si="111"/>
        <v>1.2544301036598764</v>
      </c>
      <c r="Q183" s="53">
        <f t="shared" si="112"/>
        <v>1.1135926539989953E-2</v>
      </c>
      <c r="R183" s="29">
        <v>1.25</v>
      </c>
      <c r="S183" s="29">
        <v>1.25</v>
      </c>
      <c r="T183" s="27">
        <v>218</v>
      </c>
      <c r="U183" s="27">
        <v>4230251744</v>
      </c>
      <c r="V183" s="27">
        <v>3606408219</v>
      </c>
    </row>
    <row r="184" spans="1:22" ht="15" customHeight="1">
      <c r="A184" s="98" t="s">
        <v>49</v>
      </c>
      <c r="B184" s="98"/>
      <c r="C184" s="98"/>
      <c r="D184" s="98"/>
      <c r="E184" s="98"/>
      <c r="F184" s="98"/>
      <c r="G184" s="98"/>
      <c r="H184" s="98"/>
      <c r="I184" s="58">
        <f>SUM(I169:I183)</f>
        <v>49092967262.560005</v>
      </c>
      <c r="J184" s="104">
        <f>(I184/$I$185)</f>
        <v>1.712868839646841E-2</v>
      </c>
      <c r="K184" s="58">
        <f>SUM(K169:K183)</f>
        <v>49364674177.349991</v>
      </c>
      <c r="L184" s="104">
        <f>(K184/$K$185)</f>
        <v>1.8630757256294605E-2</v>
      </c>
      <c r="M184" s="57">
        <f t="shared" si="104"/>
        <v>5.5345384469599728E-3</v>
      </c>
      <c r="N184" s="51"/>
      <c r="O184" s="51"/>
      <c r="P184" s="66"/>
      <c r="Q184" s="66"/>
      <c r="R184" s="58"/>
      <c r="S184" s="58"/>
      <c r="T184" s="58">
        <f>SUM(T169:T183)</f>
        <v>26757</v>
      </c>
      <c r="U184" s="58"/>
      <c r="V184" s="58"/>
    </row>
    <row r="185" spans="1:22" ht="15" customHeight="1">
      <c r="A185" s="122" t="s">
        <v>203</v>
      </c>
      <c r="B185" s="122"/>
      <c r="C185" s="122"/>
      <c r="D185" s="122"/>
      <c r="E185" s="122"/>
      <c r="F185" s="122"/>
      <c r="G185" s="122"/>
      <c r="H185" s="122"/>
      <c r="I185" s="123">
        <f>SUM(I22,I56,I91,I122,I130,I159,I165,I184)</f>
        <v>2866125305466.0034</v>
      </c>
      <c r="J185" s="124"/>
      <c r="K185" s="123">
        <f>SUM(K22,K56,K91,K122,K130,K159,K165,K184)</f>
        <v>2649633264942.6582</v>
      </c>
      <c r="L185" s="124"/>
      <c r="M185" s="124"/>
      <c r="N185" s="125"/>
      <c r="O185" s="125"/>
      <c r="P185" s="126"/>
      <c r="Q185" s="126"/>
      <c r="R185" s="123"/>
      <c r="S185" s="123"/>
      <c r="T185" s="123">
        <f>SUM(T22,T56,T91,T122,T130,T159,T165,T184)</f>
        <v>713916</v>
      </c>
      <c r="U185" s="123"/>
      <c r="V185" s="123"/>
    </row>
    <row r="186" spans="1:22" ht="5.0999999999999996" customHeight="1">
      <c r="A186" s="17"/>
      <c r="B186" s="17"/>
      <c r="C186" s="17"/>
      <c r="D186" s="16"/>
      <c r="E186" s="16"/>
      <c r="F186" s="16"/>
      <c r="G186" s="16"/>
      <c r="H186" s="18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</row>
    <row r="187" spans="1:22">
      <c r="A187" s="19" t="s">
        <v>204</v>
      </c>
      <c r="B187" s="23" t="s">
        <v>222</v>
      </c>
      <c r="C187" s="20"/>
      <c r="D187" s="16"/>
      <c r="E187" s="16"/>
      <c r="F187" s="16"/>
      <c r="G187" s="16"/>
      <c r="H187" s="18"/>
      <c r="I187" s="21"/>
      <c r="J187" s="16"/>
      <c r="K187" s="21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22"/>
    </row>
    <row r="189" spans="1:22">
      <c r="B189" s="15"/>
    </row>
  </sheetData>
  <sheetProtection password="CA3B" sheet="1" objects="1" scenarios="1"/>
  <mergeCells count="32">
    <mergeCell ref="A184:H184"/>
    <mergeCell ref="A185:H185"/>
    <mergeCell ref="A166:V166"/>
    <mergeCell ref="A167:V167"/>
    <mergeCell ref="A168:V168"/>
    <mergeCell ref="A171:V171"/>
    <mergeCell ref="A172:V172"/>
    <mergeCell ref="A132:V132"/>
    <mergeCell ref="A159:H159"/>
    <mergeCell ref="A160:V160"/>
    <mergeCell ref="A161:V161"/>
    <mergeCell ref="A165:H165"/>
    <mergeCell ref="A122:H122"/>
    <mergeCell ref="A123:V123"/>
    <mergeCell ref="A124:V124"/>
    <mergeCell ref="A130:H130"/>
    <mergeCell ref="A131:V131"/>
    <mergeCell ref="A92:V92"/>
    <mergeCell ref="A93:V93"/>
    <mergeCell ref="A94:V94"/>
    <mergeCell ref="A110:V110"/>
    <mergeCell ref="A111:V111"/>
    <mergeCell ref="A24:V24"/>
    <mergeCell ref="A56:H56"/>
    <mergeCell ref="A57:V57"/>
    <mergeCell ref="A58:V58"/>
    <mergeCell ref="A91:H91"/>
    <mergeCell ref="A1:V1"/>
    <mergeCell ref="A3:V3"/>
    <mergeCell ref="A4:V4"/>
    <mergeCell ref="A22:H22"/>
    <mergeCell ref="A23:V23"/>
  </mergeCells>
  <pageMargins left="0.7" right="0.7" top="0.75" bottom="0.75" header="0.3" footer="0.3"/>
  <pageSetup orientation="portrait" r:id="rId1"/>
  <ignoredErrors>
    <ignoredError sqref="U125:V125 G128 I125" numberStoredAsText="1"/>
    <ignoredError sqref="K130 T130" formulaRange="1"/>
    <ignoredError sqref="J130 J91 J56 J184 J22 J159 J165 J1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4" sqref="C4"/>
    </sheetView>
  </sheetViews>
  <sheetFormatPr defaultColWidth="9" defaultRowHeight="15"/>
  <cols>
    <col min="1" max="1" width="34" customWidth="1"/>
    <col min="2" max="2" width="13.7109375" customWidth="1"/>
    <col min="3" max="3" width="14.28515625" customWidth="1"/>
    <col min="4" max="4" width="14" customWidth="1"/>
  </cols>
  <sheetData>
    <row r="1" spans="1:5">
      <c r="A1" s="1"/>
      <c r="B1" s="1"/>
      <c r="C1" s="1"/>
      <c r="D1" s="1"/>
    </row>
    <row r="2" spans="1:5">
      <c r="A2" s="10"/>
      <c r="B2" s="10"/>
      <c r="C2" s="10"/>
      <c r="D2" s="10"/>
    </row>
    <row r="3" spans="1:5">
      <c r="A3" s="1"/>
      <c r="B3" s="1"/>
      <c r="C3" s="1"/>
      <c r="D3" s="1"/>
      <c r="E3" s="1"/>
    </row>
    <row r="4" spans="1:5" ht="33" customHeight="1">
      <c r="A4" s="117" t="s">
        <v>205</v>
      </c>
      <c r="B4" s="118" t="s">
        <v>258</v>
      </c>
      <c r="C4" s="118" t="s">
        <v>259</v>
      </c>
      <c r="D4" s="118" t="s">
        <v>260</v>
      </c>
      <c r="E4" s="1"/>
    </row>
    <row r="5" spans="1:5" ht="18.95" customHeight="1">
      <c r="A5" s="119" t="s">
        <v>18</v>
      </c>
      <c r="B5" s="120">
        <v>29.579571642289327</v>
      </c>
      <c r="C5" s="121">
        <v>27.968292639349997</v>
      </c>
      <c r="D5" s="121">
        <f>'March 2024'!K22/1000000000</f>
        <v>29.297637748509999</v>
      </c>
      <c r="E5" s="1"/>
    </row>
    <row r="6" spans="1:5" ht="15.75">
      <c r="A6" s="117" t="s">
        <v>50</v>
      </c>
      <c r="B6" s="120">
        <v>954.71678990712985</v>
      </c>
      <c r="C6" s="121">
        <v>959.12521671342017</v>
      </c>
      <c r="D6" s="121">
        <f>'March 2024'!K56/1000000000</f>
        <v>915.75584160342009</v>
      </c>
      <c r="E6" s="1"/>
    </row>
    <row r="7" spans="1:5" ht="15.75">
      <c r="A7" s="117" t="s">
        <v>206</v>
      </c>
      <c r="B7" s="120">
        <v>297.26469795871998</v>
      </c>
      <c r="C7" s="121">
        <v>290.37195049995</v>
      </c>
      <c r="D7" s="121">
        <f>'March 2024'!K91/1000000000</f>
        <v>276.33373600948005</v>
      </c>
      <c r="E7" s="1"/>
    </row>
    <row r="8" spans="1:5" ht="15.75">
      <c r="A8" s="117" t="s">
        <v>207</v>
      </c>
      <c r="B8" s="120">
        <v>1167.7321175052934</v>
      </c>
      <c r="C8" s="121">
        <f>'[1]February 2024'!K120/1000000000</f>
        <v>1387.5869787181832</v>
      </c>
      <c r="D8" s="121">
        <f>'March 2024'!K122/1000000000</f>
        <v>1226.7907003653677</v>
      </c>
      <c r="E8" s="1"/>
    </row>
    <row r="9" spans="1:5" ht="15.75">
      <c r="A9" s="117" t="s">
        <v>208</v>
      </c>
      <c r="B9" s="120">
        <v>97.676603718220008</v>
      </c>
      <c r="C9" s="121">
        <v>98.105620467190008</v>
      </c>
      <c r="D9" s="121">
        <f>'March 2024'!K130/1000000000</f>
        <v>96.56167960194999</v>
      </c>
      <c r="E9" s="1"/>
    </row>
    <row r="10" spans="1:5" ht="15.75">
      <c r="A10" s="117" t="s">
        <v>161</v>
      </c>
      <c r="B10" s="120">
        <v>46.187915048359997</v>
      </c>
      <c r="C10" s="121">
        <v>48.771441661730002</v>
      </c>
      <c r="D10" s="121">
        <f>'March 2024'!K159/1000000000</f>
        <v>50.315976593890007</v>
      </c>
      <c r="E10" s="1"/>
    </row>
    <row r="11" spans="1:5" ht="15.75">
      <c r="A11" s="117" t="s">
        <v>187</v>
      </c>
      <c r="B11" s="120">
        <v>5.2162301487600002</v>
      </c>
      <c r="C11" s="121">
        <v>5.10283750362</v>
      </c>
      <c r="D11" s="121">
        <f>'March 2024'!K165/1000000000</f>
        <v>5.2130188426900004</v>
      </c>
      <c r="E11" s="1"/>
    </row>
    <row r="12" spans="1:5" ht="15.75">
      <c r="A12" s="117" t="s">
        <v>209</v>
      </c>
      <c r="B12" s="120">
        <v>46.768829487220003</v>
      </c>
      <c r="C12" s="121">
        <v>49.092967262560002</v>
      </c>
      <c r="D12" s="121">
        <f>'March 2024'!K184/1000000000</f>
        <v>49.36467417734999</v>
      </c>
      <c r="E12" s="1"/>
    </row>
    <row r="13" spans="1:5">
      <c r="A13" s="1"/>
      <c r="B13" s="1"/>
      <c r="C13" s="1"/>
      <c r="D13" s="1"/>
      <c r="E13" s="1"/>
    </row>
    <row r="14" spans="1:5">
      <c r="A14" s="1"/>
      <c r="B14" s="1"/>
      <c r="C14" s="1"/>
      <c r="D14" s="1"/>
      <c r="E14" s="1"/>
    </row>
    <row r="15" spans="1:5">
      <c r="A15" s="1"/>
      <c r="B15" s="1"/>
      <c r="C15" s="1"/>
      <c r="D15" s="1"/>
      <c r="E15" s="1"/>
    </row>
    <row r="16" spans="1:5" ht="16.5">
      <c r="A16" s="10"/>
      <c r="B16" s="70"/>
      <c r="C16" s="71"/>
      <c r="D16" s="10"/>
    </row>
    <row r="17" spans="1:4" ht="16.5">
      <c r="A17" s="72"/>
      <c r="B17" s="73"/>
      <c r="C17" s="74"/>
      <c r="D17" s="10"/>
    </row>
    <row r="18" spans="1:4" ht="16.5">
      <c r="A18" s="69"/>
      <c r="B18" s="75"/>
      <c r="C18" s="76"/>
      <c r="D18" s="10"/>
    </row>
    <row r="19" spans="1:4" ht="16.5">
      <c r="A19" s="77"/>
      <c r="B19" s="73"/>
      <c r="C19" s="78"/>
      <c r="D19" s="10"/>
    </row>
    <row r="20" spans="1:4" ht="16.5">
      <c r="A20" s="2"/>
      <c r="B20" s="5"/>
      <c r="C20" s="6">
        <v>92979365311.570007</v>
      </c>
      <c r="D20" s="1"/>
    </row>
    <row r="21" spans="1:4" ht="16.5">
      <c r="A21" s="2"/>
      <c r="B21" s="4"/>
      <c r="C21" s="7">
        <v>33483827699.669998</v>
      </c>
      <c r="D21" s="1"/>
    </row>
    <row r="22" spans="1:4" ht="16.5">
      <c r="A22" s="2"/>
      <c r="B22" s="8"/>
      <c r="C22" s="9">
        <v>3211014587.77</v>
      </c>
      <c r="D22" s="1"/>
    </row>
    <row r="23" spans="1:4" ht="16.5">
      <c r="A23" s="2"/>
      <c r="B23" s="4"/>
      <c r="C23" s="7">
        <v>25485626359.523201</v>
      </c>
      <c r="D23" s="1"/>
    </row>
    <row r="24" spans="1:4" ht="16.5">
      <c r="A24" s="2"/>
      <c r="B24" s="4"/>
      <c r="C24" s="4"/>
      <c r="D24" s="1"/>
    </row>
    <row r="25" spans="1:4" ht="16.5">
      <c r="A25" s="2"/>
      <c r="B25" s="4"/>
      <c r="C25" s="4"/>
      <c r="D25" s="1"/>
    </row>
    <row r="26" spans="1:4" ht="16.5">
      <c r="A26" s="2"/>
      <c r="B26" s="4"/>
      <c r="C26" s="4"/>
      <c r="D26" s="1"/>
    </row>
    <row r="27" spans="1:4">
      <c r="B27" s="10"/>
      <c r="C27" s="10"/>
    </row>
    <row r="28" spans="1:4">
      <c r="B28" s="10"/>
      <c r="C28" s="10"/>
    </row>
  </sheetData>
  <sheetProtection password="CA3B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="85" zoomScaleNormal="85" workbookViewId="0">
      <selection activeCell="L14" sqref="L14"/>
    </sheetView>
  </sheetViews>
  <sheetFormatPr defaultColWidth="9" defaultRowHeight="15"/>
  <cols>
    <col min="1" max="1" width="26.7109375" customWidth="1"/>
    <col min="2" max="2" width="21.28515625" customWidth="1"/>
  </cols>
  <sheetData>
    <row r="1" spans="1:4">
      <c r="A1" s="105" t="s">
        <v>205</v>
      </c>
      <c r="B1" s="106" t="s">
        <v>260</v>
      </c>
      <c r="C1" s="1"/>
      <c r="D1" s="10"/>
    </row>
    <row r="2" spans="1:4">
      <c r="A2" s="105" t="s">
        <v>187</v>
      </c>
      <c r="B2" s="107">
        <f>'March 2024'!K165</f>
        <v>5213018842.6900005</v>
      </c>
      <c r="C2" s="1"/>
      <c r="D2" s="10"/>
    </row>
    <row r="3" spans="1:4">
      <c r="A3" s="105" t="s">
        <v>18</v>
      </c>
      <c r="B3" s="108">
        <f>'March 2024'!K22</f>
        <v>29297637748.509998</v>
      </c>
      <c r="C3" s="1"/>
      <c r="D3" s="10"/>
    </row>
    <row r="4" spans="1:4">
      <c r="A4" s="105" t="s">
        <v>209</v>
      </c>
      <c r="B4" s="109">
        <f>'March 2024'!K184</f>
        <v>49364674177.349991</v>
      </c>
      <c r="C4" s="1"/>
      <c r="D4" s="10"/>
    </row>
    <row r="5" spans="1:4">
      <c r="A5" s="105" t="s">
        <v>161</v>
      </c>
      <c r="B5" s="109">
        <f>'March 2024'!K159</f>
        <v>50315976593.890007</v>
      </c>
      <c r="C5" s="1"/>
      <c r="D5" s="10"/>
    </row>
    <row r="6" spans="1:4">
      <c r="A6" s="105" t="s">
        <v>208</v>
      </c>
      <c r="B6" s="110">
        <f>'March 2024'!K130</f>
        <v>96561679601.949997</v>
      </c>
      <c r="C6" s="1"/>
      <c r="D6" s="10"/>
    </row>
    <row r="7" spans="1:4">
      <c r="A7" s="105" t="s">
        <v>206</v>
      </c>
      <c r="B7" s="110">
        <f>'March 2024'!K91</f>
        <v>276333736009.48004</v>
      </c>
      <c r="C7" s="1"/>
      <c r="D7" s="10"/>
    </row>
    <row r="8" spans="1:4">
      <c r="A8" s="105" t="s">
        <v>50</v>
      </c>
      <c r="B8" s="109">
        <f>'March 2024'!K56</f>
        <v>915755841603.42004</v>
      </c>
      <c r="C8" s="1"/>
      <c r="D8" s="10"/>
    </row>
    <row r="9" spans="1:4">
      <c r="A9" s="105" t="s">
        <v>207</v>
      </c>
      <c r="B9" s="111">
        <f>'March 2024'!K122</f>
        <v>1226790700365.3677</v>
      </c>
      <c r="C9" s="1"/>
      <c r="D9" s="10"/>
    </row>
    <row r="10" spans="1:4">
      <c r="A10" s="1"/>
      <c r="B10" s="1"/>
      <c r="C10" s="1"/>
      <c r="D10" s="10"/>
    </row>
    <row r="11" spans="1:4" ht="16.5">
      <c r="A11" s="112"/>
      <c r="B11" s="1"/>
      <c r="C11" s="1"/>
      <c r="D11" s="10"/>
    </row>
    <row r="12" spans="1:4">
      <c r="A12" s="79"/>
      <c r="B12" s="10"/>
      <c r="C12" s="10"/>
      <c r="D12" s="10"/>
    </row>
    <row r="13" spans="1:4" ht="15" customHeight="1">
      <c r="A13" s="80"/>
      <c r="B13" s="81"/>
      <c r="C13" s="10"/>
      <c r="D13" s="10"/>
    </row>
    <row r="14" spans="1:4">
      <c r="A14" s="82"/>
      <c r="B14" s="81"/>
      <c r="C14" s="10"/>
      <c r="D14" s="10"/>
    </row>
    <row r="15" spans="1:4">
      <c r="A15" s="82"/>
      <c r="B15" s="81"/>
      <c r="C15" s="10"/>
      <c r="D15" s="10"/>
    </row>
    <row r="16" spans="1:4">
      <c r="A16" s="83"/>
      <c r="B16" s="81"/>
      <c r="C16" s="10"/>
      <c r="D16" s="10"/>
    </row>
    <row r="17" spans="1:17">
      <c r="A17" s="83"/>
      <c r="B17" s="81"/>
      <c r="C17" s="10"/>
      <c r="D17" s="10"/>
    </row>
    <row r="18" spans="1:17">
      <c r="A18" s="82"/>
      <c r="B18" s="81"/>
      <c r="C18" s="10"/>
      <c r="D18" s="10"/>
    </row>
    <row r="19" spans="1:17" ht="15.75">
      <c r="A19" s="26"/>
      <c r="B19" s="81"/>
      <c r="C19" s="10"/>
      <c r="D19" s="10"/>
    </row>
    <row r="20" spans="1:17" ht="16.5">
      <c r="A20" s="84"/>
      <c r="B20" s="81"/>
      <c r="C20" s="10"/>
      <c r="D20" s="10"/>
    </row>
    <row r="21" spans="1:17" ht="16.5">
      <c r="A21" s="77"/>
      <c r="B21" s="85"/>
      <c r="C21" s="10"/>
      <c r="D21" s="10"/>
    </row>
    <row r="22" spans="1:17" ht="16.5">
      <c r="A22" s="10"/>
      <c r="B22" s="75"/>
      <c r="C22" s="10"/>
      <c r="D22" s="10"/>
    </row>
    <row r="23" spans="1:17">
      <c r="A23" s="10"/>
      <c r="B23" s="10"/>
      <c r="C23" s="10"/>
      <c r="D23" s="10"/>
    </row>
    <row r="32" spans="1:17" ht="15.95" customHeight="1">
      <c r="A32" s="103" t="s">
        <v>261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3"/>
    </row>
    <row r="33" spans="1:17" ht="16.5">
      <c r="A33" s="103"/>
      <c r="B33" s="103"/>
      <c r="C33" s="103"/>
      <c r="D33" s="103"/>
      <c r="E33" s="103"/>
      <c r="F33" s="103"/>
      <c r="G33" s="103"/>
      <c r="H33" s="103"/>
      <c r="I33" s="103"/>
      <c r="J33" s="103"/>
      <c r="K33" s="103"/>
      <c r="L33" s="103"/>
      <c r="M33" s="103"/>
      <c r="N33" s="103"/>
      <c r="O33" s="103"/>
      <c r="P33" s="103"/>
      <c r="Q33" s="3"/>
    </row>
  </sheetData>
  <sheetProtection password="CA3B" sheet="1" objects="1" scenarios="1"/>
  <sortState ref="A13:A19">
    <sortCondition ref="A12:A19"/>
  </sortState>
  <mergeCells count="1">
    <mergeCell ref="A32:P3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G8" sqref="G8"/>
    </sheetView>
  </sheetViews>
  <sheetFormatPr defaultColWidth="9" defaultRowHeight="15"/>
  <cols>
    <col min="1" max="1" width="34.7109375" customWidth="1"/>
    <col min="2" max="2" width="15" customWidth="1"/>
  </cols>
  <sheetData>
    <row r="2" spans="1:4">
      <c r="A2" s="10"/>
      <c r="B2" s="10"/>
      <c r="C2" s="10"/>
      <c r="D2" s="10"/>
    </row>
    <row r="3" spans="1:4">
      <c r="A3" s="10"/>
      <c r="B3" s="10"/>
      <c r="C3" s="10"/>
      <c r="D3" s="10"/>
    </row>
    <row r="4" spans="1:4">
      <c r="A4" s="1"/>
      <c r="B4" s="1"/>
      <c r="C4" s="10"/>
      <c r="D4" s="10"/>
    </row>
    <row r="5" spans="1:4" ht="15.75">
      <c r="A5" s="113" t="s">
        <v>205</v>
      </c>
      <c r="B5" s="114" t="s">
        <v>210</v>
      </c>
      <c r="C5" s="10"/>
      <c r="D5" s="10"/>
    </row>
    <row r="6" spans="1:4" ht="16.5">
      <c r="A6" s="115" t="s">
        <v>18</v>
      </c>
      <c r="B6" s="116">
        <f>'March 2024'!T22</f>
        <v>49218</v>
      </c>
      <c r="C6" s="10"/>
      <c r="D6" s="10"/>
    </row>
    <row r="7" spans="1:4" ht="16.5">
      <c r="A7" s="115" t="s">
        <v>50</v>
      </c>
      <c r="B7" s="116">
        <f>'March 2024'!T56</f>
        <v>278741</v>
      </c>
      <c r="C7" s="10"/>
      <c r="D7" s="10"/>
    </row>
    <row r="8" spans="1:4" ht="16.5">
      <c r="A8" s="115" t="s">
        <v>206</v>
      </c>
      <c r="B8" s="116">
        <f>'March 2024'!T91</f>
        <v>45197</v>
      </c>
      <c r="C8" s="10"/>
      <c r="D8" s="10"/>
    </row>
    <row r="9" spans="1:4" ht="16.5">
      <c r="A9" s="115" t="s">
        <v>207</v>
      </c>
      <c r="B9" s="116">
        <f>'March 2024'!T122</f>
        <v>15179</v>
      </c>
      <c r="C9" s="10"/>
      <c r="D9" s="10"/>
    </row>
    <row r="10" spans="1:4" ht="16.5">
      <c r="A10" s="115" t="s">
        <v>208</v>
      </c>
      <c r="B10" s="116">
        <f>'March 2024'!T130</f>
        <v>216982</v>
      </c>
      <c r="C10" s="10"/>
      <c r="D10" s="10"/>
    </row>
    <row r="11" spans="1:4" ht="16.5">
      <c r="A11" s="115" t="s">
        <v>161</v>
      </c>
      <c r="B11" s="116">
        <f>'March 2024'!T159</f>
        <v>68770</v>
      </c>
      <c r="C11" s="10"/>
      <c r="D11" s="10"/>
    </row>
    <row r="12" spans="1:4" ht="16.5">
      <c r="A12" s="115" t="s">
        <v>187</v>
      </c>
      <c r="B12" s="116">
        <f>'March 2024'!T165</f>
        <v>13072</v>
      </c>
      <c r="C12" s="10"/>
      <c r="D12" s="10"/>
    </row>
    <row r="13" spans="1:4" ht="16.5">
      <c r="A13" s="115" t="s">
        <v>209</v>
      </c>
      <c r="B13" s="116">
        <f>'March 2024'!T184</f>
        <v>26757</v>
      </c>
      <c r="C13" s="10"/>
      <c r="D13" s="10"/>
    </row>
    <row r="14" spans="1:4">
      <c r="A14" s="1"/>
      <c r="B14" s="1"/>
      <c r="C14" s="10"/>
      <c r="D14" s="10"/>
    </row>
    <row r="15" spans="1:4">
      <c r="A15" s="1"/>
      <c r="B15" s="1"/>
      <c r="C15" s="10"/>
      <c r="D15" s="10"/>
    </row>
    <row r="16" spans="1:4">
      <c r="A16" s="1"/>
      <c r="B16" s="1"/>
      <c r="C16" s="10"/>
      <c r="D16" s="10"/>
    </row>
    <row r="17" spans="1:4">
      <c r="A17" s="10"/>
      <c r="B17" s="10"/>
      <c r="C17" s="10"/>
      <c r="D17" s="10"/>
    </row>
    <row r="18" spans="1:4">
      <c r="A18" s="10"/>
      <c r="B18" s="10"/>
      <c r="C18" s="10"/>
      <c r="D18" s="10"/>
    </row>
    <row r="19" spans="1:4">
      <c r="A19" s="10"/>
      <c r="B19" s="10"/>
      <c r="C19" s="10"/>
      <c r="D19" s="10"/>
    </row>
  </sheetData>
  <sheetProtection password="CA3B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2024</vt:lpstr>
      <vt:lpstr>NAV Comparison</vt:lpstr>
      <vt:lpstr>Market Share</vt:lpstr>
      <vt:lpstr>Unitholders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USER</cp:lastModifiedBy>
  <dcterms:created xsi:type="dcterms:W3CDTF">2023-10-09T09:40:00Z</dcterms:created>
  <dcterms:modified xsi:type="dcterms:W3CDTF">2024-10-04T10:40:50Z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054E73640F5C4E6A998570FE791E2000_13</vt:lpwstr>
  </property>
  <property fmtid="{D5CDD505-2E9C-101B-9397-08002B2CF9AE}" pid="3" name="KSOProductBuildVer">
    <vt:lpwstr>1033-12.2.0.13266</vt:lpwstr>
  </property>
</Properties>
</file>