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Mutual Funds Update 2024\"/>
    </mc:Choice>
  </mc:AlternateContent>
  <bookViews>
    <workbookView xWindow="0" yWindow="0" windowWidth="10245" windowHeight="10920"/>
  </bookViews>
  <sheets>
    <sheet name="February 2024" sheetId="7" r:id="rId1"/>
    <sheet name="NAV Comparison" sheetId="2" r:id="rId2"/>
    <sheet name="Market Share" sheetId="3" r:id="rId3"/>
    <sheet name="Unitholders" sheetId="6" r:id="rId4"/>
  </sheets>
  <definedNames>
    <definedName name="_Hlk160711408" localSheetId="0">'February 2024'!$K$50</definedName>
  </definedNames>
  <calcPr calcId="162913"/>
</workbook>
</file>

<file path=xl/calcChain.xml><?xml version="1.0" encoding="utf-8"?>
<calcChain xmlns="http://schemas.openxmlformats.org/spreadsheetml/2006/main">
  <c r="S118" i="7" l="1"/>
  <c r="R118" i="7"/>
  <c r="K118" i="7"/>
  <c r="G118" i="7"/>
  <c r="E118" i="7"/>
  <c r="D118" i="7"/>
  <c r="I118" i="7"/>
  <c r="N172" i="7" l="1"/>
  <c r="P172" i="7"/>
  <c r="N173" i="7"/>
  <c r="P173" i="7"/>
  <c r="N174" i="7"/>
  <c r="P174" i="7"/>
  <c r="N175" i="7"/>
  <c r="P175" i="7"/>
  <c r="N176" i="7"/>
  <c r="P176" i="7"/>
  <c r="N177" i="7"/>
  <c r="P177" i="7"/>
  <c r="N178" i="7"/>
  <c r="P178" i="7"/>
  <c r="N179" i="7"/>
  <c r="P179" i="7"/>
  <c r="N180" i="7"/>
  <c r="P180" i="7"/>
  <c r="N181" i="7"/>
  <c r="P181" i="7"/>
  <c r="N168" i="7"/>
  <c r="P168" i="7"/>
  <c r="N161" i="7"/>
  <c r="P161" i="7"/>
  <c r="N162" i="7"/>
  <c r="P162" i="7"/>
  <c r="N132" i="7"/>
  <c r="P132" i="7"/>
  <c r="N133" i="7"/>
  <c r="P133" i="7"/>
  <c r="N134" i="7"/>
  <c r="P134" i="7"/>
  <c r="N135" i="7"/>
  <c r="P135" i="7"/>
  <c r="N136" i="7"/>
  <c r="P136" i="7"/>
  <c r="N137" i="7"/>
  <c r="O137" i="7"/>
  <c r="P137" i="7"/>
  <c r="Q137" i="7"/>
  <c r="N138" i="7"/>
  <c r="P138" i="7"/>
  <c r="N139" i="7"/>
  <c r="P139" i="7"/>
  <c r="N140" i="7"/>
  <c r="P140" i="7"/>
  <c r="N141" i="7"/>
  <c r="P141" i="7"/>
  <c r="N142" i="7"/>
  <c r="P142" i="7"/>
  <c r="N143" i="7"/>
  <c r="O143" i="7"/>
  <c r="P143" i="7"/>
  <c r="Q143" i="7"/>
  <c r="N144" i="7"/>
  <c r="P144" i="7"/>
  <c r="N145" i="7"/>
  <c r="P145" i="7"/>
  <c r="N146" i="7"/>
  <c r="P146" i="7"/>
  <c r="N147" i="7"/>
  <c r="P147" i="7"/>
  <c r="N148" i="7"/>
  <c r="P148" i="7"/>
  <c r="N149" i="7"/>
  <c r="P149" i="7"/>
  <c r="N150" i="7"/>
  <c r="P150" i="7"/>
  <c r="N151" i="7"/>
  <c r="P151" i="7"/>
  <c r="N152" i="7"/>
  <c r="P152" i="7"/>
  <c r="N153" i="7"/>
  <c r="P153" i="7"/>
  <c r="N154" i="7"/>
  <c r="P154" i="7"/>
  <c r="N155" i="7"/>
  <c r="P155" i="7"/>
  <c r="N156" i="7"/>
  <c r="P156" i="7"/>
  <c r="N124" i="7"/>
  <c r="P124" i="7"/>
  <c r="N125" i="7"/>
  <c r="P125" i="7"/>
  <c r="N126" i="7"/>
  <c r="P126" i="7"/>
  <c r="N127" i="7"/>
  <c r="P127" i="7"/>
  <c r="P123" i="7"/>
  <c r="N123" i="7"/>
  <c r="N118" i="7"/>
  <c r="P118" i="7"/>
  <c r="N101" i="7"/>
  <c r="P101" i="7"/>
  <c r="N102" i="7"/>
  <c r="P102" i="7"/>
  <c r="N106" i="7"/>
  <c r="P106" i="7"/>
  <c r="N59" i="7"/>
  <c r="P59" i="7"/>
  <c r="N60" i="7"/>
  <c r="P60" i="7"/>
  <c r="N61" i="7"/>
  <c r="P61" i="7"/>
  <c r="N62" i="7"/>
  <c r="P62" i="7"/>
  <c r="N63" i="7"/>
  <c r="P63" i="7"/>
  <c r="N64" i="7"/>
  <c r="P64" i="7"/>
  <c r="N65" i="7"/>
  <c r="P65" i="7"/>
  <c r="N66" i="7"/>
  <c r="P66" i="7"/>
  <c r="N67" i="7"/>
  <c r="P67" i="7"/>
  <c r="N68" i="7"/>
  <c r="P68" i="7"/>
  <c r="N69" i="7"/>
  <c r="P69" i="7"/>
  <c r="N70" i="7"/>
  <c r="P70" i="7"/>
  <c r="N71" i="7"/>
  <c r="P71" i="7"/>
  <c r="N72" i="7"/>
  <c r="P72" i="7"/>
  <c r="N73" i="7"/>
  <c r="P73" i="7"/>
  <c r="N74" i="7"/>
  <c r="P74" i="7"/>
  <c r="N75" i="7"/>
  <c r="P75" i="7"/>
  <c r="N76" i="7"/>
  <c r="P76" i="7"/>
  <c r="N77" i="7"/>
  <c r="P77" i="7"/>
  <c r="N78" i="7"/>
  <c r="P78" i="7"/>
  <c r="N79" i="7"/>
  <c r="P79" i="7"/>
  <c r="N80" i="7"/>
  <c r="P80" i="7"/>
  <c r="N81" i="7"/>
  <c r="P81" i="7"/>
  <c r="N82" i="7"/>
  <c r="P82" i="7"/>
  <c r="N83" i="7"/>
  <c r="P83" i="7"/>
  <c r="N84" i="7"/>
  <c r="P84" i="7"/>
  <c r="N85" i="7"/>
  <c r="P85" i="7"/>
  <c r="N86" i="7"/>
  <c r="P86" i="7"/>
  <c r="N87" i="7"/>
  <c r="P87" i="7"/>
  <c r="N88" i="7"/>
  <c r="P88" i="7"/>
  <c r="N89" i="7"/>
  <c r="P89" i="7"/>
  <c r="N26" i="7"/>
  <c r="P26" i="7"/>
  <c r="N27" i="7"/>
  <c r="P27" i="7"/>
  <c r="N28" i="7"/>
  <c r="P28" i="7"/>
  <c r="N29" i="7"/>
  <c r="P29" i="7"/>
  <c r="N30" i="7"/>
  <c r="P30" i="7"/>
  <c r="N31" i="7"/>
  <c r="P31" i="7"/>
  <c r="N32" i="7"/>
  <c r="P32" i="7"/>
  <c r="N33" i="7"/>
  <c r="P33" i="7"/>
  <c r="N34" i="7"/>
  <c r="O34" i="7"/>
  <c r="P34" i="7"/>
  <c r="Q34" i="7"/>
  <c r="N35" i="7"/>
  <c r="P35" i="7"/>
  <c r="N36" i="7"/>
  <c r="P36" i="7"/>
  <c r="N37" i="7"/>
  <c r="P37" i="7"/>
  <c r="N38" i="7"/>
  <c r="P38" i="7"/>
  <c r="N39" i="7"/>
  <c r="P39" i="7"/>
  <c r="N40" i="7"/>
  <c r="P40" i="7"/>
  <c r="N41" i="7"/>
  <c r="P41" i="7"/>
  <c r="N42" i="7"/>
  <c r="P42" i="7"/>
  <c r="N43" i="7"/>
  <c r="P43" i="7"/>
  <c r="N44" i="7"/>
  <c r="P44" i="7"/>
  <c r="N45" i="7"/>
  <c r="P45" i="7"/>
  <c r="N46" i="7"/>
  <c r="P46" i="7"/>
  <c r="N47" i="7"/>
  <c r="P47" i="7"/>
  <c r="N48" i="7"/>
  <c r="P48" i="7"/>
  <c r="N49" i="7"/>
  <c r="P49" i="7"/>
  <c r="N50" i="7"/>
  <c r="P50" i="7"/>
  <c r="N51" i="7"/>
  <c r="P51" i="7"/>
  <c r="N52" i="7"/>
  <c r="P52" i="7"/>
  <c r="N53" i="7"/>
  <c r="P53" i="7"/>
  <c r="N54" i="7"/>
  <c r="P54" i="7"/>
  <c r="N6" i="7"/>
  <c r="P6" i="7"/>
  <c r="N7" i="7"/>
  <c r="P7" i="7"/>
  <c r="N8" i="7"/>
  <c r="P8" i="7"/>
  <c r="N9" i="7"/>
  <c r="P9" i="7"/>
  <c r="N10" i="7"/>
  <c r="P10" i="7"/>
  <c r="N11" i="7"/>
  <c r="P11" i="7"/>
  <c r="N12" i="7"/>
  <c r="P12" i="7"/>
  <c r="N13" i="7"/>
  <c r="P13" i="7"/>
  <c r="N14" i="7"/>
  <c r="P14" i="7"/>
  <c r="N15" i="7"/>
  <c r="P15" i="7"/>
  <c r="N16" i="7"/>
  <c r="P16" i="7"/>
  <c r="N17" i="7"/>
  <c r="P17" i="7"/>
  <c r="N18" i="7"/>
  <c r="P18" i="7"/>
  <c r="N19" i="7"/>
  <c r="P19" i="7"/>
  <c r="N20" i="7"/>
  <c r="P20" i="7"/>
  <c r="N21" i="7"/>
  <c r="P21" i="7"/>
  <c r="M172" i="7" l="1"/>
  <c r="M173" i="7"/>
  <c r="M174" i="7"/>
  <c r="M175" i="7"/>
  <c r="M176" i="7"/>
  <c r="M177" i="7"/>
  <c r="M178" i="7"/>
  <c r="M179" i="7"/>
  <c r="M180" i="7"/>
  <c r="M181" i="7"/>
  <c r="M168" i="7"/>
  <c r="M161" i="7"/>
  <c r="M162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24" i="7"/>
  <c r="M125" i="7"/>
  <c r="M126" i="7"/>
  <c r="M127" i="7"/>
  <c r="M123" i="7"/>
  <c r="M118" i="7"/>
  <c r="M101" i="7"/>
  <c r="M102" i="7"/>
  <c r="M106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I119" i="7"/>
  <c r="I117" i="7"/>
  <c r="I116" i="7"/>
  <c r="I115" i="7"/>
  <c r="I113" i="7"/>
  <c r="I112" i="7"/>
  <c r="I111" i="7"/>
  <c r="I110" i="7"/>
  <c r="I107" i="7"/>
  <c r="I105" i="7"/>
  <c r="I104" i="7"/>
  <c r="I103" i="7"/>
  <c r="I100" i="7"/>
  <c r="I99" i="7"/>
  <c r="I98" i="7"/>
  <c r="I97" i="7"/>
  <c r="I95" i="7"/>
  <c r="D116" i="7"/>
  <c r="D139" i="7" l="1"/>
  <c r="S99" i="7"/>
  <c r="R98" i="7"/>
  <c r="K98" i="7"/>
  <c r="G98" i="7"/>
  <c r="N98" i="7" s="1"/>
  <c r="E98" i="7"/>
  <c r="D98" i="7"/>
  <c r="S98" i="7"/>
  <c r="H98" i="7"/>
  <c r="D68" i="7"/>
  <c r="D10" i="7"/>
  <c r="O98" i="7" l="1"/>
  <c r="Q98" i="7"/>
  <c r="P98" i="7"/>
  <c r="M98" i="7"/>
  <c r="H79" i="7"/>
  <c r="D148" i="7"/>
  <c r="T137" i="7"/>
  <c r="H138" i="7"/>
  <c r="O138" i="7" l="1"/>
  <c r="Q138" i="7"/>
  <c r="O79" i="7"/>
  <c r="Q79" i="7"/>
  <c r="S95" i="7"/>
  <c r="R95" i="7"/>
  <c r="K95" i="7"/>
  <c r="G95" i="7"/>
  <c r="N95" i="7" s="1"/>
  <c r="F95" i="7"/>
  <c r="E95" i="7"/>
  <c r="D95" i="7"/>
  <c r="K107" i="7"/>
  <c r="G107" i="7"/>
  <c r="N107" i="7" s="1"/>
  <c r="E107" i="7"/>
  <c r="D107" i="7"/>
  <c r="S107" i="7"/>
  <c r="R107" i="7"/>
  <c r="H107" i="7"/>
  <c r="H139" i="7"/>
  <c r="H31" i="7"/>
  <c r="H64" i="7"/>
  <c r="R99" i="7"/>
  <c r="K97" i="7"/>
  <c r="G97" i="7"/>
  <c r="N97" i="7" s="1"/>
  <c r="E97" i="7"/>
  <c r="D97" i="7"/>
  <c r="P97" i="7" l="1"/>
  <c r="M97" i="7"/>
  <c r="O64" i="7"/>
  <c r="Q64" i="7"/>
  <c r="O31" i="7"/>
  <c r="Q31" i="7"/>
  <c r="O139" i="7"/>
  <c r="Q139" i="7"/>
  <c r="O107" i="7"/>
  <c r="Q107" i="7"/>
  <c r="P107" i="7"/>
  <c r="M107" i="7"/>
  <c r="P95" i="7"/>
  <c r="M95" i="7"/>
  <c r="S105" i="7"/>
  <c r="R105" i="7"/>
  <c r="K105" i="7"/>
  <c r="G105" i="7"/>
  <c r="N105" i="7" s="1"/>
  <c r="E105" i="7"/>
  <c r="D105" i="7"/>
  <c r="K99" i="7"/>
  <c r="G99" i="7"/>
  <c r="N99" i="7" s="1"/>
  <c r="E99" i="7"/>
  <c r="H99" i="7" s="1"/>
  <c r="D99" i="7"/>
  <c r="S96" i="7"/>
  <c r="R96" i="7"/>
  <c r="K96" i="7"/>
  <c r="H97" i="7"/>
  <c r="G96" i="7"/>
  <c r="N96" i="7" s="1"/>
  <c r="E96" i="7"/>
  <c r="H96" i="7" s="1"/>
  <c r="D96" i="7"/>
  <c r="H9" i="7"/>
  <c r="O9" i="7" l="1"/>
  <c r="Q9" i="7"/>
  <c r="O96" i="7"/>
  <c r="Q96" i="7"/>
  <c r="O97" i="7"/>
  <c r="Q97" i="7"/>
  <c r="P96" i="7"/>
  <c r="M96" i="7"/>
  <c r="O99" i="7"/>
  <c r="Q99" i="7"/>
  <c r="P99" i="7"/>
  <c r="M99" i="7"/>
  <c r="P105" i="7"/>
  <c r="M105" i="7"/>
  <c r="H132" i="7"/>
  <c r="O132" i="7" l="1"/>
  <c r="Q132" i="7"/>
  <c r="S115" i="7"/>
  <c r="R115" i="7"/>
  <c r="K115" i="7"/>
  <c r="G115" i="7"/>
  <c r="N115" i="7" s="1"/>
  <c r="E115" i="7"/>
  <c r="D115" i="7"/>
  <c r="H175" i="7"/>
  <c r="S113" i="7"/>
  <c r="R113" i="7"/>
  <c r="K113" i="7"/>
  <c r="G113" i="7"/>
  <c r="N113" i="7" s="1"/>
  <c r="E113" i="7"/>
  <c r="D113" i="7"/>
  <c r="S114" i="7"/>
  <c r="R114" i="7"/>
  <c r="K114" i="7"/>
  <c r="G114" i="7"/>
  <c r="N114" i="7" s="1"/>
  <c r="E114" i="7"/>
  <c r="H114" i="7" s="1"/>
  <c r="D114" i="7"/>
  <c r="O114" i="7" l="1"/>
  <c r="Q114" i="7"/>
  <c r="P114" i="7"/>
  <c r="M114" i="7"/>
  <c r="P113" i="7"/>
  <c r="M113" i="7"/>
  <c r="O175" i="7"/>
  <c r="Q175" i="7"/>
  <c r="P115" i="7"/>
  <c r="M115" i="7"/>
  <c r="H177" i="7"/>
  <c r="H178" i="7"/>
  <c r="O178" i="7" l="1"/>
  <c r="Q178" i="7"/>
  <c r="O177" i="7"/>
  <c r="Q177" i="7"/>
  <c r="H123" i="7"/>
  <c r="S94" i="7"/>
  <c r="R94" i="7"/>
  <c r="H74" i="7"/>
  <c r="O74" i="7" l="1"/>
  <c r="Q74" i="7"/>
  <c r="Q123" i="7"/>
  <c r="O123" i="7"/>
  <c r="H172" i="7"/>
  <c r="H173" i="7"/>
  <c r="H174" i="7"/>
  <c r="H179" i="7"/>
  <c r="H180" i="7"/>
  <c r="H181" i="7"/>
  <c r="H171" i="7"/>
  <c r="H168" i="7"/>
  <c r="H167" i="7"/>
  <c r="H161" i="7"/>
  <c r="H162" i="7"/>
  <c r="H160" i="7"/>
  <c r="H133" i="7"/>
  <c r="H134" i="7"/>
  <c r="H135" i="7"/>
  <c r="H136" i="7"/>
  <c r="H140" i="7"/>
  <c r="H141" i="7"/>
  <c r="H142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31" i="7"/>
  <c r="H125" i="7"/>
  <c r="H126" i="7"/>
  <c r="H127" i="7"/>
  <c r="H124" i="7"/>
  <c r="H118" i="7"/>
  <c r="H101" i="7"/>
  <c r="H102" i="7"/>
  <c r="H106" i="7"/>
  <c r="H94" i="7"/>
  <c r="H59" i="7"/>
  <c r="H60" i="7"/>
  <c r="H61" i="7"/>
  <c r="H62" i="7"/>
  <c r="H63" i="7"/>
  <c r="H77" i="7"/>
  <c r="H65" i="7"/>
  <c r="H66" i="7"/>
  <c r="H67" i="7"/>
  <c r="H69" i="7"/>
  <c r="H70" i="7"/>
  <c r="H71" i="7"/>
  <c r="H72" i="7"/>
  <c r="H73" i="7"/>
  <c r="H75" i="7"/>
  <c r="H76" i="7"/>
  <c r="H176" i="7"/>
  <c r="H78" i="7"/>
  <c r="H80" i="7"/>
  <c r="H81" i="7"/>
  <c r="H82" i="7"/>
  <c r="H83" i="7"/>
  <c r="H84" i="7"/>
  <c r="H85" i="7"/>
  <c r="H86" i="7"/>
  <c r="H68" i="7"/>
  <c r="H87" i="7"/>
  <c r="H88" i="7"/>
  <c r="H89" i="7"/>
  <c r="H58" i="7"/>
  <c r="H26" i="7"/>
  <c r="H27" i="7"/>
  <c r="H28" i="7"/>
  <c r="H29" i="7"/>
  <c r="H30" i="7"/>
  <c r="H32" i="7"/>
  <c r="H33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25" i="7"/>
  <c r="H6" i="7"/>
  <c r="H7" i="7"/>
  <c r="H8" i="7"/>
  <c r="H11" i="7"/>
  <c r="H12" i="7"/>
  <c r="H13" i="7"/>
  <c r="H14" i="7"/>
  <c r="H15" i="7"/>
  <c r="H16" i="7"/>
  <c r="H17" i="7"/>
  <c r="H18" i="7"/>
  <c r="H19" i="7"/>
  <c r="H20" i="7"/>
  <c r="H10" i="7"/>
  <c r="H21" i="7"/>
  <c r="H5" i="7"/>
  <c r="O21" i="7" l="1"/>
  <c r="Q21" i="7"/>
  <c r="O10" i="7"/>
  <c r="Q10" i="7"/>
  <c r="O20" i="7"/>
  <c r="Q20" i="7"/>
  <c r="O19" i="7"/>
  <c r="Q19" i="7"/>
  <c r="O18" i="7"/>
  <c r="Q18" i="7"/>
  <c r="O17" i="7"/>
  <c r="Q17" i="7"/>
  <c r="O16" i="7"/>
  <c r="Q16" i="7"/>
  <c r="O15" i="7"/>
  <c r="Q15" i="7"/>
  <c r="O14" i="7"/>
  <c r="Q14" i="7"/>
  <c r="O13" i="7"/>
  <c r="Q13" i="7"/>
  <c r="O12" i="7"/>
  <c r="Q12" i="7"/>
  <c r="O11" i="7"/>
  <c r="Q11" i="7"/>
  <c r="O8" i="7"/>
  <c r="Q8" i="7"/>
  <c r="O7" i="7"/>
  <c r="Q7" i="7"/>
  <c r="O6" i="7"/>
  <c r="Q6" i="7"/>
  <c r="O54" i="7"/>
  <c r="Q54" i="7"/>
  <c r="O53" i="7"/>
  <c r="Q53" i="7"/>
  <c r="O52" i="7"/>
  <c r="Q52" i="7"/>
  <c r="O51" i="7"/>
  <c r="Q51" i="7"/>
  <c r="O50" i="7"/>
  <c r="Q50" i="7"/>
  <c r="O49" i="7"/>
  <c r="Q49" i="7"/>
  <c r="O48" i="7"/>
  <c r="Q48" i="7"/>
  <c r="O47" i="7"/>
  <c r="Q47" i="7"/>
  <c r="O46" i="7"/>
  <c r="Q46" i="7"/>
  <c r="O45" i="7"/>
  <c r="Q45" i="7"/>
  <c r="O44" i="7"/>
  <c r="Q44" i="7"/>
  <c r="O43" i="7"/>
  <c r="Q43" i="7"/>
  <c r="O42" i="7"/>
  <c r="Q42" i="7"/>
  <c r="O41" i="7"/>
  <c r="Q41" i="7"/>
  <c r="O40" i="7"/>
  <c r="Q40" i="7"/>
  <c r="O39" i="7"/>
  <c r="Q39" i="7"/>
  <c r="O38" i="7"/>
  <c r="Q38" i="7"/>
  <c r="O37" i="7"/>
  <c r="Q37" i="7"/>
  <c r="O36" i="7"/>
  <c r="Q36" i="7"/>
  <c r="O35" i="7"/>
  <c r="Q35" i="7"/>
  <c r="O33" i="7"/>
  <c r="Q33" i="7"/>
  <c r="O32" i="7"/>
  <c r="Q32" i="7"/>
  <c r="O30" i="7"/>
  <c r="Q30" i="7"/>
  <c r="O29" i="7"/>
  <c r="Q29" i="7"/>
  <c r="O28" i="7"/>
  <c r="Q28" i="7"/>
  <c r="O27" i="7"/>
  <c r="Q27" i="7"/>
  <c r="O26" i="7"/>
  <c r="Q26" i="7"/>
  <c r="O89" i="7"/>
  <c r="Q89" i="7"/>
  <c r="O88" i="7"/>
  <c r="Q88" i="7"/>
  <c r="O87" i="7"/>
  <c r="Q87" i="7"/>
  <c r="O68" i="7"/>
  <c r="Q68" i="7"/>
  <c r="O86" i="7"/>
  <c r="Q86" i="7"/>
  <c r="O85" i="7"/>
  <c r="Q85" i="7"/>
  <c r="O84" i="7"/>
  <c r="Q84" i="7"/>
  <c r="O83" i="7"/>
  <c r="Q83" i="7"/>
  <c r="O82" i="7"/>
  <c r="Q82" i="7"/>
  <c r="O81" i="7"/>
  <c r="Q81" i="7"/>
  <c r="O80" i="7"/>
  <c r="Q80" i="7"/>
  <c r="O78" i="7"/>
  <c r="Q78" i="7"/>
  <c r="O176" i="7"/>
  <c r="Q176" i="7"/>
  <c r="O76" i="7"/>
  <c r="Q76" i="7"/>
  <c r="O75" i="7"/>
  <c r="Q75" i="7"/>
  <c r="O73" i="7"/>
  <c r="Q73" i="7"/>
  <c r="O72" i="7"/>
  <c r="Q72" i="7"/>
  <c r="O71" i="7"/>
  <c r="Q71" i="7"/>
  <c r="O70" i="7"/>
  <c r="Q70" i="7"/>
  <c r="O69" i="7"/>
  <c r="Q69" i="7"/>
  <c r="O67" i="7"/>
  <c r="Q67" i="7"/>
  <c r="O66" i="7"/>
  <c r="Q66" i="7"/>
  <c r="O65" i="7"/>
  <c r="Q65" i="7"/>
  <c r="O77" i="7"/>
  <c r="Q77" i="7"/>
  <c r="O63" i="7"/>
  <c r="Q63" i="7"/>
  <c r="O62" i="7"/>
  <c r="Q62" i="7"/>
  <c r="O61" i="7"/>
  <c r="Q61" i="7"/>
  <c r="O60" i="7"/>
  <c r="Q60" i="7"/>
  <c r="O59" i="7"/>
  <c r="Q59" i="7"/>
  <c r="O106" i="7"/>
  <c r="Q106" i="7"/>
  <c r="O102" i="7"/>
  <c r="Q102" i="7"/>
  <c r="O101" i="7"/>
  <c r="Q101" i="7"/>
  <c r="O118" i="7"/>
  <c r="Q118" i="7"/>
  <c r="O124" i="7"/>
  <c r="Q124" i="7"/>
  <c r="O127" i="7"/>
  <c r="Q127" i="7"/>
  <c r="O126" i="7"/>
  <c r="Q126" i="7"/>
  <c r="O125" i="7"/>
  <c r="Q125" i="7"/>
  <c r="O156" i="7"/>
  <c r="Q156" i="7"/>
  <c r="O155" i="7"/>
  <c r="Q155" i="7"/>
  <c r="O154" i="7"/>
  <c r="Q154" i="7"/>
  <c r="O153" i="7"/>
  <c r="Q153" i="7"/>
  <c r="O152" i="7"/>
  <c r="Q152" i="7"/>
  <c r="O151" i="7"/>
  <c r="Q151" i="7"/>
  <c r="O150" i="7"/>
  <c r="Q150" i="7"/>
  <c r="O149" i="7"/>
  <c r="Q149" i="7"/>
  <c r="O148" i="7"/>
  <c r="Q148" i="7"/>
  <c r="O147" i="7"/>
  <c r="Q147" i="7"/>
  <c r="O146" i="7"/>
  <c r="Q146" i="7"/>
  <c r="O145" i="7"/>
  <c r="Q145" i="7"/>
  <c r="O144" i="7"/>
  <c r="Q144" i="7"/>
  <c r="O142" i="7"/>
  <c r="Q142" i="7"/>
  <c r="O141" i="7"/>
  <c r="Q141" i="7"/>
  <c r="O140" i="7"/>
  <c r="Q140" i="7"/>
  <c r="O136" i="7"/>
  <c r="Q136" i="7"/>
  <c r="O135" i="7"/>
  <c r="Q135" i="7"/>
  <c r="O134" i="7"/>
  <c r="Q134" i="7"/>
  <c r="O133" i="7"/>
  <c r="Q133" i="7"/>
  <c r="O162" i="7"/>
  <c r="Q162" i="7"/>
  <c r="O161" i="7"/>
  <c r="Q161" i="7"/>
  <c r="O168" i="7"/>
  <c r="Q168" i="7"/>
  <c r="O181" i="7"/>
  <c r="Q181" i="7"/>
  <c r="O180" i="7"/>
  <c r="Q180" i="7"/>
  <c r="O179" i="7"/>
  <c r="Q179" i="7"/>
  <c r="O174" i="7"/>
  <c r="Q174" i="7"/>
  <c r="O173" i="7"/>
  <c r="Q173" i="7"/>
  <c r="O172" i="7"/>
  <c r="Q172" i="7"/>
  <c r="S116" i="7"/>
  <c r="R116" i="7"/>
  <c r="K116" i="7"/>
  <c r="G116" i="7"/>
  <c r="N116" i="7" s="1"/>
  <c r="E116" i="7"/>
  <c r="H116" i="7" s="1"/>
  <c r="O116" i="7" l="1"/>
  <c r="Q116" i="7"/>
  <c r="P116" i="7"/>
  <c r="M116" i="7"/>
  <c r="S100" i="7"/>
  <c r="R100" i="7"/>
  <c r="K100" i="7"/>
  <c r="D100" i="7"/>
  <c r="G100" i="7"/>
  <c r="N100" i="7" s="1"/>
  <c r="E100" i="7"/>
  <c r="H100" i="7" s="1"/>
  <c r="O100" i="7" l="1"/>
  <c r="Q100" i="7"/>
  <c r="P100" i="7"/>
  <c r="M100" i="7"/>
  <c r="S104" i="7"/>
  <c r="R104" i="7"/>
  <c r="D104" i="7"/>
  <c r="K104" i="7"/>
  <c r="G104" i="7"/>
  <c r="N104" i="7" s="1"/>
  <c r="E104" i="7"/>
  <c r="H104" i="7" s="1"/>
  <c r="O104" i="7" l="1"/>
  <c r="Q104" i="7"/>
  <c r="P104" i="7"/>
  <c r="M104" i="7"/>
  <c r="S110" i="7"/>
  <c r="R110" i="7"/>
  <c r="K110" i="7"/>
  <c r="G110" i="7"/>
  <c r="E110" i="7"/>
  <c r="H110" i="7" s="1"/>
  <c r="D110" i="7"/>
  <c r="S103" i="7" l="1"/>
  <c r="R103" i="7"/>
  <c r="K103" i="7"/>
  <c r="G103" i="7"/>
  <c r="N103" i="7" s="1"/>
  <c r="E103" i="7"/>
  <c r="H103" i="7" s="1"/>
  <c r="D103" i="7"/>
  <c r="O103" i="7" l="1"/>
  <c r="Q103" i="7"/>
  <c r="P103" i="7"/>
  <c r="M103" i="7"/>
  <c r="S111" i="7"/>
  <c r="R111" i="7"/>
  <c r="K111" i="7"/>
  <c r="G111" i="7"/>
  <c r="N111" i="7" s="1"/>
  <c r="E111" i="7"/>
  <c r="H111" i="7" s="1"/>
  <c r="D111" i="7"/>
  <c r="O111" i="7" l="1"/>
  <c r="Q111" i="7"/>
  <c r="P111" i="7"/>
  <c r="M111" i="7"/>
  <c r="S117" i="7"/>
  <c r="R117" i="7"/>
  <c r="K117" i="7"/>
  <c r="G117" i="7"/>
  <c r="N117" i="7" s="1"/>
  <c r="E117" i="7"/>
  <c r="H117" i="7" s="1"/>
  <c r="D117" i="7"/>
  <c r="O117" i="7" l="1"/>
  <c r="Q117" i="7"/>
  <c r="P117" i="7"/>
  <c r="M117" i="7"/>
  <c r="S119" i="7"/>
  <c r="R119" i="7"/>
  <c r="K119" i="7"/>
  <c r="G119" i="7"/>
  <c r="N119" i="7" s="1"/>
  <c r="E119" i="7"/>
  <c r="H119" i="7" s="1"/>
  <c r="D119" i="7"/>
  <c r="O119" i="7" l="1"/>
  <c r="Q119" i="7"/>
  <c r="P119" i="7"/>
  <c r="M119" i="7"/>
  <c r="S102" i="7"/>
  <c r="R102" i="7"/>
  <c r="R101" i="7" l="1"/>
  <c r="S101" i="7"/>
  <c r="S112" i="7"/>
  <c r="R112" i="7"/>
  <c r="K112" i="7"/>
  <c r="G112" i="7"/>
  <c r="N112" i="7" s="1"/>
  <c r="E112" i="7"/>
  <c r="H112" i="7" s="1"/>
  <c r="D112" i="7"/>
  <c r="T182" i="7"/>
  <c r="B13" i="6" s="1"/>
  <c r="K182" i="7"/>
  <c r="I182" i="7"/>
  <c r="Q171" i="7"/>
  <c r="P171" i="7"/>
  <c r="O171" i="7"/>
  <c r="N171" i="7"/>
  <c r="M171" i="7"/>
  <c r="L171" i="7"/>
  <c r="J171" i="7"/>
  <c r="Q167" i="7"/>
  <c r="P167" i="7"/>
  <c r="O167" i="7"/>
  <c r="N167" i="7"/>
  <c r="M167" i="7"/>
  <c r="L167" i="7"/>
  <c r="J167" i="7"/>
  <c r="T163" i="7"/>
  <c r="B12" i="6" s="1"/>
  <c r="K163" i="7"/>
  <c r="I163" i="7"/>
  <c r="Q160" i="7"/>
  <c r="P160" i="7"/>
  <c r="O160" i="7"/>
  <c r="N160" i="7"/>
  <c r="M160" i="7"/>
  <c r="J160" i="7"/>
  <c r="K157" i="7"/>
  <c r="I157" i="7"/>
  <c r="T157" i="7"/>
  <c r="B11" i="6" s="1"/>
  <c r="Q131" i="7"/>
  <c r="P131" i="7"/>
  <c r="O131" i="7"/>
  <c r="N131" i="7"/>
  <c r="M131" i="7"/>
  <c r="J131" i="7"/>
  <c r="T128" i="7"/>
  <c r="B10" i="6" s="1"/>
  <c r="K128" i="7"/>
  <c r="I128" i="7"/>
  <c r="T120" i="7"/>
  <c r="B9" i="6" s="1"/>
  <c r="H115" i="7"/>
  <c r="H113" i="7"/>
  <c r="P110" i="7"/>
  <c r="N110" i="7"/>
  <c r="M110" i="7"/>
  <c r="H105" i="7"/>
  <c r="I120" i="7"/>
  <c r="J94" i="7" s="1"/>
  <c r="H95" i="7"/>
  <c r="Q94" i="7"/>
  <c r="P94" i="7"/>
  <c r="O94" i="7"/>
  <c r="N94" i="7"/>
  <c r="M94" i="7"/>
  <c r="T90" i="7"/>
  <c r="B8" i="6" s="1"/>
  <c r="K90" i="7"/>
  <c r="I90" i="7"/>
  <c r="Q58" i="7"/>
  <c r="P58" i="7"/>
  <c r="O58" i="7"/>
  <c r="N58" i="7"/>
  <c r="M58" i="7"/>
  <c r="L58" i="7"/>
  <c r="J58" i="7"/>
  <c r="T55" i="7"/>
  <c r="B7" i="6" s="1"/>
  <c r="I55" i="7"/>
  <c r="Q25" i="7"/>
  <c r="P25" i="7"/>
  <c r="O25" i="7"/>
  <c r="N25" i="7"/>
  <c r="M25" i="7"/>
  <c r="T22" i="7"/>
  <c r="B6" i="6" s="1"/>
  <c r="K22" i="7"/>
  <c r="I22" i="7"/>
  <c r="Q5" i="7"/>
  <c r="P5" i="7"/>
  <c r="O5" i="7"/>
  <c r="N5" i="7"/>
  <c r="M5" i="7"/>
  <c r="J5" i="7"/>
  <c r="B3" i="3" l="1"/>
  <c r="C5" i="2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B7" i="3"/>
  <c r="C7" i="2"/>
  <c r="M90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O95" i="7"/>
  <c r="Q95" i="7"/>
  <c r="O105" i="7"/>
  <c r="Q105" i="7"/>
  <c r="O113" i="7"/>
  <c r="Q113" i="7"/>
  <c r="O115" i="7"/>
  <c r="Q115" i="7"/>
  <c r="J124" i="7"/>
  <c r="J125" i="7"/>
  <c r="J126" i="7"/>
  <c r="J127" i="7"/>
  <c r="J123" i="7"/>
  <c r="B6" i="3"/>
  <c r="C9" i="2"/>
  <c r="M128" i="7"/>
  <c r="L124" i="7"/>
  <c r="L125" i="7"/>
  <c r="L126" i="7"/>
  <c r="L127" i="7"/>
  <c r="L123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B4" i="3"/>
  <c r="C10" i="2"/>
  <c r="M157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J161" i="7"/>
  <c r="J162" i="7"/>
  <c r="B2" i="3"/>
  <c r="C11" i="2"/>
  <c r="M163" i="7"/>
  <c r="L161" i="7"/>
  <c r="L162" i="7"/>
  <c r="J172" i="7"/>
  <c r="J173" i="7"/>
  <c r="J174" i="7"/>
  <c r="J175" i="7"/>
  <c r="J176" i="7"/>
  <c r="J177" i="7"/>
  <c r="J178" i="7"/>
  <c r="J179" i="7"/>
  <c r="J180" i="7"/>
  <c r="J181" i="7"/>
  <c r="J168" i="7"/>
  <c r="B5" i="3"/>
  <c r="C12" i="2"/>
  <c r="M182" i="7"/>
  <c r="L172" i="7"/>
  <c r="L173" i="7"/>
  <c r="L174" i="7"/>
  <c r="L175" i="7"/>
  <c r="L176" i="7"/>
  <c r="L177" i="7"/>
  <c r="L178" i="7"/>
  <c r="L179" i="7"/>
  <c r="L180" i="7"/>
  <c r="L181" i="7"/>
  <c r="L168" i="7"/>
  <c r="O112" i="7"/>
  <c r="Q112" i="7"/>
  <c r="P112" i="7"/>
  <c r="M112" i="7"/>
  <c r="M22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111" i="7"/>
  <c r="J112" i="7"/>
  <c r="J113" i="7"/>
  <c r="J114" i="7"/>
  <c r="J115" i="7"/>
  <c r="J116" i="7"/>
  <c r="J117" i="7"/>
  <c r="J118" i="7"/>
  <c r="J119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K55" i="7"/>
  <c r="K120" i="7"/>
  <c r="L160" i="7"/>
  <c r="L5" i="7"/>
  <c r="T183" i="7"/>
  <c r="L131" i="7"/>
  <c r="L25" i="7"/>
  <c r="L94" i="7"/>
  <c r="Q110" i="7"/>
  <c r="O110" i="7"/>
  <c r="J110" i="7"/>
  <c r="L110" i="7"/>
  <c r="I183" i="7"/>
  <c r="J163" i="7" s="1"/>
  <c r="K183" i="7"/>
  <c r="L55" i="7" s="1"/>
  <c r="J25" i="7"/>
  <c r="J120" i="7" l="1"/>
  <c r="B9" i="3"/>
  <c r="C8" i="2"/>
  <c r="L118" i="7"/>
  <c r="L101" i="7"/>
  <c r="L102" i="7"/>
  <c r="L106" i="7"/>
  <c r="L98" i="7"/>
  <c r="L97" i="7"/>
  <c r="L107" i="7"/>
  <c r="L95" i="7"/>
  <c r="L96" i="7"/>
  <c r="L99" i="7"/>
  <c r="L105" i="7"/>
  <c r="L114" i="7"/>
  <c r="L113" i="7"/>
  <c r="L115" i="7"/>
  <c r="L116" i="7"/>
  <c r="L100" i="7"/>
  <c r="L104" i="7"/>
  <c r="L103" i="7"/>
  <c r="L111" i="7"/>
  <c r="L117" i="7"/>
  <c r="L119" i="7"/>
  <c r="L112" i="7"/>
  <c r="M120" i="7"/>
  <c r="B8" i="3"/>
  <c r="C6" i="2"/>
  <c r="M5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90" i="7"/>
  <c r="J182" i="7"/>
  <c r="J157" i="7"/>
  <c r="J128" i="7"/>
  <c r="J22" i="7"/>
  <c r="L163" i="7"/>
  <c r="L182" i="7"/>
  <c r="L157" i="7"/>
  <c r="L128" i="7"/>
  <c r="L22" i="7"/>
  <c r="L120" i="7"/>
  <c r="J90" i="7"/>
  <c r="J55" i="7"/>
</calcChain>
</file>

<file path=xl/sharedStrings.xml><?xml version="1.0" encoding="utf-8"?>
<sst xmlns="http://schemas.openxmlformats.org/spreadsheetml/2006/main" count="386" uniqueCount="258">
  <si>
    <t>S/N</t>
  </si>
  <si>
    <t>FUND</t>
  </si>
  <si>
    <t>TOTAL VALUE OF INVESTMENT (N)</t>
  </si>
  <si>
    <t>TOTAL INCOME (N)</t>
  </si>
  <si>
    <t>TOTAL EXPENSES (N)</t>
  </si>
  <si>
    <t>NET INCOME/LOSS (N)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</si>
  <si>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</si>
  <si>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</si>
  <si>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</si>
  <si>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</si>
  <si>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</si>
  <si>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</si>
  <si>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</si>
  <si>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</si>
  <si>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</si>
  <si>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</si>
  <si>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</si>
  <si>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</si>
  <si>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</si>
  <si>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</si>
  <si>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</si>
  <si>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</si>
  <si>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</si>
  <si>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</si>
  <si>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</si>
  <si>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</si>
  <si>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</si>
  <si>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</si>
  <si>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</si>
  <si>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</si>
  <si>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</si>
  <si>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</si>
  <si>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</si>
  <si>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</si>
  <si>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</si>
  <si>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</si>
  <si>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</si>
  <si>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</si>
  <si>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</si>
  <si>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</si>
  <si>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</si>
  <si>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</si>
  <si>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</si>
  <si>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</si>
  <si>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</si>
  <si>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</si>
  <si>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</si>
  <si>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</si>
  <si>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</si>
  <si>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</si>
  <si>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</si>
  <si>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</si>
  <si>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</si>
  <si>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</si>
  <si>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</si>
  <si>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</si>
  <si>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</si>
  <si>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Chapel Hill Denham Money Market Fund(Frml NGIF)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</si>
  <si>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</si>
  <si>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</si>
  <si>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</si>
  <si>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</si>
  <si>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</si>
  <si>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</si>
  <si>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</si>
  <si>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</si>
  <si>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</si>
  <si>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</si>
  <si>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</si>
  <si>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</si>
  <si>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</si>
  <si>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</si>
  <si>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</si>
  <si>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</si>
  <si>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</si>
  <si>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</si>
  <si>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</si>
  <si>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</si>
  <si>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</si>
  <si>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</si>
  <si>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</si>
  <si>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</si>
  <si>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</si>
  <si>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</si>
  <si>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</si>
  <si>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</si>
  <si>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</si>
  <si>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</si>
  <si>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</si>
  <si>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</si>
  <si>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</si>
  <si>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</si>
  <si>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</si>
  <si>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</si>
  <si>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</si>
  <si>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</si>
  <si>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</si>
  <si>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</si>
  <si>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</si>
  <si>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</si>
  <si>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</si>
  <si>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</si>
  <si>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</si>
  <si>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</si>
  <si>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</si>
  <si>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</si>
  <si>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</si>
  <si>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</si>
  <si>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</si>
  <si>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</si>
  <si>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</si>
  <si>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</si>
  <si>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</si>
  <si>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</si>
  <si>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</si>
  <si>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</si>
  <si>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</si>
  <si>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</si>
  <si>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</si>
  <si>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</si>
  <si>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</si>
  <si>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</si>
  <si>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</si>
  <si>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</si>
  <si>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</si>
  <si>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</si>
  <si>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</si>
  <si>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</si>
  <si>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</si>
  <si>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</si>
  <si>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</si>
  <si>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</si>
  <si>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</si>
  <si>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</si>
  <si>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</si>
  <si>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</si>
  <si>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</si>
  <si>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</si>
  <si>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</si>
  <si>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</si>
  <si>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</si>
  <si>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</si>
  <si>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</si>
  <si>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</si>
  <si>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</si>
  <si>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</si>
  <si>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</si>
  <si>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</si>
  <si>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</si>
  <si>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</si>
  <si>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</si>
  <si>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</si>
  <si>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</si>
  <si>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</si>
  <si>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</si>
  <si>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</si>
  <si>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</si>
  <si>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</si>
  <si>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</si>
  <si>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</si>
  <si>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</si>
  <si>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</si>
  <si>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</si>
  <si>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</si>
  <si>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</si>
  <si>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</si>
  <si>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</si>
  <si>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</si>
  <si>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</si>
  <si>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</si>
  <si>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</si>
  <si>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</si>
  <si>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</si>
  <si>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</si>
  <si>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</si>
  <si>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</si>
  <si>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</si>
  <si>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</si>
  <si>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</si>
  <si>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</si>
  <si>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</si>
  <si>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</si>
  <si>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</si>
  <si>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</si>
  <si>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</si>
  <si>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</si>
  <si>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</si>
  <si>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</si>
  <si>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</si>
  <si>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</si>
  <si>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</si>
  <si>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</si>
  <si>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</si>
  <si>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</si>
  <si>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</si>
  <si>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</si>
  <si>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</si>
  <si>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</si>
  <si>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</si>
  <si>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</si>
  <si>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</si>
  <si>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</si>
  <si>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</si>
  <si>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</si>
  <si>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</si>
  <si>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</si>
  <si>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</si>
  <si>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</si>
  <si>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</si>
  <si>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</si>
  <si>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ARM Fixed Income Fund</t>
  </si>
  <si>
    <t>UNREALIZED CAPITAL GAINS/LOSS (N)</t>
  </si>
  <si>
    <t>16,486,754.73</t>
  </si>
  <si>
    <t>Guaranty Trust Fixed Income Fund</t>
  </si>
  <si>
    <t>Utica Custodian Assured Fixed Income Fund</t>
  </si>
  <si>
    <t>Utica Capital Limited</t>
  </si>
  <si>
    <r>
      <t>US$/NG</t>
    </r>
    <r>
      <rPr>
        <strike/>
        <sz val="10"/>
        <color rgb="FFFFFFFF"/>
        <rFont val="Times New Roman"/>
        <family val="1"/>
      </rPr>
      <t>N</t>
    </r>
    <r>
      <rPr>
        <sz val="10"/>
        <color rgb="FFFFFFFF"/>
        <rFont val="Times New Roman"/>
        <family val="1"/>
      </rPr>
      <t xml:space="preserve"> I&amp;E as at 29th February, 2024 = N1,544.581 </t>
    </r>
  </si>
  <si>
    <t>Housing Solution Fund</t>
  </si>
  <si>
    <t>FUNDCO Capital Managers Limited</t>
  </si>
  <si>
    <t>2,223,945,722.98</t>
  </si>
  <si>
    <t>24,483,440.01</t>
  </si>
  <si>
    <t>3,428,850.29</t>
  </si>
  <si>
    <t>2,211,454,625.20</t>
  </si>
  <si>
    <t>21,220,000</t>
  </si>
  <si>
    <t>Norrenberger Investment &amp; Capital Mgt Ltd</t>
  </si>
  <si>
    <t>FSDH Halal Fund</t>
  </si>
  <si>
    <t>Marble Halal Commodities Fund</t>
  </si>
  <si>
    <t xml:space="preserve">Marble Capital Limited </t>
  </si>
  <si>
    <t>Marble Halal Fixed Income Fund</t>
  </si>
  <si>
    <t>Lead Dollar Fixed Income Fund</t>
  </si>
  <si>
    <t>Lead Asset Management Limited</t>
  </si>
  <si>
    <t>Coral Money Market Fund</t>
  </si>
  <si>
    <t>Alpha Morgan Balanced Fund</t>
  </si>
  <si>
    <t>Alpha Morgan Capital Managers Limited</t>
  </si>
  <si>
    <t>CardinalStone Equity Fund</t>
  </si>
  <si>
    <t>CardinalStone Dollar Fund</t>
  </si>
  <si>
    <t>Comercio Partners Dollar Fund</t>
  </si>
  <si>
    <t>Comercio Partners Asset Management Limited</t>
  </si>
  <si>
    <t>EDC Dollar Fund</t>
  </si>
  <si>
    <t>Nigeria Bond Fund</t>
  </si>
  <si>
    <t>Comercio Partners Fixed Income Fund</t>
  </si>
  <si>
    <t>Comercio Partners Money Market Fund</t>
  </si>
  <si>
    <t>Cowry Balanced Fund</t>
  </si>
  <si>
    <t>The Nigeria Football Fund</t>
  </si>
  <si>
    <t>GTI Asset Management &amp; Trust Limited</t>
  </si>
  <si>
    <t>Cowry Fixed Income Fund</t>
  </si>
  <si>
    <t>Cowry Equity Fund</t>
  </si>
  <si>
    <t>Norrenberger Turbo Fund (NTF)</t>
  </si>
  <si>
    <t>Norrenberger Investment &amp; Capital Mgt. Ltd.</t>
  </si>
  <si>
    <t>Cowry Eurobond Fund</t>
  </si>
  <si>
    <t>NET ASSET VALUE (N) PREVIOUS - JANUARY</t>
  </si>
  <si>
    <t>FBN Bond Fund</t>
  </si>
  <si>
    <t>2,191,878,582.38</t>
  </si>
  <si>
    <t>MONTHLY UPDATE ON REGISTERED MUTUAL FUNDS AS AT 29TH FEBRUARY, 2024</t>
  </si>
  <si>
    <t>% OF TOTAL</t>
  </si>
  <si>
    <t>January 2024</t>
  </si>
  <si>
    <t>February 2024</t>
  </si>
  <si>
    <t>The chart above shows that the Dollar Fund (Eurobonds and Fixed Income) has the highest share of the Aggregate Net Asset Value (NAV) at 48.41%, followed by Money Market Fund at 33.46%, Bond/Fixed Income Fund with 10.13%, Real Estate Investment Trust at 3.428%.  Next is Shari'ah Compliant Fund at 1.71%, Balanced Fund at 1.70%, Equity Fund at 0.98% and Ethical Fund at 0.18%.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</si>
</sst>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&quot; &quot;* #,##0.00&quot; &quot;;&quot; &quot;* \(#,##0.00\);&quot; &quot;* &quot;-&quot;??&quot; &quot;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rgb="FFFFFFFF"/>
      <name val="Times New Roman"/>
      <family val="1"/>
    </font>
    <font>
      <strike/>
      <sz val="10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32"/>
      <color indexed="9"/>
      <name val="Segoe UI Black"/>
      <family val="2"/>
    </font>
    <font>
      <b/>
      <sz val="9"/>
      <name val="Century Gothic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9"/>
      <name val="Century Gothic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4">
    <xf numFmtId="0" fontId="0" fillId="0" borderId="0"/>
    <xf numFmtId="164" fontId="22" fillId="0" borderId="0" applyFont="0" applyFill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165" fontId="1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3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5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5" fillId="11" borderId="0" applyNumberFormat="0" applyBorder="0" applyAlignment="0" applyProtection="0"/>
    <xf numFmtId="17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49" fontId="10" fillId="0" borderId="0"/>
    <xf numFmtId="49" fontId="10" fillId="0" borderId="0"/>
    <xf numFmtId="49" fontId="10" fillId="0" borderId="0"/>
    <xf numFmtId="49" fontId="10" fillId="0" borderId="0"/>
    <xf numFmtId="0" fontId="10" fillId="0" borderId="0"/>
    <xf numFmtId="37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0" fontId="22" fillId="10" borderId="3" applyNumberFormat="0" applyFont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1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5" fillId="0" borderId="0" xfId="0" applyFont="1"/>
    <xf numFmtId="0" fontId="6" fillId="4" borderId="0" xfId="0" applyFont="1" applyFill="1"/>
    <xf numFmtId="0" fontId="6" fillId="0" borderId="0" xfId="0" applyFont="1"/>
    <xf numFmtId="0" fontId="6" fillId="2" borderId="0" xfId="0" applyFont="1" applyFill="1"/>
    <xf numFmtId="0" fontId="11" fillId="2" borderId="0" xfId="0" applyFont="1" applyFill="1"/>
    <xf numFmtId="164" fontId="6" fillId="2" borderId="0" xfId="1" applyFont="1" applyFill="1" applyBorder="1" applyAlignment="1"/>
    <xf numFmtId="0" fontId="12" fillId="9" borderId="0" xfId="0" applyFont="1" applyFill="1" applyAlignment="1">
      <alignment horizontal="right" vertical="center"/>
    </xf>
    <xf numFmtId="172" fontId="9" fillId="2" borderId="0" xfId="0" applyNumberFormat="1" applyFont="1" applyFill="1"/>
    <xf numFmtId="174" fontId="9" fillId="2" borderId="0" xfId="0" applyNumberFormat="1" applyFont="1" applyFill="1"/>
    <xf numFmtId="0" fontId="20" fillId="9" borderId="0" xfId="0" applyFont="1" applyFill="1" applyAlignment="1">
      <alignment horizontal="left"/>
    </xf>
    <xf numFmtId="0" fontId="26" fillId="0" borderId="0" xfId="0" applyFont="1" applyAlignment="1">
      <alignment horizontal="right"/>
    </xf>
    <xf numFmtId="16" fontId="27" fillId="2" borderId="0" xfId="0" applyNumberFormat="1" applyFont="1" applyFill="1"/>
    <xf numFmtId="164" fontId="23" fillId="2" borderId="0" xfId="1" applyFont="1" applyFill="1" applyBorder="1"/>
    <xf numFmtId="164" fontId="5" fillId="0" borderId="0" xfId="1" applyFont="1" applyBorder="1"/>
    <xf numFmtId="4" fontId="28" fillId="2" borderId="0" xfId="0" applyNumberFormat="1" applyFont="1" applyFill="1"/>
    <xf numFmtId="172" fontId="24" fillId="2" borderId="0" xfId="0" applyNumberFormat="1" applyFont="1" applyFill="1"/>
    <xf numFmtId="4" fontId="28" fillId="2" borderId="0" xfId="0" applyNumberFormat="1" applyFont="1" applyFill="1" applyAlignment="1">
      <alignment horizontal="right"/>
    </xf>
    <xf numFmtId="4" fontId="23" fillId="2" borderId="0" xfId="0" applyNumberFormat="1" applyFont="1" applyFill="1" applyAlignment="1">
      <alignment horizontal="right"/>
    </xf>
    <xf numFmtId="0" fontId="27" fillId="0" borderId="0" xfId="0" applyFont="1" applyAlignment="1">
      <alignment horizontal="right"/>
    </xf>
    <xf numFmtId="4" fontId="23" fillId="2" borderId="0" xfId="0" applyNumberFormat="1" applyFont="1" applyFill="1"/>
    <xf numFmtId="164" fontId="28" fillId="2" borderId="0" xfId="1" applyFont="1" applyFill="1" applyBorder="1" applyAlignment="1">
      <alignment horizontal="right" vertical="top" wrapText="1"/>
    </xf>
    <xf numFmtId="164" fontId="23" fillId="2" borderId="0" xfId="1" applyFont="1" applyFill="1" applyBorder="1" applyAlignment="1">
      <alignment horizontal="right" vertical="top" wrapText="1"/>
    </xf>
    <xf numFmtId="0" fontId="29" fillId="0" borderId="2" xfId="0" applyFont="1" applyBorder="1" applyAlignment="1">
      <alignment horizontal="right"/>
    </xf>
    <xf numFmtId="43" fontId="5" fillId="0" borderId="0" xfId="200" applyFont="1"/>
    <xf numFmtId="4" fontId="23" fillId="2" borderId="2" xfId="0" applyNumberFormat="1" applyFont="1" applyFill="1" applyBorder="1"/>
    <xf numFmtId="4" fontId="23" fillId="2" borderId="2" xfId="0" applyNumberFormat="1" applyFont="1" applyFill="1" applyBorder="1" applyAlignment="1">
      <alignment horizontal="right"/>
    </xf>
    <xf numFmtId="172" fontId="24" fillId="2" borderId="2" xfId="0" applyNumberFormat="1" applyFont="1" applyFill="1" applyBorder="1"/>
    <xf numFmtId="0" fontId="28" fillId="0" borderId="0" xfId="0" applyFont="1" applyAlignment="1">
      <alignment horizontal="right"/>
    </xf>
    <xf numFmtId="49" fontId="7" fillId="6" borderId="4" xfId="0" applyNumberFormat="1" applyFont="1" applyFill="1" applyBorder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center" vertical="top" wrapText="1"/>
    </xf>
    <xf numFmtId="164" fontId="7" fillId="6" borderId="4" xfId="1" applyFont="1" applyFill="1" applyBorder="1" applyAlignment="1">
      <alignment horizontal="center" vertical="top" wrapText="1"/>
    </xf>
    <xf numFmtId="164" fontId="24" fillId="2" borderId="4" xfId="1" applyFont="1" applyFill="1" applyBorder="1"/>
    <xf numFmtId="164" fontId="24" fillId="2" borderId="4" xfId="1" applyFont="1" applyFill="1" applyBorder="1" applyAlignment="1"/>
    <xf numFmtId="4" fontId="24" fillId="2" borderId="4" xfId="0" applyNumberFormat="1" applyFont="1" applyFill="1" applyBorder="1" applyAlignment="1">
      <alignment wrapText="1"/>
    </xf>
    <xf numFmtId="0" fontId="24" fillId="2" borderId="4" xfId="0" applyFont="1" applyFill="1" applyBorder="1" applyAlignment="1">
      <alignment wrapText="1"/>
    </xf>
    <xf numFmtId="164" fontId="24" fillId="2" borderId="4" xfId="1" applyFont="1" applyFill="1" applyBorder="1" applyAlignment="1">
      <alignment horizontal="left"/>
    </xf>
    <xf numFmtId="10" fontId="25" fillId="7" borderId="4" xfId="0" applyNumberFormat="1" applyFont="1" applyFill="1" applyBorder="1" applyAlignment="1">
      <alignment horizontal="center" vertical="center"/>
    </xf>
    <xf numFmtId="10" fontId="24" fillId="7" borderId="4" xfId="0" applyNumberFormat="1" applyFont="1" applyFill="1" applyBorder="1" applyAlignment="1">
      <alignment horizontal="center" vertical="center"/>
    </xf>
    <xf numFmtId="172" fontId="24" fillId="7" borderId="4" xfId="0" applyNumberFormat="1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vertical="center" wrapText="1"/>
    </xf>
    <xf numFmtId="49" fontId="24" fillId="2" borderId="4" xfId="0" applyNumberFormat="1" applyFont="1" applyFill="1" applyBorder="1" applyAlignment="1">
      <alignment wrapText="1"/>
    </xf>
    <xf numFmtId="49" fontId="24" fillId="2" borderId="4" xfId="0" applyNumberFormat="1" applyFont="1" applyFill="1" applyBorder="1"/>
    <xf numFmtId="49" fontId="24" fillId="2" borderId="4" xfId="0" applyNumberFormat="1" applyFont="1" applyFill="1" applyBorder="1" applyAlignment="1">
      <alignment vertical="top" wrapText="1"/>
    </xf>
    <xf numFmtId="172" fontId="25" fillId="2" borderId="4" xfId="0" applyNumberFormat="1" applyFont="1" applyFill="1" applyBorder="1"/>
    <xf numFmtId="164" fontId="24" fillId="2" borderId="4" xfId="1" applyFont="1" applyFill="1" applyBorder="1" applyAlignment="1">
      <alignment horizontal="right" vertical="top" wrapText="1"/>
    </xf>
    <xf numFmtId="164" fontId="24" fillId="2" borderId="5" xfId="1" applyFont="1" applyFill="1" applyBorder="1"/>
    <xf numFmtId="164" fontId="24" fillId="2" borderId="5" xfId="1" applyFont="1" applyFill="1" applyBorder="1" applyAlignment="1">
      <alignment horizontal="left"/>
    </xf>
    <xf numFmtId="164" fontId="24" fillId="0" borderId="5" xfId="1" applyFont="1" applyBorder="1"/>
    <xf numFmtId="164" fontId="24" fillId="2" borderId="5" xfId="1" applyFont="1" applyFill="1" applyBorder="1" applyAlignment="1">
      <alignment horizontal="right"/>
    </xf>
    <xf numFmtId="164" fontId="24" fillId="29" borderId="5" xfId="1" applyFont="1" applyFill="1" applyBorder="1" applyAlignment="1">
      <alignment horizontal="left"/>
    </xf>
    <xf numFmtId="164" fontId="24" fillId="0" borderId="5" xfId="1" applyFont="1" applyBorder="1" applyAlignment="1"/>
    <xf numFmtId="164" fontId="24" fillId="29" borderId="5" xfId="1" applyFont="1" applyFill="1" applyBorder="1"/>
    <xf numFmtId="164" fontId="24" fillId="2" borderId="2" xfId="1" applyFont="1" applyFill="1" applyBorder="1"/>
    <xf numFmtId="164" fontId="24" fillId="0" borderId="5" xfId="1" applyFont="1" applyBorder="1" applyAlignment="1">
      <alignment horizontal="right"/>
    </xf>
    <xf numFmtId="164" fontId="24" fillId="2" borderId="5" xfId="1" applyFont="1" applyFill="1" applyBorder="1" applyAlignment="1">
      <alignment horizontal="center"/>
    </xf>
    <xf numFmtId="164" fontId="24" fillId="0" borderId="5" xfId="1" applyFont="1" applyBorder="1" applyAlignment="1">
      <alignment vertical="center"/>
    </xf>
    <xf numFmtId="164" fontId="24" fillId="2" borderId="5" xfId="1" applyFont="1" applyFill="1" applyBorder="1" applyAlignment="1"/>
    <xf numFmtId="164" fontId="25" fillId="2" borderId="4" xfId="1" applyFont="1" applyFill="1" applyBorder="1" applyAlignment="1">
      <alignment horizontal="center" vertical="top" wrapText="1"/>
    </xf>
    <xf numFmtId="164" fontId="24" fillId="0" borderId="4" xfId="1" applyFont="1" applyBorder="1"/>
    <xf numFmtId="164" fontId="24" fillId="2" borderId="4" xfId="1" applyFont="1" applyFill="1" applyBorder="1" applyAlignment="1" applyProtection="1"/>
    <xf numFmtId="173" fontId="24" fillId="2" borderId="4" xfId="0" applyNumberFormat="1" applyFont="1" applyFill="1" applyBorder="1" applyAlignment="1">
      <alignment horizontal="center" wrapText="1"/>
    </xf>
    <xf numFmtId="10" fontId="24" fillId="2" borderId="4" xfId="0" applyNumberFormat="1" applyFont="1" applyFill="1" applyBorder="1" applyAlignment="1">
      <alignment horizontal="center"/>
    </xf>
    <xf numFmtId="172" fontId="24" fillId="7" borderId="4" xfId="0" applyNumberFormat="1" applyFont="1" applyFill="1" applyBorder="1" applyAlignment="1">
      <alignment horizontal="right" vertical="center"/>
    </xf>
    <xf numFmtId="164" fontId="24" fillId="0" borderId="4" xfId="1" applyFont="1" applyBorder="1" applyAlignment="1">
      <alignment horizontal="right"/>
    </xf>
    <xf numFmtId="164" fontId="24" fillId="2" borderId="4" xfId="1" applyFont="1" applyFill="1" applyBorder="1" applyAlignment="1">
      <alignment horizontal="right"/>
    </xf>
    <xf numFmtId="164" fontId="24" fillId="29" borderId="4" xfId="1" applyFont="1" applyFill="1" applyBorder="1" applyAlignment="1">
      <alignment horizontal="left"/>
    </xf>
    <xf numFmtId="164" fontId="24" fillId="0" borderId="4" xfId="1" applyFont="1" applyBorder="1" applyAlignment="1"/>
    <xf numFmtId="164" fontId="24" fillId="0" borderId="4" xfId="1" applyFont="1" applyBorder="1" applyAlignment="1">
      <alignment vertical="center"/>
    </xf>
    <xf numFmtId="172" fontId="25" fillId="2" borderId="4" xfId="0" applyNumberFormat="1" applyFont="1" applyFill="1" applyBorder="1" applyAlignment="1">
      <alignment horizontal="left"/>
    </xf>
    <xf numFmtId="164" fontId="25" fillId="2" borderId="4" xfId="1" applyFont="1" applyFill="1" applyBorder="1" applyAlignment="1">
      <alignment horizontal="left"/>
    </xf>
    <xf numFmtId="172" fontId="25" fillId="7" borderId="4" xfId="0" applyNumberFormat="1" applyFont="1" applyFill="1" applyBorder="1" applyAlignment="1">
      <alignment horizontal="right" vertical="center"/>
    </xf>
    <xf numFmtId="164" fontId="25" fillId="2" borderId="4" xfId="1" applyFont="1" applyFill="1" applyBorder="1"/>
    <xf numFmtId="164" fontId="24" fillId="29" borderId="4" xfId="1" applyFont="1" applyFill="1" applyBorder="1"/>
    <xf numFmtId="164" fontId="24" fillId="0" borderId="4" xfId="1" applyFont="1" applyFill="1" applyBorder="1" applyAlignment="1"/>
    <xf numFmtId="164" fontId="24" fillId="2" borderId="4" xfId="1" applyFont="1" applyFill="1" applyBorder="1" applyAlignment="1">
      <alignment horizontal="center"/>
    </xf>
    <xf numFmtId="172" fontId="25" fillId="7" borderId="4" xfId="0" applyNumberFormat="1" applyFont="1" applyFill="1" applyBorder="1" applyAlignment="1">
      <alignment horizontal="center" vertical="center"/>
    </xf>
    <xf numFmtId="164" fontId="25" fillId="2" borderId="4" xfId="1" applyFont="1" applyFill="1" applyBorder="1" applyAlignment="1"/>
    <xf numFmtId="49" fontId="24" fillId="2" borderId="4" xfId="0" applyNumberFormat="1" applyFont="1" applyFill="1" applyBorder="1" applyAlignment="1">
      <alignment horizontal="left" vertical="top" wrapText="1"/>
    </xf>
    <xf numFmtId="0" fontId="24" fillId="2" borderId="4" xfId="0" applyFont="1" applyFill="1" applyBorder="1"/>
    <xf numFmtId="164" fontId="24" fillId="0" borderId="4" xfId="1" applyFont="1" applyBorder="1" applyAlignment="1">
      <alignment horizontal="right" vertical="center"/>
    </xf>
    <xf numFmtId="164" fontId="25" fillId="2" borderId="4" xfId="1" applyFont="1" applyFill="1" applyBorder="1" applyAlignment="1">
      <alignment wrapText="1"/>
    </xf>
    <xf numFmtId="10" fontId="25" fillId="7" borderId="4" xfId="0" applyNumberFormat="1" applyFont="1" applyFill="1" applyBorder="1" applyAlignment="1">
      <alignment horizontal="right" vertical="center"/>
    </xf>
    <xf numFmtId="164" fontId="24" fillId="2" borderId="4" xfId="1" applyFont="1" applyFill="1" applyBorder="1" applyAlignment="1">
      <alignment horizontal="right" wrapText="1"/>
    </xf>
    <xf numFmtId="10" fontId="24" fillId="2" borderId="4" xfId="0" applyNumberFormat="1" applyFont="1" applyFill="1" applyBorder="1"/>
    <xf numFmtId="4" fontId="24" fillId="2" borderId="4" xfId="463" applyNumberFormat="1" applyFont="1" applyFill="1" applyBorder="1" applyAlignment="1">
      <alignment wrapText="1"/>
    </xf>
    <xf numFmtId="0" fontId="24" fillId="2" borderId="4" xfId="463" applyFont="1" applyFill="1" applyBorder="1" applyAlignment="1">
      <alignment wrapText="1"/>
    </xf>
    <xf numFmtId="164" fontId="25" fillId="6" borderId="4" xfId="1" applyFont="1" applyFill="1" applyBorder="1"/>
    <xf numFmtId="172" fontId="8" fillId="6" borderId="4" xfId="0" applyNumberFormat="1" applyFont="1" applyFill="1" applyBorder="1"/>
    <xf numFmtId="10" fontId="8" fillId="6" borderId="4" xfId="0" applyNumberFormat="1" applyFont="1" applyFill="1" applyBorder="1"/>
    <xf numFmtId="164" fontId="8" fillId="6" borderId="4" xfId="1" applyFont="1" applyFill="1" applyBorder="1"/>
    <xf numFmtId="10" fontId="8" fillId="6" borderId="4" xfId="0" applyNumberFormat="1" applyFont="1" applyFill="1" applyBorder="1" applyAlignment="1">
      <alignment horizontal="right" vertical="center"/>
    </xf>
    <xf numFmtId="172" fontId="8" fillId="6" borderId="4" xfId="0" applyNumberFormat="1" applyFont="1" applyFill="1" applyBorder="1" applyAlignment="1">
      <alignment horizontal="right" vertical="center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171" fontId="33" fillId="0" borderId="0" xfId="200" applyNumberFormat="1" applyFont="1"/>
    <xf numFmtId="10" fontId="34" fillId="2" borderId="4" xfId="0" applyNumberFormat="1" applyFont="1" applyFill="1" applyBorder="1" applyAlignment="1">
      <alignment horizontal="center"/>
    </xf>
    <xf numFmtId="49" fontId="25" fillId="2" borderId="4" xfId="0" applyNumberFormat="1" applyFont="1" applyFill="1" applyBorder="1" applyAlignment="1">
      <alignment horizontal="right"/>
    </xf>
    <xf numFmtId="49" fontId="8" fillId="6" borderId="4" xfId="0" applyNumberFormat="1" applyFont="1" applyFill="1" applyBorder="1" applyAlignment="1">
      <alignment horizontal="right"/>
    </xf>
    <xf numFmtId="173" fontId="24" fillId="2" borderId="4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173" fontId="25" fillId="2" borderId="4" xfId="0" applyNumberFormat="1" applyFont="1" applyFill="1" applyBorder="1" applyAlignment="1">
      <alignment horizontal="center" wrapText="1"/>
    </xf>
    <xf numFmtId="49" fontId="25" fillId="2" borderId="4" xfId="0" applyNumberFormat="1" applyFont="1" applyFill="1" applyBorder="1" applyAlignment="1">
      <alignment horizontal="center" wrapText="1"/>
    </xf>
    <xf numFmtId="172" fontId="31" fillId="2" borderId="4" xfId="0" applyNumberFormat="1" applyFont="1" applyFill="1" applyBorder="1" applyAlignment="1">
      <alignment horizontal="center" wrapText="1"/>
    </xf>
    <xf numFmtId="49" fontId="30" fillId="5" borderId="4" xfId="0" applyNumberFormat="1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top" wrapText="1"/>
    </xf>
    <xf numFmtId="173" fontId="25" fillId="2" borderId="4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32" fillId="0" borderId="2" xfId="0" applyFont="1" applyBorder="1" applyAlignment="1">
      <alignment horizontal="right"/>
    </xf>
    <xf numFmtId="16" fontId="32" fillId="2" borderId="2" xfId="0" quotePrefix="1" applyNumberFormat="1" applyFont="1" applyFill="1" applyBorder="1" applyAlignment="1">
      <alignment horizontal="right"/>
    </xf>
    <xf numFmtId="164" fontId="33" fillId="2" borderId="2" xfId="1" applyFont="1" applyFill="1" applyBorder="1" applyAlignment="1">
      <alignment horizontal="right" vertical="top" wrapText="1"/>
    </xf>
    <xf numFmtId="164" fontId="33" fillId="2" borderId="2" xfId="1" applyFont="1" applyFill="1" applyBorder="1"/>
    <xf numFmtId="4" fontId="33" fillId="2" borderId="2" xfId="0" applyNumberFormat="1" applyFont="1" applyFill="1" applyBorder="1"/>
    <xf numFmtId="4" fontId="33" fillId="2" borderId="2" xfId="0" applyNumberFormat="1" applyFont="1" applyFill="1" applyBorder="1" applyAlignment="1">
      <alignment horizontal="right"/>
    </xf>
    <xf numFmtId="172" fontId="33" fillId="2" borderId="2" xfId="0" applyNumberFormat="1" applyFont="1" applyFill="1" applyBorder="1"/>
    <xf numFmtId="0" fontId="35" fillId="0" borderId="0" xfId="0" applyFont="1" applyAlignment="1">
      <alignment horizontal="right"/>
    </xf>
    <xf numFmtId="0" fontId="32" fillId="0" borderId="6" xfId="0" applyFont="1" applyBorder="1" applyAlignment="1">
      <alignment horizontal="right"/>
    </xf>
    <xf numFmtId="0" fontId="36" fillId="0" borderId="0" xfId="0" applyFont="1" applyAlignment="1">
      <alignment horizontal="right"/>
    </xf>
    <xf numFmtId="16" fontId="36" fillId="2" borderId="0" xfId="0" quotePrefix="1" applyNumberFormat="1" applyFont="1" applyFill="1" applyAlignment="1">
      <alignment horizontal="right" wrapText="1"/>
    </xf>
    <xf numFmtId="0" fontId="36" fillId="0" borderId="0" xfId="0" applyFont="1" applyAlignment="1">
      <alignment horizontal="right" wrapText="1"/>
    </xf>
    <xf numFmtId="43" fontId="2" fillId="0" borderId="0" xfId="200" applyFont="1" applyBorder="1"/>
    <xf numFmtId="43" fontId="37" fillId="0" borderId="0" xfId="200" applyFont="1" applyBorder="1"/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January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29.579571642289327</c:v>
                </c:pt>
                <c:pt idx="1">
                  <c:v>954.71678990712985</c:v>
                </c:pt>
                <c:pt idx="2">
                  <c:v>297.26469795871998</c:v>
                </c:pt>
                <c:pt idx="3">
                  <c:v>1167.7321175052934</c:v>
                </c:pt>
                <c:pt idx="4">
                  <c:v>97.676603718220008</c:v>
                </c:pt>
                <c:pt idx="5">
                  <c:v>46.187915048359997</c:v>
                </c:pt>
                <c:pt idx="6">
                  <c:v>5.2162301487600002</c:v>
                </c:pt>
                <c:pt idx="7">
                  <c:v>46.768829487220003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C-4CE6-8340-267A4224C0F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February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27.968292639349997</c:v>
                </c:pt>
                <c:pt idx="1">
                  <c:v>959.12521671342017</c:v>
                </c:pt>
                <c:pt idx="2">
                  <c:v>290.37195049995</c:v>
                </c:pt>
                <c:pt idx="3">
                  <c:v>1387.5869787181832</c:v>
                </c:pt>
                <c:pt idx="4">
                  <c:v>98.105620467190008</c:v>
                </c:pt>
                <c:pt idx="5">
                  <c:v>48.771441661730002</c:v>
                </c:pt>
                <c:pt idx="6">
                  <c:v>5.10283750362</c:v>
                </c:pt>
                <c:pt idx="7">
                  <c:v>49.092967262560002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C-4CE6-8340-267A4224C0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February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C0C-A12A-7945BB6BD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C0C-A12A-7945BB6BD8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C0C-A12A-7945BB6BD8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C0C-A12A-7945BB6BD8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E4-4C0C-A12A-7945BB6BD80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BE4-4C0C-A12A-7945BB6BD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BE4-4C0C-A12A-7945BB6BD80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BE4-4C0C-A12A-7945BB6BD802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E4-4C0C-A12A-7945BB6BD802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E4-4C0C-A12A-7945BB6BD802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E4-4C0C-A12A-7945BB6BD802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E4-4C0C-A12A-7945BB6BD802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E4-4C0C-A12A-7945BB6BD802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E4-4C0C-A12A-7945BB6BD802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BE4-4C0C-A12A-7945BB6BD802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BE4-4C0C-A12A-7945BB6BD802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5102837503.6199999</c:v>
                </c:pt>
                <c:pt idx="1">
                  <c:v>27968292639.349998</c:v>
                </c:pt>
                <c:pt idx="2" formatCode="#,##0.00">
                  <c:v>48771441661.730003</c:v>
                </c:pt>
                <c:pt idx="3" formatCode="#,##0.00">
                  <c:v>49092967262.560005</c:v>
                </c:pt>
                <c:pt idx="4" formatCode="#,##0.00">
                  <c:v>98105620467.190002</c:v>
                </c:pt>
                <c:pt idx="5" formatCode="#,##0.00">
                  <c:v>290371950499.95001</c:v>
                </c:pt>
                <c:pt idx="6" formatCode="#,##0.00">
                  <c:v>959125216713.42017</c:v>
                </c:pt>
                <c:pt idx="7" formatCode="&quot; &quot;* #,##0.00&quot; &quot;;&quot;-&quot;* #,##0.00&quot; &quot;;&quot; &quot;* &quot;-&quot;??&quot; &quot;">
                  <c:v>1387586978718.1831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E4-4C0C-A12A-7945BB6BD80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49150</c:v>
                </c:pt>
                <c:pt idx="1">
                  <c:v>274694</c:v>
                </c:pt>
                <c:pt idx="2">
                  <c:v>49427</c:v>
                </c:pt>
                <c:pt idx="3">
                  <c:v>14624</c:v>
                </c:pt>
                <c:pt idx="4">
                  <c:v>217006</c:v>
                </c:pt>
                <c:pt idx="5">
                  <c:v>69316</c:v>
                </c:pt>
                <c:pt idx="6">
                  <c:v>13033</c:v>
                </c:pt>
                <c:pt idx="7">
                  <c:v>26385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FB8-9E12-D08258637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266700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5"/>
  <sheetViews>
    <sheetView tabSelected="1" view="pageBreakPreview" zoomScaleNormal="70" zoomScaleSheetLayoutView="100" workbookViewId="0">
      <pane ySplit="2" topLeftCell="A3" activePane="bottomLeft" state="frozen"/>
      <selection pane="bottomLeft" activeCell="A3" sqref="A3:V3"/>
    </sheetView>
  </sheetViews>
  <sheetFormatPr defaultColWidth="9" defaultRowHeight="12.75"/>
  <cols>
    <col min="1" max="1" width="6.7109375" style="5" customWidth="1"/>
    <col min="2" max="2" width="53.7109375" style="5" customWidth="1"/>
    <col min="3" max="3" width="52.5703125" style="5" customWidth="1"/>
    <col min="4" max="4" width="21.5703125" style="5" customWidth="1"/>
    <col min="5" max="6" width="19.28515625" style="5" customWidth="1"/>
    <col min="7" max="7" width="19.7109375" style="5" customWidth="1"/>
    <col min="8" max="8" width="20" style="5" customWidth="1"/>
    <col min="9" max="9" width="22" style="5" customWidth="1"/>
    <col min="10" max="10" width="9.140625" style="5" bestFit="1" customWidth="1"/>
    <col min="11" max="11" width="23" style="5" customWidth="1"/>
    <col min="12" max="12" width="10.42578125" style="5" customWidth="1"/>
    <col min="13" max="13" width="11.5703125" style="5" customWidth="1"/>
    <col min="14" max="14" width="12.140625" style="5" customWidth="1"/>
    <col min="15" max="15" width="12.5703125" style="5" customWidth="1"/>
    <col min="16" max="16" width="14.28515625" style="5" customWidth="1"/>
    <col min="17" max="17" width="12.7109375" style="5" customWidth="1"/>
    <col min="18" max="19" width="14.42578125" style="5" customWidth="1"/>
    <col min="20" max="20" width="15.5703125" style="5" customWidth="1"/>
    <col min="21" max="22" width="20.140625" style="5" customWidth="1"/>
    <col min="23" max="16384" width="9" style="5"/>
  </cols>
  <sheetData>
    <row r="1" spans="1:23" ht="39.950000000000003" customHeight="1">
      <c r="A1" s="107" t="s">
        <v>253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3" ht="48" customHeight="1">
      <c r="A2" s="31" t="s">
        <v>0</v>
      </c>
      <c r="B2" s="31" t="s">
        <v>1</v>
      </c>
      <c r="C2" s="32" t="s">
        <v>1</v>
      </c>
      <c r="D2" s="31" t="s">
        <v>2</v>
      </c>
      <c r="E2" s="31" t="s">
        <v>3</v>
      </c>
      <c r="F2" s="31" t="s">
        <v>211</v>
      </c>
      <c r="G2" s="31" t="s">
        <v>4</v>
      </c>
      <c r="H2" s="33" t="s">
        <v>5</v>
      </c>
      <c r="I2" s="31" t="s">
        <v>250</v>
      </c>
      <c r="J2" s="31" t="s">
        <v>254</v>
      </c>
      <c r="K2" s="31" t="s">
        <v>6</v>
      </c>
      <c r="L2" s="31" t="s">
        <v>254</v>
      </c>
      <c r="M2" s="31" t="s">
        <v>7</v>
      </c>
      <c r="N2" s="31" t="s">
        <v>8</v>
      </c>
      <c r="O2" s="31" t="s">
        <v>9</v>
      </c>
      <c r="P2" s="31" t="s">
        <v>10</v>
      </c>
      <c r="Q2" s="31" t="s">
        <v>11</v>
      </c>
      <c r="R2" s="31" t="s">
        <v>12</v>
      </c>
      <c r="S2" s="31" t="s">
        <v>13</v>
      </c>
      <c r="T2" s="31" t="s">
        <v>14</v>
      </c>
      <c r="U2" s="31" t="s">
        <v>15</v>
      </c>
      <c r="V2" s="31" t="s">
        <v>16</v>
      </c>
    </row>
    <row r="3" spans="1:23" ht="6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3" ht="17.100000000000001" customHeight="1">
      <c r="A4" s="109" t="s">
        <v>17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5" spans="1:23" ht="15" customHeight="1">
      <c r="A5" s="63">
        <v>1</v>
      </c>
      <c r="B5" s="43" t="s">
        <v>18</v>
      </c>
      <c r="C5" s="43" t="s">
        <v>19</v>
      </c>
      <c r="D5" s="34">
        <v>1185766650.1800001</v>
      </c>
      <c r="E5" s="34">
        <v>1396900.3</v>
      </c>
      <c r="F5" s="34">
        <v>375753034.19999999</v>
      </c>
      <c r="G5" s="34">
        <v>2248894.1800000002</v>
      </c>
      <c r="H5" s="35">
        <f>(E5+F5)-G5</f>
        <v>374901040.31999999</v>
      </c>
      <c r="I5" s="49">
        <v>1265346487.51</v>
      </c>
      <c r="J5" s="64">
        <f>(I5/$I$22)</f>
        <v>4.277771506673745E-2</v>
      </c>
      <c r="K5" s="38">
        <v>1196492940.9000001</v>
      </c>
      <c r="L5" s="64">
        <f>(K5/$K$22)</f>
        <v>4.2780335443737237E-2</v>
      </c>
      <c r="M5" s="64">
        <f t="shared" ref="M5:M22" si="0">((K5-I5)/I5)</f>
        <v>-5.4414776734784072E-2</v>
      </c>
      <c r="N5" s="39">
        <f t="shared" ref="N5" si="1">(G5/K5)</f>
        <v>1.8795716239732977E-3</v>
      </c>
      <c r="O5" s="40">
        <f t="shared" ref="O5" si="2">H5/K5</f>
        <v>0.31333326550008728</v>
      </c>
      <c r="P5" s="65">
        <f t="shared" ref="P5" si="3">K5/V5</f>
        <v>336.07459587198696</v>
      </c>
      <c r="Q5" s="65">
        <f t="shared" ref="Q5" si="4">H5/V5</f>
        <v>105.30335057619185</v>
      </c>
      <c r="R5" s="34">
        <v>336.07459999999998</v>
      </c>
      <c r="S5" s="34">
        <v>338.81630000000001</v>
      </c>
      <c r="T5" s="34">
        <v>1736</v>
      </c>
      <c r="U5" s="34">
        <v>3622669.7</v>
      </c>
      <c r="V5" s="34">
        <v>3560200.49</v>
      </c>
    </row>
    <row r="6" spans="1:23" ht="14.25">
      <c r="A6" s="63">
        <v>2</v>
      </c>
      <c r="B6" s="43" t="s">
        <v>20</v>
      </c>
      <c r="C6" s="43" t="s">
        <v>21</v>
      </c>
      <c r="D6" s="34">
        <v>601119470.92999995</v>
      </c>
      <c r="E6" s="34">
        <v>35986001.549999997</v>
      </c>
      <c r="F6" s="34"/>
      <c r="G6" s="34">
        <v>6039831.5300000003</v>
      </c>
      <c r="H6" s="35">
        <f t="shared" ref="H6:H21" si="5">(E6+F6)-G6</f>
        <v>29946170.019999996</v>
      </c>
      <c r="I6" s="49">
        <v>639393247.88999999</v>
      </c>
      <c r="J6" s="64">
        <f t="shared" ref="J6:J21" si="6">(I6/$I$22)</f>
        <v>2.161604149046811E-2</v>
      </c>
      <c r="K6" s="38">
        <v>600519635.5</v>
      </c>
      <c r="L6" s="64">
        <f t="shared" ref="L6:L21" si="7">(K6/$K$22)</f>
        <v>2.1471444225919557E-2</v>
      </c>
      <c r="M6" s="64">
        <f t="shared" si="0"/>
        <v>-6.0797658590050874E-2</v>
      </c>
      <c r="N6" s="39">
        <f t="shared" ref="N6:N21" si="8">(G6/K6)</f>
        <v>1.0057675341408549E-2</v>
      </c>
      <c r="O6" s="40">
        <f t="shared" ref="O6:O21" si="9">H6/K6</f>
        <v>4.9867095511483897E-2</v>
      </c>
      <c r="P6" s="65">
        <f t="shared" ref="P6:P21" si="10">K6/V6</f>
        <v>220.90338485240014</v>
      </c>
      <c r="Q6" s="65">
        <f t="shared" ref="Q6:Q21" si="11">H6/V6</f>
        <v>11.015810191244723</v>
      </c>
      <c r="R6" s="34">
        <v>219.98</v>
      </c>
      <c r="S6" s="34">
        <v>222.36</v>
      </c>
      <c r="T6" s="34">
        <v>301</v>
      </c>
      <c r="U6" s="34">
        <v>2705216.49</v>
      </c>
      <c r="V6" s="34">
        <v>2718471.86</v>
      </c>
    </row>
    <row r="7" spans="1:23" ht="14.25">
      <c r="A7" s="63">
        <v>3</v>
      </c>
      <c r="B7" s="43" t="s">
        <v>22</v>
      </c>
      <c r="C7" s="44" t="s">
        <v>23</v>
      </c>
      <c r="D7" s="34">
        <v>3756017863.5799999</v>
      </c>
      <c r="E7" s="34">
        <v>-325572.96000000002</v>
      </c>
      <c r="F7" s="34">
        <v>-191511706.93000001</v>
      </c>
      <c r="G7" s="34">
        <v>12690962.52</v>
      </c>
      <c r="H7" s="35">
        <f t="shared" si="5"/>
        <v>-204528242.41000003</v>
      </c>
      <c r="I7" s="49">
        <v>4230884601</v>
      </c>
      <c r="J7" s="64">
        <f t="shared" si="6"/>
        <v>0.1430340050952999</v>
      </c>
      <c r="K7" s="38">
        <v>3958531300</v>
      </c>
      <c r="L7" s="64">
        <f t="shared" si="7"/>
        <v>0.14153639448231969</v>
      </c>
      <c r="M7" s="64">
        <f t="shared" si="0"/>
        <v>-6.4372661200834291E-2</v>
      </c>
      <c r="N7" s="39">
        <f t="shared" si="8"/>
        <v>3.2059775604148942E-3</v>
      </c>
      <c r="O7" s="40">
        <f t="shared" si="9"/>
        <v>-5.166770878128462E-2</v>
      </c>
      <c r="P7" s="65">
        <f t="shared" si="10"/>
        <v>37.110436890120667</v>
      </c>
      <c r="Q7" s="65">
        <f t="shared" si="11"/>
        <v>-1.9174112459849963</v>
      </c>
      <c r="R7" s="34">
        <v>36.924799999999998</v>
      </c>
      <c r="S7" s="34">
        <v>38.038200000000003</v>
      </c>
      <c r="T7" s="34">
        <v>6366</v>
      </c>
      <c r="U7" s="34">
        <v>108821422</v>
      </c>
      <c r="V7" s="34">
        <v>106668949</v>
      </c>
    </row>
    <row r="8" spans="1:23" ht="14.25">
      <c r="A8" s="63">
        <v>4</v>
      </c>
      <c r="B8" s="42" t="s">
        <v>24</v>
      </c>
      <c r="C8" s="42" t="s">
        <v>25</v>
      </c>
      <c r="D8" s="61">
        <v>550632977.52999997</v>
      </c>
      <c r="E8" s="34">
        <v>6474003.1100000003</v>
      </c>
      <c r="F8" s="34"/>
      <c r="G8" s="34">
        <v>1492918.05</v>
      </c>
      <c r="H8" s="35">
        <f t="shared" si="5"/>
        <v>4981085.0600000005</v>
      </c>
      <c r="I8" s="50">
        <v>800420405</v>
      </c>
      <c r="J8" s="64">
        <f t="shared" si="6"/>
        <v>2.7059905217006418E-2</v>
      </c>
      <c r="K8" s="61">
        <v>713939500.14999998</v>
      </c>
      <c r="L8" s="64">
        <f t="shared" si="7"/>
        <v>2.5526745924616168E-2</v>
      </c>
      <c r="M8" s="64">
        <f t="shared" si="0"/>
        <v>-0.10804435307967945</v>
      </c>
      <c r="N8" s="39">
        <f t="shared" si="8"/>
        <v>2.0910988251614253E-3</v>
      </c>
      <c r="O8" s="40">
        <f t="shared" si="9"/>
        <v>6.9769007863459938E-3</v>
      </c>
      <c r="P8" s="65">
        <f t="shared" si="10"/>
        <v>228.31901504155621</v>
      </c>
      <c r="Q8" s="65">
        <f t="shared" si="11"/>
        <v>1.5929591155811762</v>
      </c>
      <c r="R8" s="61">
        <v>228.31899999999999</v>
      </c>
      <c r="S8" s="61">
        <v>228.31899999999999</v>
      </c>
      <c r="T8" s="34">
        <v>2288</v>
      </c>
      <c r="U8" s="34">
        <v>3292646.79</v>
      </c>
      <c r="V8" s="34">
        <v>3126938.42</v>
      </c>
    </row>
    <row r="9" spans="1:23" ht="14.25">
      <c r="A9" s="63">
        <v>5</v>
      </c>
      <c r="B9" s="36" t="s">
        <v>234</v>
      </c>
      <c r="C9" s="37" t="s">
        <v>103</v>
      </c>
      <c r="D9" s="61">
        <v>609883403.59000003</v>
      </c>
      <c r="E9" s="34">
        <v>1894070.09</v>
      </c>
      <c r="F9" s="34">
        <v>-67366849.629999995</v>
      </c>
      <c r="G9" s="34">
        <v>1045400.65</v>
      </c>
      <c r="H9" s="35">
        <f t="shared" si="5"/>
        <v>-66518180.18999999</v>
      </c>
      <c r="I9" s="38">
        <v>0</v>
      </c>
      <c r="J9" s="64">
        <f t="shared" si="6"/>
        <v>0</v>
      </c>
      <c r="K9" s="61">
        <v>613303895.26999998</v>
      </c>
      <c r="L9" s="64">
        <f t="shared" si="7"/>
        <v>2.19285425527589E-2</v>
      </c>
      <c r="M9" s="64" t="e">
        <f t="shared" si="0"/>
        <v>#DIV/0!</v>
      </c>
      <c r="N9" s="39">
        <f t="shared" si="8"/>
        <v>1.7045393940303842E-3</v>
      </c>
      <c r="O9" s="40">
        <f t="shared" si="9"/>
        <v>-0.10845876033563447</v>
      </c>
      <c r="P9" s="65">
        <f t="shared" si="10"/>
        <v>0.9019701119112209</v>
      </c>
      <c r="Q9" s="65">
        <f t="shared" si="11"/>
        <v>-9.7826560197684514E-2</v>
      </c>
      <c r="R9" s="61">
        <v>0.8982</v>
      </c>
      <c r="S9" s="61">
        <v>0.90390000000000004</v>
      </c>
      <c r="T9" s="34">
        <v>553</v>
      </c>
      <c r="U9" s="34">
        <v>687520943.98000002</v>
      </c>
      <c r="V9" s="34">
        <v>679960330.36000001</v>
      </c>
    </row>
    <row r="10" spans="1:23" ht="14.25">
      <c r="A10" s="63">
        <v>6</v>
      </c>
      <c r="B10" s="36" t="s">
        <v>246</v>
      </c>
      <c r="C10" s="37" t="s">
        <v>45</v>
      </c>
      <c r="D10" s="34">
        <f>32253289.2+18806178.23+14691802.22+27640413.07</f>
        <v>93391682.719999999</v>
      </c>
      <c r="E10" s="34">
        <v>516787.42</v>
      </c>
      <c r="F10" s="34"/>
      <c r="G10" s="34">
        <v>141961.84</v>
      </c>
      <c r="H10" s="35">
        <f>(E10+F10)-G10</f>
        <v>374825.57999999996</v>
      </c>
      <c r="I10" s="55">
        <v>93178568.469999999</v>
      </c>
      <c r="J10" s="64">
        <f t="shared" si="6"/>
        <v>3.1500986422935365E-3</v>
      </c>
      <c r="K10" s="34">
        <v>96914447.799999997</v>
      </c>
      <c r="L10" s="64">
        <f t="shared" si="7"/>
        <v>3.4651542391131228E-3</v>
      </c>
      <c r="M10" s="64">
        <f t="shared" si="0"/>
        <v>4.0093761809646293E-2</v>
      </c>
      <c r="N10" s="39">
        <f t="shared" si="8"/>
        <v>1.4648160642978972E-3</v>
      </c>
      <c r="O10" s="40">
        <f t="shared" si="9"/>
        <v>3.8675923818244154E-3</v>
      </c>
      <c r="P10" s="65">
        <f t="shared" si="10"/>
        <v>154.61286896274504</v>
      </c>
      <c r="Q10" s="65">
        <f t="shared" si="11"/>
        <v>0.59797955413232939</v>
      </c>
      <c r="R10" s="34">
        <v>154.4896</v>
      </c>
      <c r="S10" s="34">
        <v>154.91159999999999</v>
      </c>
      <c r="T10" s="34">
        <v>87</v>
      </c>
      <c r="U10" s="34">
        <v>587441.48</v>
      </c>
      <c r="V10" s="34">
        <v>626820.06000000006</v>
      </c>
    </row>
    <row r="11" spans="1:23" ht="14.25">
      <c r="A11" s="63">
        <v>7</v>
      </c>
      <c r="B11" s="43" t="s">
        <v>26</v>
      </c>
      <c r="C11" s="43" t="s">
        <v>27</v>
      </c>
      <c r="D11" s="66">
        <v>1051707163.05</v>
      </c>
      <c r="E11" s="61">
        <v>1879787.82</v>
      </c>
      <c r="F11" s="61"/>
      <c r="G11" s="66">
        <v>2255866.94</v>
      </c>
      <c r="H11" s="35">
        <f t="shared" si="5"/>
        <v>-376079.11999999988</v>
      </c>
      <c r="I11" s="51">
        <v>1185119296.0599999</v>
      </c>
      <c r="J11" s="64">
        <f t="shared" si="6"/>
        <v>4.0065465125453621E-2</v>
      </c>
      <c r="K11" s="67">
        <v>1034672425.51</v>
      </c>
      <c r="L11" s="64">
        <f t="shared" si="7"/>
        <v>3.6994479386069756E-2</v>
      </c>
      <c r="M11" s="64">
        <f t="shared" si="0"/>
        <v>-0.1269466044896658</v>
      </c>
      <c r="N11" s="39">
        <f t="shared" si="8"/>
        <v>2.1802716341725852E-3</v>
      </c>
      <c r="O11" s="40">
        <f t="shared" si="9"/>
        <v>-3.6347650785670342E-4</v>
      </c>
      <c r="P11" s="65">
        <f t="shared" si="10"/>
        <v>253.67259537493032</v>
      </c>
      <c r="Q11" s="65">
        <f t="shared" si="11"/>
        <v>-9.2204029105826216E-2</v>
      </c>
      <c r="R11" s="61">
        <v>253.67</v>
      </c>
      <c r="S11" s="61">
        <v>257.17</v>
      </c>
      <c r="T11" s="61">
        <v>1620</v>
      </c>
      <c r="U11" s="66">
        <v>4183571</v>
      </c>
      <c r="V11" s="66">
        <v>4078771</v>
      </c>
    </row>
    <row r="12" spans="1:23" ht="14.25">
      <c r="A12" s="63">
        <v>8</v>
      </c>
      <c r="B12" s="43" t="s">
        <v>28</v>
      </c>
      <c r="C12" s="44" t="s">
        <v>29</v>
      </c>
      <c r="D12" s="34">
        <v>331094887.97000003</v>
      </c>
      <c r="E12" s="34">
        <v>18859626.280000001</v>
      </c>
      <c r="F12" s="34">
        <v>-4097400.19</v>
      </c>
      <c r="G12" s="34">
        <v>959667.4</v>
      </c>
      <c r="H12" s="35">
        <f t="shared" si="5"/>
        <v>13802558.690000001</v>
      </c>
      <c r="I12" s="49">
        <v>317053931.67000002</v>
      </c>
      <c r="J12" s="64">
        <f t="shared" si="6"/>
        <v>1.0718678941811121E-2</v>
      </c>
      <c r="K12" s="38">
        <v>316736190.00999999</v>
      </c>
      <c r="L12" s="64">
        <f t="shared" si="7"/>
        <v>1.1324831089773706E-2</v>
      </c>
      <c r="M12" s="64">
        <f t="shared" si="0"/>
        <v>-1.0021691209643854E-3</v>
      </c>
      <c r="N12" s="39">
        <f t="shared" si="8"/>
        <v>3.0298634329398904E-3</v>
      </c>
      <c r="O12" s="40">
        <f t="shared" si="9"/>
        <v>4.3577460124036432E-2</v>
      </c>
      <c r="P12" s="65">
        <f t="shared" si="10"/>
        <v>159.32107400918593</v>
      </c>
      <c r="Q12" s="65">
        <f t="shared" si="11"/>
        <v>6.9428077495539577</v>
      </c>
      <c r="R12" s="34">
        <v>159.32</v>
      </c>
      <c r="S12" s="34">
        <v>161.91</v>
      </c>
      <c r="T12" s="34">
        <v>2470</v>
      </c>
      <c r="U12" s="34">
        <v>1988037</v>
      </c>
      <c r="V12" s="34">
        <v>1988037</v>
      </c>
    </row>
    <row r="13" spans="1:23" ht="14.25">
      <c r="A13" s="63">
        <v>9</v>
      </c>
      <c r="B13" s="43" t="s">
        <v>30</v>
      </c>
      <c r="C13" s="43" t="s">
        <v>31</v>
      </c>
      <c r="D13" s="34">
        <v>41118209.399999999</v>
      </c>
      <c r="E13" s="34">
        <v>0</v>
      </c>
      <c r="F13" s="34">
        <v>3486404.7538000001</v>
      </c>
      <c r="G13" s="34">
        <v>1559297.94</v>
      </c>
      <c r="H13" s="35">
        <f t="shared" si="5"/>
        <v>1927106.8138000001</v>
      </c>
      <c r="I13" s="49">
        <v>54421440.619327635</v>
      </c>
      <c r="J13" s="64">
        <f t="shared" si="6"/>
        <v>1.8398319379825765E-3</v>
      </c>
      <c r="K13" s="38">
        <v>41359487.030000001</v>
      </c>
      <c r="L13" s="64">
        <f t="shared" si="7"/>
        <v>1.4787991374135316E-3</v>
      </c>
      <c r="M13" s="64">
        <f t="shared" si="0"/>
        <v>-0.24001484416215021</v>
      </c>
      <c r="N13" s="39">
        <f t="shared" si="8"/>
        <v>3.7701094766213299E-2</v>
      </c>
      <c r="O13" s="40">
        <f t="shared" si="9"/>
        <v>4.6594069515470002E-2</v>
      </c>
      <c r="P13" s="65">
        <f t="shared" si="10"/>
        <v>152.37949474886602</v>
      </c>
      <c r="Q13" s="65">
        <f t="shared" si="11"/>
        <v>7.09998077106086</v>
      </c>
      <c r="R13" s="34">
        <v>147.32</v>
      </c>
      <c r="S13" s="34">
        <v>152.38999999999999</v>
      </c>
      <c r="T13" s="34">
        <v>7</v>
      </c>
      <c r="U13" s="34">
        <v>253000</v>
      </c>
      <c r="V13" s="34">
        <v>271424.23</v>
      </c>
      <c r="W13" s="6"/>
    </row>
    <row r="14" spans="1:23" ht="14.25">
      <c r="A14" s="63">
        <v>10</v>
      </c>
      <c r="B14" s="44" t="s">
        <v>32</v>
      </c>
      <c r="C14" s="44" t="s">
        <v>33</v>
      </c>
      <c r="D14" s="61">
        <v>484114710.08999997</v>
      </c>
      <c r="E14" s="61">
        <v>1190436.52</v>
      </c>
      <c r="F14" s="61"/>
      <c r="G14" s="61">
        <v>790894.95</v>
      </c>
      <c r="H14" s="35">
        <f t="shared" si="5"/>
        <v>399541.57000000007</v>
      </c>
      <c r="I14" s="50">
        <v>537489624.05999994</v>
      </c>
      <c r="J14" s="64">
        <f t="shared" si="6"/>
        <v>1.8170973892385978E-2</v>
      </c>
      <c r="K14" s="61">
        <v>455902296.52999997</v>
      </c>
      <c r="L14" s="64">
        <f t="shared" si="7"/>
        <v>1.6300683864004201E-2</v>
      </c>
      <c r="M14" s="64">
        <f t="shared" si="0"/>
        <v>-0.15179330702929511</v>
      </c>
      <c r="N14" s="39">
        <f t="shared" si="8"/>
        <v>1.7347904496637172E-3</v>
      </c>
      <c r="O14" s="40">
        <f t="shared" si="9"/>
        <v>8.7637542745676615E-4</v>
      </c>
      <c r="P14" s="65">
        <f t="shared" si="10"/>
        <v>1.492889330944877</v>
      </c>
      <c r="Q14" s="65">
        <f t="shared" si="11"/>
        <v>1.3083315255524623E-3</v>
      </c>
      <c r="R14" s="61">
        <v>1.47</v>
      </c>
      <c r="S14" s="34">
        <v>1.52</v>
      </c>
      <c r="T14" s="34">
        <v>535</v>
      </c>
      <c r="U14" s="61">
        <v>312476239.67000002</v>
      </c>
      <c r="V14" s="61">
        <v>305382513.68000001</v>
      </c>
    </row>
    <row r="15" spans="1:23" ht="14.25">
      <c r="A15" s="63">
        <v>11</v>
      </c>
      <c r="B15" s="43" t="s">
        <v>34</v>
      </c>
      <c r="C15" s="44" t="s">
        <v>35</v>
      </c>
      <c r="D15" s="34">
        <v>1578603874.6600001</v>
      </c>
      <c r="E15" s="35">
        <v>6808264.7999999998</v>
      </c>
      <c r="F15" s="35"/>
      <c r="G15" s="34">
        <v>2488925.9</v>
      </c>
      <c r="H15" s="35">
        <f t="shared" si="5"/>
        <v>4319338.9000000004</v>
      </c>
      <c r="I15" s="49">
        <v>1728334663.5</v>
      </c>
      <c r="J15" s="64">
        <f t="shared" si="6"/>
        <v>5.8430009886587884E-2</v>
      </c>
      <c r="K15" s="38">
        <v>1570923867.46</v>
      </c>
      <c r="L15" s="64">
        <f t="shared" si="7"/>
        <v>5.6168028835975069E-2</v>
      </c>
      <c r="M15" s="64">
        <f t="shared" si="0"/>
        <v>-9.1076571779930601E-2</v>
      </c>
      <c r="N15" s="39">
        <f t="shared" si="8"/>
        <v>1.584370797054794E-3</v>
      </c>
      <c r="O15" s="40">
        <f t="shared" si="9"/>
        <v>2.7495532975661424E-3</v>
      </c>
      <c r="P15" s="65">
        <f t="shared" si="10"/>
        <v>3.2007191772859018</v>
      </c>
      <c r="Q15" s="65">
        <f t="shared" si="11"/>
        <v>8.8005479684896415E-3</v>
      </c>
      <c r="R15" s="61">
        <v>3.17</v>
      </c>
      <c r="S15" s="34">
        <v>3.23</v>
      </c>
      <c r="T15" s="34">
        <v>3668</v>
      </c>
      <c r="U15" s="34">
        <v>491045308</v>
      </c>
      <c r="V15" s="34">
        <v>490803404</v>
      </c>
    </row>
    <row r="16" spans="1:23" ht="14.25">
      <c r="A16" s="63">
        <v>12</v>
      </c>
      <c r="B16" s="43" t="s">
        <v>36</v>
      </c>
      <c r="C16" s="43" t="s">
        <v>37</v>
      </c>
      <c r="D16" s="61">
        <v>609081433.70000005</v>
      </c>
      <c r="E16" s="61">
        <v>3728643.4</v>
      </c>
      <c r="F16" s="61">
        <v>-49444688.369999997</v>
      </c>
      <c r="G16" s="61">
        <v>1023756.55</v>
      </c>
      <c r="H16" s="35">
        <f t="shared" si="5"/>
        <v>-46739801.519999996</v>
      </c>
      <c r="I16" s="52">
        <v>659787039.71000004</v>
      </c>
      <c r="J16" s="64">
        <f t="shared" si="6"/>
        <v>2.230549676949059E-2</v>
      </c>
      <c r="K16" s="68">
        <v>618147562.90999997</v>
      </c>
      <c r="L16" s="64">
        <f t="shared" si="7"/>
        <v>2.2101726797591394E-2</v>
      </c>
      <c r="M16" s="64">
        <f t="shared" si="0"/>
        <v>-6.3110480039592937E-2</v>
      </c>
      <c r="N16" s="39">
        <f t="shared" si="8"/>
        <v>1.6561685452265631E-3</v>
      </c>
      <c r="O16" s="40">
        <f t="shared" si="9"/>
        <v>-7.5612692380387397E-2</v>
      </c>
      <c r="P16" s="65">
        <f t="shared" si="10"/>
        <v>18.839202180758448</v>
      </c>
      <c r="Q16" s="65">
        <f t="shared" si="11"/>
        <v>-1.4244827991856122</v>
      </c>
      <c r="R16" s="61">
        <v>18.64</v>
      </c>
      <c r="S16" s="61">
        <v>18.64</v>
      </c>
      <c r="T16" s="61">
        <v>325</v>
      </c>
      <c r="U16" s="61">
        <v>32866654.41</v>
      </c>
      <c r="V16" s="61">
        <v>32811769.68</v>
      </c>
    </row>
    <row r="17" spans="1:22" ht="14.25">
      <c r="A17" s="63">
        <v>13</v>
      </c>
      <c r="B17" s="42" t="s">
        <v>38</v>
      </c>
      <c r="C17" s="42" t="s">
        <v>39</v>
      </c>
      <c r="D17" s="34">
        <v>326062687.36000001</v>
      </c>
      <c r="E17" s="34">
        <v>2284605.73</v>
      </c>
      <c r="F17" s="34">
        <v>122213622.48999999</v>
      </c>
      <c r="G17" s="34">
        <v>501662.85</v>
      </c>
      <c r="H17" s="35">
        <f t="shared" si="5"/>
        <v>123996565.37</v>
      </c>
      <c r="I17" s="49">
        <v>355791952.63999999</v>
      </c>
      <c r="J17" s="64">
        <f t="shared" si="6"/>
        <v>1.2028299697597084E-2</v>
      </c>
      <c r="K17" s="38">
        <v>336153117.48000002</v>
      </c>
      <c r="L17" s="64">
        <f t="shared" si="7"/>
        <v>1.201907895539713E-2</v>
      </c>
      <c r="M17" s="64">
        <f t="shared" si="0"/>
        <v>-5.5197524885761191E-2</v>
      </c>
      <c r="N17" s="39">
        <f t="shared" si="8"/>
        <v>1.4923641159741653E-3</v>
      </c>
      <c r="O17" s="40">
        <f t="shared" si="9"/>
        <v>0.36886930069115714</v>
      </c>
      <c r="P17" s="65">
        <f t="shared" si="10"/>
        <v>2.4218354230782877</v>
      </c>
      <c r="Q17" s="65">
        <f t="shared" si="11"/>
        <v>0.89334073889996068</v>
      </c>
      <c r="R17" s="34">
        <v>2.39</v>
      </c>
      <c r="S17" s="34">
        <v>2.42</v>
      </c>
      <c r="T17" s="34">
        <v>20</v>
      </c>
      <c r="U17" s="34">
        <v>138796960.78</v>
      </c>
      <c r="V17" s="34">
        <v>138800974.78</v>
      </c>
    </row>
    <row r="18" spans="1:22" ht="14.25">
      <c r="A18" s="63">
        <v>14</v>
      </c>
      <c r="B18" s="43" t="s">
        <v>40</v>
      </c>
      <c r="C18" s="43" t="s">
        <v>41</v>
      </c>
      <c r="D18" s="34">
        <v>1121120095.4100001</v>
      </c>
      <c r="E18" s="34">
        <v>0</v>
      </c>
      <c r="F18" s="34">
        <v>80917670.900000006</v>
      </c>
      <c r="G18" s="34">
        <v>1967082.4</v>
      </c>
      <c r="H18" s="35">
        <f t="shared" si="5"/>
        <v>78950588.5</v>
      </c>
      <c r="I18" s="49">
        <v>1190111314.8399999</v>
      </c>
      <c r="J18" s="64">
        <f t="shared" si="6"/>
        <v>4.0234230881779284E-2</v>
      </c>
      <c r="K18" s="35">
        <v>1121120095.4100001</v>
      </c>
      <c r="L18" s="64">
        <f t="shared" si="7"/>
        <v>4.008539634030573E-2</v>
      </c>
      <c r="M18" s="64">
        <f t="shared" si="0"/>
        <v>-5.7970391987471434E-2</v>
      </c>
      <c r="N18" s="39">
        <f t="shared" si="8"/>
        <v>1.7545688531081288E-3</v>
      </c>
      <c r="O18" s="40">
        <f t="shared" si="9"/>
        <v>7.042116970629031E-2</v>
      </c>
      <c r="P18" s="65">
        <f t="shared" si="10"/>
        <v>25.29553048803615</v>
      </c>
      <c r="Q18" s="65">
        <f t="shared" si="11"/>
        <v>1.7813408453086341</v>
      </c>
      <c r="R18" s="34">
        <v>24.85</v>
      </c>
      <c r="S18" s="34">
        <v>25.42</v>
      </c>
      <c r="T18" s="34">
        <v>8911</v>
      </c>
      <c r="U18" s="34">
        <v>44006106</v>
      </c>
      <c r="V18" s="34">
        <v>44320877</v>
      </c>
    </row>
    <row r="19" spans="1:22" ht="14.25">
      <c r="A19" s="63">
        <v>15</v>
      </c>
      <c r="B19" s="44" t="s">
        <v>42</v>
      </c>
      <c r="C19" s="43" t="s">
        <v>43</v>
      </c>
      <c r="D19" s="61">
        <v>571996392.35000002</v>
      </c>
      <c r="E19" s="61">
        <v>2242219.91</v>
      </c>
      <c r="F19" s="61"/>
      <c r="G19" s="61">
        <v>715680.5</v>
      </c>
      <c r="H19" s="35">
        <f t="shared" si="5"/>
        <v>1526539.4100000001</v>
      </c>
      <c r="I19" s="50">
        <v>691442732.58000004</v>
      </c>
      <c r="J19" s="64">
        <f t="shared" si="6"/>
        <v>2.3375684439982156E-2</v>
      </c>
      <c r="K19" s="61">
        <v>567354513.97000003</v>
      </c>
      <c r="L19" s="64">
        <f t="shared" si="7"/>
        <v>2.0285632780163362E-2</v>
      </c>
      <c r="M19" s="64">
        <f t="shared" si="0"/>
        <v>-0.17946275629651365</v>
      </c>
      <c r="N19" s="39">
        <f t="shared" si="8"/>
        <v>1.2614343983836586E-3</v>
      </c>
      <c r="O19" s="40">
        <f t="shared" si="9"/>
        <v>2.6906270636999265E-3</v>
      </c>
      <c r="P19" s="65">
        <f t="shared" si="10"/>
        <v>5672.2342863564236</v>
      </c>
      <c r="Q19" s="65">
        <f t="shared" si="11"/>
        <v>15.261867082517231</v>
      </c>
      <c r="R19" s="61">
        <v>5630.1</v>
      </c>
      <c r="S19" s="61">
        <v>5701.11</v>
      </c>
      <c r="T19" s="34">
        <v>21</v>
      </c>
      <c r="U19" s="61">
        <v>111786.23</v>
      </c>
      <c r="V19" s="61">
        <v>100023.11</v>
      </c>
    </row>
    <row r="20" spans="1:22" ht="14.25">
      <c r="A20" s="63">
        <v>16</v>
      </c>
      <c r="B20" s="43" t="s">
        <v>44</v>
      </c>
      <c r="C20" s="43" t="s">
        <v>43</v>
      </c>
      <c r="D20" s="61">
        <v>11344556660.120001</v>
      </c>
      <c r="E20" s="34">
        <v>-2409650.04</v>
      </c>
      <c r="F20" s="34"/>
      <c r="G20" s="34">
        <v>33561402.049999997</v>
      </c>
      <c r="H20" s="35">
        <f t="shared" si="5"/>
        <v>-35971052.089999996</v>
      </c>
      <c r="I20" s="50">
        <v>12406372478.74</v>
      </c>
      <c r="J20" s="64">
        <f t="shared" si="6"/>
        <v>0.41942366944228682</v>
      </c>
      <c r="K20" s="61">
        <v>11370603621.42</v>
      </c>
      <c r="L20" s="64">
        <f t="shared" si="7"/>
        <v>0.40655336984790147</v>
      </c>
      <c r="M20" s="64">
        <f t="shared" si="0"/>
        <v>-8.3486841870573369E-2</v>
      </c>
      <c r="N20" s="39">
        <f t="shared" si="8"/>
        <v>2.951593703150188E-3</v>
      </c>
      <c r="O20" s="40">
        <f t="shared" si="9"/>
        <v>-3.1635129750049108E-3</v>
      </c>
      <c r="P20" s="65">
        <f t="shared" si="10"/>
        <v>19005.665696721579</v>
      </c>
      <c r="Q20" s="65">
        <f t="shared" si="11"/>
        <v>-60.124670030184468</v>
      </c>
      <c r="R20" s="61">
        <v>18880.330000000002</v>
      </c>
      <c r="S20" s="61">
        <v>19091.57</v>
      </c>
      <c r="T20" s="61">
        <v>17366</v>
      </c>
      <c r="U20" s="61">
        <v>599845.16</v>
      </c>
      <c r="V20" s="61">
        <v>598274.42000000004</v>
      </c>
    </row>
    <row r="21" spans="1:22" ht="14.25">
      <c r="A21" s="63">
        <v>17</v>
      </c>
      <c r="B21" s="43" t="s">
        <v>46</v>
      </c>
      <c r="C21" s="43" t="s">
        <v>47</v>
      </c>
      <c r="D21" s="61">
        <v>2626108548</v>
      </c>
      <c r="E21" s="61">
        <v>7806970</v>
      </c>
      <c r="F21" s="61"/>
      <c r="G21" s="69">
        <v>5725161</v>
      </c>
      <c r="H21" s="35">
        <f t="shared" si="5"/>
        <v>2081809</v>
      </c>
      <c r="I21" s="53">
        <v>3424423858</v>
      </c>
      <c r="J21" s="64">
        <f t="shared" si="6"/>
        <v>0.11576989347283749</v>
      </c>
      <c r="K21" s="69">
        <v>3355617742</v>
      </c>
      <c r="L21" s="64">
        <f t="shared" si="7"/>
        <v>0.11997935609694002</v>
      </c>
      <c r="M21" s="64">
        <f t="shared" si="0"/>
        <v>-2.0092756870402576E-2</v>
      </c>
      <c r="N21" s="39">
        <f t="shared" si="8"/>
        <v>1.7061421890646328E-3</v>
      </c>
      <c r="O21" s="40">
        <f t="shared" si="9"/>
        <v>6.2039515822776936E-4</v>
      </c>
      <c r="P21" s="65">
        <f t="shared" si="10"/>
        <v>1.6102131363596832</v>
      </c>
      <c r="Q21" s="65">
        <f t="shared" si="11"/>
        <v>9.9896843351229836E-4</v>
      </c>
      <c r="R21" s="61">
        <v>1.61</v>
      </c>
      <c r="S21" s="61">
        <v>1.62</v>
      </c>
      <c r="T21" s="61">
        <v>2876</v>
      </c>
      <c r="U21" s="70">
        <v>2077760743</v>
      </c>
      <c r="V21" s="70">
        <v>2083958742</v>
      </c>
    </row>
    <row r="22" spans="1:22" ht="14.25">
      <c r="A22" s="99" t="s">
        <v>48</v>
      </c>
      <c r="B22" s="99"/>
      <c r="C22" s="99"/>
      <c r="D22" s="99"/>
      <c r="E22" s="99"/>
      <c r="F22" s="99"/>
      <c r="G22" s="99"/>
      <c r="H22" s="99"/>
      <c r="I22" s="71">
        <f>SUM(I5:I21)</f>
        <v>29579571642.289326</v>
      </c>
      <c r="J22" s="98">
        <f>(I22/$I$183)</f>
        <v>1.1187708932097234E-2</v>
      </c>
      <c r="K22" s="72">
        <f>SUM(K5:K21)</f>
        <v>27968292639.349998</v>
      </c>
      <c r="L22" s="98">
        <f>(K22/$K$183)</f>
        <v>9.7582239639039895E-3</v>
      </c>
      <c r="M22" s="64">
        <f t="shared" si="0"/>
        <v>-5.4472695630105532E-2</v>
      </c>
      <c r="N22" s="39"/>
      <c r="O22" s="39"/>
      <c r="P22" s="73"/>
      <c r="Q22" s="73"/>
      <c r="R22" s="74"/>
      <c r="S22" s="74"/>
      <c r="T22" s="74">
        <f>SUM(T5:T21)</f>
        <v>49150</v>
      </c>
      <c r="U22" s="74"/>
      <c r="V22" s="74"/>
    </row>
    <row r="23" spans="1:22" ht="6" customHeight="1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</row>
    <row r="24" spans="1:22">
      <c r="A24" s="102" t="s">
        <v>49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</row>
    <row r="25" spans="1:22" ht="12.95" customHeight="1">
      <c r="A25" s="63">
        <v>18</v>
      </c>
      <c r="B25" s="43" t="s">
        <v>50</v>
      </c>
      <c r="C25" s="43" t="s">
        <v>19</v>
      </c>
      <c r="D25" s="61">
        <v>897133034.08000004</v>
      </c>
      <c r="E25" s="61">
        <v>9189274.9700000007</v>
      </c>
      <c r="F25" s="61"/>
      <c r="G25" s="61">
        <v>1781000.88</v>
      </c>
      <c r="H25" s="35">
        <f t="shared" ref="H25:H54" si="12">(E25+F25)-G25</f>
        <v>7408274.0900000008</v>
      </c>
      <c r="I25" s="54">
        <v>937480161.20000005</v>
      </c>
      <c r="J25" s="64">
        <f t="shared" ref="J25:J54" si="13">(I25/$I$55)</f>
        <v>9.8194582007004759E-4</v>
      </c>
      <c r="K25" s="75">
        <v>880158418.87</v>
      </c>
      <c r="L25" s="64">
        <f t="shared" ref="L25:L54" si="14">(K25/$K$55)</f>
        <v>9.1766789521600608E-4</v>
      </c>
      <c r="M25" s="64">
        <f t="shared" ref="M25:M55" si="15">((K25-I25)/I25)</f>
        <v>-6.114448572077158E-2</v>
      </c>
      <c r="N25" s="39">
        <f t="shared" ref="N25" si="16">(G25/K25)</f>
        <v>2.0235003629080267E-3</v>
      </c>
      <c r="O25" s="40">
        <f t="shared" ref="O25" si="17">H25/K25</f>
        <v>8.4169780475555588E-3</v>
      </c>
      <c r="P25" s="41">
        <f t="shared" ref="P25" si="18">K25/V25</f>
        <v>101.35374079070478</v>
      </c>
      <c r="Q25" s="41">
        <f t="shared" ref="Q25" si="19">H25/V25</f>
        <v>0.8530922112729985</v>
      </c>
      <c r="R25" s="34">
        <v>100</v>
      </c>
      <c r="S25" s="34">
        <v>100</v>
      </c>
      <c r="T25" s="34">
        <v>761</v>
      </c>
      <c r="U25" s="76">
        <v>9257575</v>
      </c>
      <c r="V25" s="61">
        <v>8684025</v>
      </c>
    </row>
    <row r="26" spans="1:22" ht="15" customHeight="1">
      <c r="A26" s="63">
        <v>19</v>
      </c>
      <c r="B26" s="43" t="s">
        <v>51</v>
      </c>
      <c r="C26" s="43" t="s">
        <v>52</v>
      </c>
      <c r="D26" s="34">
        <v>4983594636.3100004</v>
      </c>
      <c r="E26" s="34">
        <v>63100526.950000003</v>
      </c>
      <c r="F26" s="34">
        <v>0</v>
      </c>
      <c r="G26" s="34">
        <v>8021683.5199999996</v>
      </c>
      <c r="H26" s="35">
        <f t="shared" si="12"/>
        <v>55078843.430000007</v>
      </c>
      <c r="I26" s="48">
        <v>4814912317.2600002</v>
      </c>
      <c r="J26" s="64">
        <f t="shared" si="13"/>
        <v>5.0432886151801845E-3</v>
      </c>
      <c r="K26" s="34">
        <v>5167311079.2299995</v>
      </c>
      <c r="L26" s="64">
        <f t="shared" si="14"/>
        <v>5.3875249958879514E-3</v>
      </c>
      <c r="M26" s="64">
        <f t="shared" si="15"/>
        <v>7.3189029986435394E-2</v>
      </c>
      <c r="N26" s="39">
        <f t="shared" ref="N26:N54" si="20">(G26/K26)</f>
        <v>1.5523902851994234E-3</v>
      </c>
      <c r="O26" s="40">
        <f t="shared" ref="O26:O54" si="21">H26/K26</f>
        <v>1.0659091853670151E-2</v>
      </c>
      <c r="P26" s="41">
        <f t="shared" ref="P26:P54" si="22">K26/V26</f>
        <v>102.2746006127862</v>
      </c>
      <c r="Q26" s="41">
        <f t="shared" ref="Q26:Q54" si="23">H26/V26</f>
        <v>1.0901543622291177</v>
      </c>
      <c r="R26" s="34">
        <v>100</v>
      </c>
      <c r="S26" s="34">
        <v>100</v>
      </c>
      <c r="T26" s="34">
        <v>1341</v>
      </c>
      <c r="U26" s="34">
        <v>47568886.329999998</v>
      </c>
      <c r="V26" s="34">
        <v>50523893.990000002</v>
      </c>
    </row>
    <row r="27" spans="1:22" ht="14.25">
      <c r="A27" s="63">
        <v>20</v>
      </c>
      <c r="B27" s="43" t="s">
        <v>53</v>
      </c>
      <c r="C27" s="43" t="s">
        <v>21</v>
      </c>
      <c r="D27" s="34">
        <v>312572629.77999997</v>
      </c>
      <c r="E27" s="34">
        <v>4808743.17</v>
      </c>
      <c r="F27" s="34"/>
      <c r="G27" s="34">
        <v>477806.9</v>
      </c>
      <c r="H27" s="35">
        <f t="shared" si="12"/>
        <v>4330936.2699999996</v>
      </c>
      <c r="I27" s="48">
        <v>346250667.81</v>
      </c>
      <c r="J27" s="64">
        <f t="shared" si="13"/>
        <v>3.6267369702766154E-4</v>
      </c>
      <c r="K27" s="34">
        <v>312117248.98000002</v>
      </c>
      <c r="L27" s="64">
        <f t="shared" si="14"/>
        <v>3.2541866644848983E-4</v>
      </c>
      <c r="M27" s="64">
        <f t="shared" si="15"/>
        <v>-9.8580080858443858E-2</v>
      </c>
      <c r="N27" s="39">
        <f t="shared" si="20"/>
        <v>1.5308570787467665E-3</v>
      </c>
      <c r="O27" s="40">
        <f t="shared" si="21"/>
        <v>1.3875991423586843E-2</v>
      </c>
      <c r="P27" s="41">
        <f t="shared" si="22"/>
        <v>82.350907957896524</v>
      </c>
      <c r="Q27" s="41">
        <f t="shared" si="23"/>
        <v>1.1427004925483617</v>
      </c>
      <c r="R27" s="34">
        <v>100</v>
      </c>
      <c r="S27" s="34">
        <v>100</v>
      </c>
      <c r="T27" s="34">
        <v>955</v>
      </c>
      <c r="U27" s="34">
        <v>4154392</v>
      </c>
      <c r="V27" s="34">
        <v>3790088.74</v>
      </c>
    </row>
    <row r="28" spans="1:22" ht="14.25">
      <c r="A28" s="63">
        <v>21</v>
      </c>
      <c r="B28" s="43" t="s">
        <v>54</v>
      </c>
      <c r="C28" s="44" t="s">
        <v>55</v>
      </c>
      <c r="D28" s="61">
        <v>33492270538.27</v>
      </c>
      <c r="E28" s="61">
        <v>797729550.47000003</v>
      </c>
      <c r="F28" s="61"/>
      <c r="G28" s="61">
        <v>140005650.80000001</v>
      </c>
      <c r="H28" s="35">
        <f t="shared" si="12"/>
        <v>657723899.67000008</v>
      </c>
      <c r="I28" s="50">
        <v>85230035790</v>
      </c>
      <c r="J28" s="64">
        <f t="shared" si="13"/>
        <v>8.9272585012661984E-2</v>
      </c>
      <c r="K28" s="61">
        <v>84735228810</v>
      </c>
      <c r="L28" s="64">
        <f t="shared" si="14"/>
        <v>8.8346367432979592E-2</v>
      </c>
      <c r="M28" s="64">
        <f t="shared" si="15"/>
        <v>-5.8055470165372788E-3</v>
      </c>
      <c r="N28" s="39">
        <f t="shared" si="20"/>
        <v>1.6522720569260715E-3</v>
      </c>
      <c r="O28" s="40">
        <f t="shared" si="21"/>
        <v>7.7621068463130062E-3</v>
      </c>
      <c r="P28" s="41">
        <f t="shared" si="22"/>
        <v>1</v>
      </c>
      <c r="Q28" s="41">
        <f t="shared" si="23"/>
        <v>7.7621068463130062E-3</v>
      </c>
      <c r="R28" s="34">
        <v>1</v>
      </c>
      <c r="S28" s="34">
        <v>1</v>
      </c>
      <c r="T28" s="34">
        <v>56286</v>
      </c>
      <c r="U28" s="61">
        <v>85230035790</v>
      </c>
      <c r="V28" s="61">
        <v>84735228810</v>
      </c>
    </row>
    <row r="29" spans="1:22" ht="15" customHeight="1">
      <c r="A29" s="63">
        <v>22</v>
      </c>
      <c r="B29" s="43" t="s">
        <v>56</v>
      </c>
      <c r="C29" s="43" t="s">
        <v>25</v>
      </c>
      <c r="D29" s="34">
        <v>19286937838.900002</v>
      </c>
      <c r="E29" s="34">
        <v>501333564.02999997</v>
      </c>
      <c r="F29" s="34"/>
      <c r="G29" s="34">
        <v>62267239.75</v>
      </c>
      <c r="H29" s="35">
        <f t="shared" si="12"/>
        <v>439066324.27999997</v>
      </c>
      <c r="I29" s="50">
        <v>49163751544.550003</v>
      </c>
      <c r="J29" s="64">
        <f t="shared" si="13"/>
        <v>5.149563940247915E-2</v>
      </c>
      <c r="K29" s="61">
        <v>48315372574.879997</v>
      </c>
      <c r="L29" s="64">
        <f t="shared" si="14"/>
        <v>5.0374415908320647E-2</v>
      </c>
      <c r="M29" s="64">
        <f t="shared" si="15"/>
        <v>-1.7256188614923791E-2</v>
      </c>
      <c r="N29" s="39">
        <f t="shared" si="20"/>
        <v>1.2887666270915569E-3</v>
      </c>
      <c r="O29" s="40">
        <f t="shared" si="21"/>
        <v>9.0875077823218148E-3</v>
      </c>
      <c r="P29" s="41">
        <f t="shared" si="22"/>
        <v>1.0185706463490818</v>
      </c>
      <c r="Q29" s="41">
        <f t="shared" si="23"/>
        <v>9.256268675541841E-3</v>
      </c>
      <c r="R29" s="34">
        <v>1</v>
      </c>
      <c r="S29" s="34">
        <v>1</v>
      </c>
      <c r="T29" s="34">
        <v>26853</v>
      </c>
      <c r="U29" s="34">
        <v>48703708615.650002</v>
      </c>
      <c r="V29" s="34">
        <v>47434483556.010002</v>
      </c>
    </row>
    <row r="30" spans="1:22" ht="14.25">
      <c r="A30" s="63">
        <v>23</v>
      </c>
      <c r="B30" s="44" t="s">
        <v>57</v>
      </c>
      <c r="C30" s="44" t="s">
        <v>41</v>
      </c>
      <c r="D30" s="34">
        <v>8676857467.2800007</v>
      </c>
      <c r="E30" s="34">
        <v>81732461.859999999</v>
      </c>
      <c r="F30" s="34"/>
      <c r="G30" s="34">
        <v>11598496.470000001</v>
      </c>
      <c r="H30" s="35">
        <f t="shared" si="12"/>
        <v>70133965.390000001</v>
      </c>
      <c r="I30" s="48">
        <v>7657097450.3699999</v>
      </c>
      <c r="J30" s="64">
        <f t="shared" si="13"/>
        <v>8.0202815445561022E-3</v>
      </c>
      <c r="K30" s="34">
        <v>8519476534.2299995</v>
      </c>
      <c r="L30" s="64">
        <f t="shared" si="14"/>
        <v>8.8825487910986281E-3</v>
      </c>
      <c r="M30" s="64">
        <f t="shared" si="15"/>
        <v>0.11262480195002984</v>
      </c>
      <c r="N30" s="39">
        <f t="shared" si="20"/>
        <v>1.3614095212773876E-3</v>
      </c>
      <c r="O30" s="40">
        <f t="shared" si="21"/>
        <v>8.2321918615788272E-3</v>
      </c>
      <c r="P30" s="41">
        <f t="shared" si="22"/>
        <v>100.00135382486236</v>
      </c>
      <c r="Q30" s="41">
        <f t="shared" si="23"/>
        <v>0.82323033110389676</v>
      </c>
      <c r="R30" s="34">
        <v>100</v>
      </c>
      <c r="S30" s="34">
        <v>100</v>
      </c>
      <c r="T30" s="34">
        <v>2910</v>
      </c>
      <c r="U30" s="61">
        <v>76453882.700000003</v>
      </c>
      <c r="V30" s="34">
        <v>85193611.969999999</v>
      </c>
    </row>
    <row r="31" spans="1:22" ht="14.25">
      <c r="A31" s="63">
        <v>24</v>
      </c>
      <c r="B31" s="36" t="s">
        <v>241</v>
      </c>
      <c r="C31" s="37" t="s">
        <v>237</v>
      </c>
      <c r="D31" s="34">
        <v>138069480.71000001</v>
      </c>
      <c r="E31" s="34">
        <v>3024694.32</v>
      </c>
      <c r="F31" s="34"/>
      <c r="G31" s="34">
        <v>141204.59</v>
      </c>
      <c r="H31" s="35">
        <f t="shared" si="12"/>
        <v>2883489.73</v>
      </c>
      <c r="I31" s="48">
        <v>132984556.76000001</v>
      </c>
      <c r="J31" s="64">
        <f t="shared" si="13"/>
        <v>1.3929215256907348E-4</v>
      </c>
      <c r="K31" s="34">
        <v>137928276.12</v>
      </c>
      <c r="L31" s="64">
        <f t="shared" si="14"/>
        <v>1.4380632863833043E-4</v>
      </c>
      <c r="M31" s="64">
        <f t="shared" si="15"/>
        <v>3.7175138831511335E-2</v>
      </c>
      <c r="N31" s="39">
        <f t="shared" si="20"/>
        <v>1.0237537506605937E-3</v>
      </c>
      <c r="O31" s="40">
        <f t="shared" si="21"/>
        <v>2.0905718617778662E-2</v>
      </c>
      <c r="P31" s="41">
        <f t="shared" si="22"/>
        <v>1.0244131078566718</v>
      </c>
      <c r="Q31" s="41">
        <f t="shared" si="23"/>
        <v>2.1416092181215724E-2</v>
      </c>
      <c r="R31" s="34">
        <v>1</v>
      </c>
      <c r="S31" s="34">
        <v>1</v>
      </c>
      <c r="T31" s="34">
        <v>21</v>
      </c>
      <c r="U31" s="61">
        <v>134651264.41</v>
      </c>
      <c r="V31" s="34">
        <v>134641264.41</v>
      </c>
    </row>
    <row r="32" spans="1:22" ht="14.25">
      <c r="A32" s="63">
        <v>25</v>
      </c>
      <c r="B32" s="43" t="s">
        <v>231</v>
      </c>
      <c r="C32" s="43" t="s">
        <v>58</v>
      </c>
      <c r="D32" s="61">
        <v>15130165759.860001</v>
      </c>
      <c r="E32" s="34">
        <v>165662329.63999999</v>
      </c>
      <c r="F32" s="34"/>
      <c r="G32" s="34">
        <v>23096148.609999999</v>
      </c>
      <c r="H32" s="35">
        <f t="shared" si="12"/>
        <v>142566181.02999997</v>
      </c>
      <c r="I32" s="48">
        <v>14451456946.67</v>
      </c>
      <c r="J32" s="64">
        <f t="shared" si="13"/>
        <v>1.513690457677587E-2</v>
      </c>
      <c r="K32" s="34">
        <v>15059029741.52</v>
      </c>
      <c r="L32" s="64">
        <f t="shared" si="14"/>
        <v>1.5700796391447117E-2</v>
      </c>
      <c r="M32" s="64">
        <f t="shared" si="15"/>
        <v>4.2042321206236667E-2</v>
      </c>
      <c r="N32" s="39">
        <f t="shared" si="20"/>
        <v>1.5337076163891529E-3</v>
      </c>
      <c r="O32" s="40">
        <f t="shared" si="21"/>
        <v>9.4671558179424842E-3</v>
      </c>
      <c r="P32" s="41">
        <f t="shared" si="22"/>
        <v>99.999999996812562</v>
      </c>
      <c r="Q32" s="41">
        <f t="shared" si="23"/>
        <v>0.94671558176407233</v>
      </c>
      <c r="R32" s="34">
        <v>100</v>
      </c>
      <c r="S32" s="34">
        <v>100</v>
      </c>
      <c r="T32" s="34">
        <v>2007</v>
      </c>
      <c r="U32" s="34">
        <v>144514569.47</v>
      </c>
      <c r="V32" s="34">
        <v>150590297.41999999</v>
      </c>
    </row>
    <row r="33" spans="1:22" ht="14.25">
      <c r="A33" s="63">
        <v>26</v>
      </c>
      <c r="B33" s="43" t="s">
        <v>59</v>
      </c>
      <c r="C33" s="43" t="s">
        <v>60</v>
      </c>
      <c r="D33" s="34">
        <v>2746997950.5300002</v>
      </c>
      <c r="E33" s="61">
        <v>57970583.380000003</v>
      </c>
      <c r="F33" s="61"/>
      <c r="G33" s="34">
        <v>7302690.5700000003</v>
      </c>
      <c r="H33" s="35">
        <f t="shared" si="12"/>
        <v>50667892.810000002</v>
      </c>
      <c r="I33" s="50">
        <v>6138812026.0500002</v>
      </c>
      <c r="J33" s="64">
        <f t="shared" si="13"/>
        <v>6.4299822637948513E-3</v>
      </c>
      <c r="K33" s="61">
        <v>5621670100</v>
      </c>
      <c r="L33" s="64">
        <f t="shared" si="14"/>
        <v>5.8612473137380928E-3</v>
      </c>
      <c r="M33" s="64">
        <f t="shared" si="15"/>
        <v>-8.4241368501839206E-2</v>
      </c>
      <c r="N33" s="39">
        <f t="shared" si="20"/>
        <v>1.2990251010994048E-3</v>
      </c>
      <c r="O33" s="40">
        <f t="shared" si="21"/>
        <v>9.0129609010674606E-3</v>
      </c>
      <c r="P33" s="41">
        <f t="shared" si="22"/>
        <v>100</v>
      </c>
      <c r="Q33" s="41">
        <f t="shared" si="23"/>
        <v>0.90129609010674605</v>
      </c>
      <c r="R33" s="34">
        <v>100</v>
      </c>
      <c r="S33" s="34">
        <v>100</v>
      </c>
      <c r="T33" s="34">
        <v>5817</v>
      </c>
      <c r="U33" s="34">
        <v>61628208</v>
      </c>
      <c r="V33" s="34">
        <v>56216701</v>
      </c>
    </row>
    <row r="34" spans="1:22" ht="14.25">
      <c r="A34" s="63">
        <v>27</v>
      </c>
      <c r="B34" s="43" t="s">
        <v>61</v>
      </c>
      <c r="C34" s="44" t="s">
        <v>62</v>
      </c>
      <c r="D34" s="34">
        <v>39263942.280000001</v>
      </c>
      <c r="E34" s="34">
        <v>275433.01</v>
      </c>
      <c r="F34" s="34">
        <v>0</v>
      </c>
      <c r="G34" s="34">
        <v>41437.480000000003</v>
      </c>
      <c r="H34" s="35">
        <v>233995.53</v>
      </c>
      <c r="I34" s="55">
        <v>39203248.560000002</v>
      </c>
      <c r="J34" s="64">
        <f t="shared" si="13"/>
        <v>4.1062699404096054E-5</v>
      </c>
      <c r="K34" s="34">
        <v>39203248.560000002</v>
      </c>
      <c r="L34" s="64">
        <f t="shared" si="14"/>
        <v>4.0873962937118416E-5</v>
      </c>
      <c r="M34" s="64">
        <f t="shared" si="15"/>
        <v>0</v>
      </c>
      <c r="N34" s="39">
        <f t="shared" si="20"/>
        <v>1.056990977076314E-3</v>
      </c>
      <c r="O34" s="40">
        <f t="shared" si="21"/>
        <v>5.9687790832403404E-3</v>
      </c>
      <c r="P34" s="41">
        <f t="shared" si="22"/>
        <v>101.87107246798604</v>
      </c>
      <c r="Q34" s="41">
        <f t="shared" si="23"/>
        <v>0.608045926534176</v>
      </c>
      <c r="R34" s="34">
        <v>10</v>
      </c>
      <c r="S34" s="34">
        <v>10</v>
      </c>
      <c r="T34" s="34">
        <v>86</v>
      </c>
      <c r="U34" s="34">
        <v>384832</v>
      </c>
      <c r="V34" s="34">
        <v>384832</v>
      </c>
    </row>
    <row r="35" spans="1:22" ht="14.25">
      <c r="A35" s="63">
        <v>28</v>
      </c>
      <c r="B35" s="43" t="s">
        <v>63</v>
      </c>
      <c r="C35" s="43" t="s">
        <v>64</v>
      </c>
      <c r="D35" s="66">
        <v>5191948555.04</v>
      </c>
      <c r="E35" s="66">
        <v>52488658.009999998</v>
      </c>
      <c r="F35" s="66"/>
      <c r="G35" s="61">
        <v>6464379.6100000003</v>
      </c>
      <c r="H35" s="35">
        <f t="shared" si="12"/>
        <v>46024278.399999999</v>
      </c>
      <c r="I35" s="51">
        <v>5517574035.0500002</v>
      </c>
      <c r="J35" s="64">
        <f t="shared" si="13"/>
        <v>5.7792783088969476E-3</v>
      </c>
      <c r="K35" s="67">
        <v>5405766641.1400003</v>
      </c>
      <c r="L35" s="64">
        <f t="shared" si="14"/>
        <v>5.6361427548153025E-3</v>
      </c>
      <c r="M35" s="64">
        <f t="shared" si="15"/>
        <v>-2.0263868359491191E-2</v>
      </c>
      <c r="N35" s="39">
        <f t="shared" si="20"/>
        <v>1.1958303121713655E-3</v>
      </c>
      <c r="O35" s="40">
        <f t="shared" si="21"/>
        <v>8.5139225303839834E-3</v>
      </c>
      <c r="P35" s="41">
        <f t="shared" si="22"/>
        <v>1.0124259971354332</v>
      </c>
      <c r="Q35" s="41">
        <f t="shared" si="23"/>
        <v>8.6197165073578341E-3</v>
      </c>
      <c r="R35" s="34">
        <v>1</v>
      </c>
      <c r="S35" s="34">
        <v>1</v>
      </c>
      <c r="T35" s="61">
        <v>2144</v>
      </c>
      <c r="U35" s="61">
        <v>5496916346.0699997</v>
      </c>
      <c r="V35" s="61">
        <v>5339419035.5</v>
      </c>
    </row>
    <row r="36" spans="1:22" ht="14.25">
      <c r="A36" s="63">
        <v>29</v>
      </c>
      <c r="B36" s="43" t="s">
        <v>65</v>
      </c>
      <c r="C36" s="43" t="s">
        <v>66</v>
      </c>
      <c r="D36" s="34">
        <v>6807521626.6000004</v>
      </c>
      <c r="E36" s="34">
        <v>135193608.19999999</v>
      </c>
      <c r="F36" s="34"/>
      <c r="G36" s="34">
        <v>20323089.359999999</v>
      </c>
      <c r="H36" s="35">
        <f t="shared" si="12"/>
        <v>114870518.83999999</v>
      </c>
      <c r="I36" s="50">
        <v>14267369318.219999</v>
      </c>
      <c r="J36" s="64">
        <f t="shared" si="13"/>
        <v>1.4944085480687794E-2</v>
      </c>
      <c r="K36" s="61">
        <v>13486481151.9</v>
      </c>
      <c r="L36" s="64">
        <f t="shared" si="14"/>
        <v>1.4061230918433526E-2</v>
      </c>
      <c r="M36" s="64">
        <f t="shared" si="15"/>
        <v>-5.4732456201492898E-2</v>
      </c>
      <c r="N36" s="39">
        <f t="shared" si="20"/>
        <v>1.506923053619279E-3</v>
      </c>
      <c r="O36" s="40">
        <f t="shared" si="21"/>
        <v>8.5174566698457757E-3</v>
      </c>
      <c r="P36" s="41">
        <f t="shared" si="22"/>
        <v>100.0000003848298</v>
      </c>
      <c r="Q36" s="41">
        <f t="shared" si="23"/>
        <v>0.85174567026234882</v>
      </c>
      <c r="R36" s="34">
        <v>100</v>
      </c>
      <c r="S36" s="34">
        <v>100</v>
      </c>
      <c r="T36" s="34">
        <v>5414</v>
      </c>
      <c r="U36" s="34">
        <v>142673693</v>
      </c>
      <c r="V36" s="34">
        <v>134864811</v>
      </c>
    </row>
    <row r="37" spans="1:22" ht="14.25">
      <c r="A37" s="63">
        <v>30</v>
      </c>
      <c r="B37" s="43" t="s">
        <v>67</v>
      </c>
      <c r="C37" s="43" t="s">
        <v>66</v>
      </c>
      <c r="D37" s="34">
        <v>559243408.76999998</v>
      </c>
      <c r="E37" s="34">
        <v>10973402.48</v>
      </c>
      <c r="F37" s="34"/>
      <c r="G37" s="34">
        <v>1120257.81</v>
      </c>
      <c r="H37" s="35">
        <f t="shared" si="12"/>
        <v>9853144.6699999999</v>
      </c>
      <c r="I37" s="48">
        <v>1228300804.27</v>
      </c>
      <c r="J37" s="64">
        <f t="shared" si="13"/>
        <v>1.2865603886462319E-3</v>
      </c>
      <c r="K37" s="34">
        <v>1157002104.75</v>
      </c>
      <c r="L37" s="64">
        <f t="shared" si="14"/>
        <v>1.206309754543451E-3</v>
      </c>
      <c r="M37" s="64">
        <f t="shared" si="15"/>
        <v>-5.8046611442523648E-2</v>
      </c>
      <c r="N37" s="39">
        <f t="shared" si="20"/>
        <v>9.6824180820488702E-4</v>
      </c>
      <c r="O37" s="40">
        <f t="shared" si="21"/>
        <v>8.5160991752292661E-3</v>
      </c>
      <c r="P37" s="41">
        <f t="shared" si="22"/>
        <v>1000001.8191443388</v>
      </c>
      <c r="Q37" s="41">
        <f t="shared" si="23"/>
        <v>8516.1146672428695</v>
      </c>
      <c r="R37" s="34">
        <v>1000000</v>
      </c>
      <c r="S37" s="34">
        <v>1000000</v>
      </c>
      <c r="T37" s="34">
        <v>20</v>
      </c>
      <c r="U37" s="34">
        <v>1229</v>
      </c>
      <c r="V37" s="34">
        <v>1157</v>
      </c>
    </row>
    <row r="38" spans="1:22" ht="14.25">
      <c r="A38" s="63">
        <v>31</v>
      </c>
      <c r="B38" s="44" t="s">
        <v>68</v>
      </c>
      <c r="C38" s="44" t="s">
        <v>69</v>
      </c>
      <c r="D38" s="61">
        <v>3249514200.5100002</v>
      </c>
      <c r="E38" s="61">
        <v>45492648.789999999</v>
      </c>
      <c r="F38" s="61"/>
      <c r="G38" s="66">
        <v>5822496.9199999999</v>
      </c>
      <c r="H38" s="35">
        <f t="shared" si="12"/>
        <v>39670151.869999997</v>
      </c>
      <c r="I38" s="56">
        <v>3839168121.5500002</v>
      </c>
      <c r="J38" s="64">
        <f t="shared" si="13"/>
        <v>4.0212638576550596E-3</v>
      </c>
      <c r="K38" s="66">
        <v>3158793689</v>
      </c>
      <c r="L38" s="64">
        <f t="shared" si="14"/>
        <v>3.2934111562868285E-3</v>
      </c>
      <c r="M38" s="64">
        <f t="shared" si="15"/>
        <v>-0.17721923370089621</v>
      </c>
      <c r="N38" s="39">
        <f t="shared" si="20"/>
        <v>1.8432659721576391E-3</v>
      </c>
      <c r="O38" s="40">
        <f t="shared" si="21"/>
        <v>1.2558639713680901E-2</v>
      </c>
      <c r="P38" s="41">
        <f t="shared" si="22"/>
        <v>1.0178128037334977</v>
      </c>
      <c r="Q38" s="41">
        <f t="shared" si="23"/>
        <v>1.2782344298060409E-2</v>
      </c>
      <c r="R38" s="34">
        <v>1</v>
      </c>
      <c r="S38" s="34">
        <v>1</v>
      </c>
      <c r="T38" s="61">
        <v>452</v>
      </c>
      <c r="U38" s="61">
        <v>3681123520.9400001</v>
      </c>
      <c r="V38" s="61">
        <v>3103511448.6799998</v>
      </c>
    </row>
    <row r="39" spans="1:22" ht="14.25">
      <c r="A39" s="63">
        <v>32</v>
      </c>
      <c r="B39" s="43" t="s">
        <v>70</v>
      </c>
      <c r="C39" s="43" t="s">
        <v>71</v>
      </c>
      <c r="D39" s="66">
        <v>205756983.50999999</v>
      </c>
      <c r="E39" s="66">
        <v>2518401.84</v>
      </c>
      <c r="F39" s="66"/>
      <c r="G39" s="66">
        <v>631779.94999999995</v>
      </c>
      <c r="H39" s="35">
        <f t="shared" si="12"/>
        <v>1886621.89</v>
      </c>
      <c r="I39" s="51">
        <v>292507416.14999998</v>
      </c>
      <c r="J39" s="64">
        <f t="shared" si="13"/>
        <v>3.0638134705733376E-4</v>
      </c>
      <c r="K39" s="67">
        <v>297332405.60000002</v>
      </c>
      <c r="L39" s="64">
        <f t="shared" si="14"/>
        <v>3.1000374134552739E-4</v>
      </c>
      <c r="M39" s="64">
        <f t="shared" si="15"/>
        <v>1.6495272200297846E-2</v>
      </c>
      <c r="N39" s="39">
        <f t="shared" si="20"/>
        <v>2.1248270894829095E-3</v>
      </c>
      <c r="O39" s="40">
        <f t="shared" si="21"/>
        <v>6.3451606836897019E-3</v>
      </c>
      <c r="P39" s="41">
        <f t="shared" si="22"/>
        <v>1.0551071351616721</v>
      </c>
      <c r="Q39" s="41">
        <f t="shared" si="23"/>
        <v>6.6948243111083182E-3</v>
      </c>
      <c r="R39" s="34">
        <v>1</v>
      </c>
      <c r="S39" s="34">
        <v>1</v>
      </c>
      <c r="T39" s="61">
        <v>454</v>
      </c>
      <c r="U39" s="61">
        <v>283216697</v>
      </c>
      <c r="V39" s="61">
        <v>281803047</v>
      </c>
    </row>
    <row r="40" spans="1:22" ht="14.25">
      <c r="A40" s="63">
        <v>33</v>
      </c>
      <c r="B40" s="43" t="s">
        <v>72</v>
      </c>
      <c r="C40" s="43" t="s">
        <v>73</v>
      </c>
      <c r="D40" s="61">
        <v>214430906697.16</v>
      </c>
      <c r="E40" s="61">
        <v>3824674094.2399998</v>
      </c>
      <c r="F40" s="61"/>
      <c r="G40" s="61">
        <v>277413962.36000001</v>
      </c>
      <c r="H40" s="35">
        <f t="shared" si="12"/>
        <v>3547260131.8799996</v>
      </c>
      <c r="I40" s="50">
        <v>210835668938.45001</v>
      </c>
      <c r="J40" s="64">
        <f t="shared" si="13"/>
        <v>0.22083582395042939</v>
      </c>
      <c r="K40" s="61">
        <v>209576904180.39001</v>
      </c>
      <c r="L40" s="64">
        <f t="shared" si="14"/>
        <v>0.218508387151508</v>
      </c>
      <c r="M40" s="64">
        <f t="shared" si="15"/>
        <v>-5.9703595904707805E-3</v>
      </c>
      <c r="N40" s="39">
        <f t="shared" si="20"/>
        <v>1.323685753661197E-3</v>
      </c>
      <c r="O40" s="40">
        <f t="shared" si="21"/>
        <v>1.6925816066195688E-2</v>
      </c>
      <c r="P40" s="41">
        <f t="shared" si="22"/>
        <v>100.03652320129109</v>
      </c>
      <c r="Q40" s="41">
        <f t="shared" si="23"/>
        <v>1.6931997916067705</v>
      </c>
      <c r="R40" s="34">
        <v>100</v>
      </c>
      <c r="S40" s="34">
        <v>100</v>
      </c>
      <c r="T40" s="61">
        <v>26232</v>
      </c>
      <c r="U40" s="61">
        <v>2107699777.5899999</v>
      </c>
      <c r="V40" s="61">
        <v>2095003879.3199999</v>
      </c>
    </row>
    <row r="41" spans="1:22" ht="15" customHeight="1">
      <c r="A41" s="63">
        <v>34</v>
      </c>
      <c r="B41" s="43" t="s">
        <v>74</v>
      </c>
      <c r="C41" s="43" t="s">
        <v>75</v>
      </c>
      <c r="D41" s="34">
        <v>688510747.89999998</v>
      </c>
      <c r="E41" s="34">
        <v>7267607.5</v>
      </c>
      <c r="F41" s="34"/>
      <c r="G41" s="34">
        <v>1662982.69</v>
      </c>
      <c r="H41" s="35">
        <f t="shared" si="12"/>
        <v>5604624.8100000005</v>
      </c>
      <c r="I41" s="48">
        <v>686660827.90999997</v>
      </c>
      <c r="J41" s="64">
        <f t="shared" si="13"/>
        <v>7.1922986499147552E-4</v>
      </c>
      <c r="K41" s="34">
        <v>686252255.61000001</v>
      </c>
      <c r="L41" s="64">
        <f t="shared" si="14"/>
        <v>7.1549808476680616E-4</v>
      </c>
      <c r="M41" s="64">
        <f t="shared" si="15"/>
        <v>-5.9501326330719932E-4</v>
      </c>
      <c r="N41" s="39">
        <f t="shared" si="20"/>
        <v>2.4232819293567172E-3</v>
      </c>
      <c r="O41" s="40">
        <f t="shared" si="21"/>
        <v>8.1670038446986642E-3</v>
      </c>
      <c r="P41" s="41">
        <f t="shared" si="22"/>
        <v>9.9269100557640986</v>
      </c>
      <c r="Q41" s="41">
        <f t="shared" si="23"/>
        <v>8.1073112591403221E-2</v>
      </c>
      <c r="R41" s="34">
        <v>10</v>
      </c>
      <c r="S41" s="34">
        <v>10</v>
      </c>
      <c r="T41" s="34">
        <v>356</v>
      </c>
      <c r="U41" s="34">
        <v>70210240</v>
      </c>
      <c r="V41" s="34">
        <v>69130500</v>
      </c>
    </row>
    <row r="42" spans="1:22" ht="14.25">
      <c r="A42" s="63">
        <v>35</v>
      </c>
      <c r="B42" s="43" t="s">
        <v>76</v>
      </c>
      <c r="C42" s="43" t="s">
        <v>77</v>
      </c>
      <c r="D42" s="34">
        <v>1472327185.1500001</v>
      </c>
      <c r="E42" s="34">
        <v>1818969463.6900001</v>
      </c>
      <c r="F42" s="34"/>
      <c r="G42" s="34">
        <v>5511698.9500000002</v>
      </c>
      <c r="H42" s="35">
        <f t="shared" si="12"/>
        <v>1813457764.74</v>
      </c>
      <c r="I42" s="48">
        <v>3133880581.23</v>
      </c>
      <c r="J42" s="64">
        <f t="shared" si="13"/>
        <v>3.2825237959152771E-3</v>
      </c>
      <c r="K42" s="34">
        <v>3258842720.9400001</v>
      </c>
      <c r="L42" s="64">
        <f t="shared" si="14"/>
        <v>3.397723951109211E-3</v>
      </c>
      <c r="M42" s="64">
        <f t="shared" si="15"/>
        <v>3.98745697134874E-2</v>
      </c>
      <c r="N42" s="39">
        <f t="shared" si="20"/>
        <v>1.6913056020114322E-3</v>
      </c>
      <c r="O42" s="40">
        <f t="shared" si="21"/>
        <v>0.55647293227361261</v>
      </c>
      <c r="P42" s="41">
        <f t="shared" si="22"/>
        <v>109.59390086782309</v>
      </c>
      <c r="Q42" s="41">
        <f t="shared" si="23"/>
        <v>60.986039375221132</v>
      </c>
      <c r="R42" s="34">
        <v>100</v>
      </c>
      <c r="S42" s="34">
        <v>100</v>
      </c>
      <c r="T42" s="34">
        <v>1351</v>
      </c>
      <c r="U42" s="61">
        <v>27692542.190000001</v>
      </c>
      <c r="V42" s="61">
        <v>29735621.190000001</v>
      </c>
    </row>
    <row r="43" spans="1:22" ht="14.25">
      <c r="A43" s="63">
        <v>36</v>
      </c>
      <c r="B43" s="44" t="s">
        <v>78</v>
      </c>
      <c r="C43" s="44" t="s">
        <v>33</v>
      </c>
      <c r="D43" s="61">
        <v>20561728637.610001</v>
      </c>
      <c r="E43" s="61">
        <v>207420200.22999999</v>
      </c>
      <c r="F43" s="61"/>
      <c r="G43" s="61">
        <v>25211304.789999999</v>
      </c>
      <c r="H43" s="35">
        <f t="shared" si="12"/>
        <v>182208895.44</v>
      </c>
      <c r="I43" s="50">
        <v>21771958693.459999</v>
      </c>
      <c r="J43" s="64">
        <f t="shared" si="13"/>
        <v>2.2804625333527305E-2</v>
      </c>
      <c r="K43" s="61">
        <v>20493319982.950001</v>
      </c>
      <c r="L43" s="64">
        <f t="shared" si="14"/>
        <v>2.1366678329210544E-2</v>
      </c>
      <c r="M43" s="64">
        <f t="shared" si="15"/>
        <v>-5.8728694487836047E-2</v>
      </c>
      <c r="N43" s="39">
        <f t="shared" si="20"/>
        <v>1.2302206187662741E-3</v>
      </c>
      <c r="O43" s="40">
        <f t="shared" si="21"/>
        <v>8.8911360185462314E-3</v>
      </c>
      <c r="P43" s="41">
        <f t="shared" si="22"/>
        <v>99.999999999756014</v>
      </c>
      <c r="Q43" s="41">
        <f t="shared" si="23"/>
        <v>0.88911360185245392</v>
      </c>
      <c r="R43" s="34">
        <v>100</v>
      </c>
      <c r="S43" s="34">
        <v>100</v>
      </c>
      <c r="T43" s="34">
        <v>11484</v>
      </c>
      <c r="U43" s="61">
        <v>217719586.93000001</v>
      </c>
      <c r="V43" s="61">
        <v>204933199.83000001</v>
      </c>
    </row>
    <row r="44" spans="1:22" ht="14.25">
      <c r="A44" s="63">
        <v>37</v>
      </c>
      <c r="B44" s="43" t="s">
        <v>79</v>
      </c>
      <c r="C44" s="43" t="s">
        <v>35</v>
      </c>
      <c r="D44" s="34">
        <v>3427359786.6399999</v>
      </c>
      <c r="E44" s="34">
        <v>31407354.739999998</v>
      </c>
      <c r="F44" s="34"/>
      <c r="G44" s="34">
        <v>3816894.8</v>
      </c>
      <c r="H44" s="35">
        <f t="shared" si="12"/>
        <v>27590459.939999998</v>
      </c>
      <c r="I44" s="48">
        <v>3364817084.98</v>
      </c>
      <c r="J44" s="64">
        <f t="shared" si="13"/>
        <v>3.5244138581739123E-3</v>
      </c>
      <c r="K44" s="34">
        <v>3411967548.3200002</v>
      </c>
      <c r="L44" s="64">
        <f t="shared" si="14"/>
        <v>3.557374458375305E-3</v>
      </c>
      <c r="M44" s="64">
        <f t="shared" si="15"/>
        <v>1.4012786475220957E-2</v>
      </c>
      <c r="N44" s="39">
        <f t="shared" si="20"/>
        <v>1.1186785178772815E-3</v>
      </c>
      <c r="O44" s="40">
        <f t="shared" si="21"/>
        <v>8.0863781818748866E-3</v>
      </c>
      <c r="P44" s="41">
        <f t="shared" si="22"/>
        <v>0.97544638840926023</v>
      </c>
      <c r="Q44" s="41">
        <f t="shared" si="23"/>
        <v>7.8878283928212993E-3</v>
      </c>
      <c r="R44" s="34">
        <v>1</v>
      </c>
      <c r="S44" s="34">
        <v>1</v>
      </c>
      <c r="T44" s="34">
        <v>844</v>
      </c>
      <c r="U44" s="34">
        <v>3450067528</v>
      </c>
      <c r="V44" s="34">
        <v>3497852459</v>
      </c>
    </row>
    <row r="45" spans="1:22" ht="14.25">
      <c r="A45" s="63">
        <v>38</v>
      </c>
      <c r="B45" s="43" t="s">
        <v>80</v>
      </c>
      <c r="C45" s="43" t="s">
        <v>37</v>
      </c>
      <c r="D45" s="34">
        <v>3821246713.9699998</v>
      </c>
      <c r="E45" s="34">
        <v>39334992.560000002</v>
      </c>
      <c r="F45" s="34"/>
      <c r="G45" s="34">
        <v>5731335.21</v>
      </c>
      <c r="H45" s="35">
        <f t="shared" si="12"/>
        <v>33603657.350000001</v>
      </c>
      <c r="I45" s="50">
        <v>4167425824.54</v>
      </c>
      <c r="J45" s="64">
        <f t="shared" si="13"/>
        <v>4.3650911648316004E-3</v>
      </c>
      <c r="K45" s="61">
        <v>3818776449.3099999</v>
      </c>
      <c r="L45" s="64">
        <f t="shared" si="14"/>
        <v>3.981520225686052E-3</v>
      </c>
      <c r="M45" s="64">
        <f t="shared" si="15"/>
        <v>-8.3660607269112924E-2</v>
      </c>
      <c r="N45" s="39">
        <f t="shared" si="20"/>
        <v>1.5008302491850689E-3</v>
      </c>
      <c r="O45" s="40">
        <f t="shared" si="21"/>
        <v>8.7995874584572021E-3</v>
      </c>
      <c r="P45" s="41">
        <f t="shared" si="22"/>
        <v>10.154257992506492</v>
      </c>
      <c r="Q45" s="41">
        <f t="shared" si="23"/>
        <v>8.9353281280798946E-2</v>
      </c>
      <c r="R45" s="34">
        <v>10</v>
      </c>
      <c r="S45" s="34">
        <v>10</v>
      </c>
      <c r="T45" s="34">
        <v>1891</v>
      </c>
      <c r="U45" s="34">
        <v>404260985.93000001</v>
      </c>
      <c r="V45" s="34">
        <v>376076366.39999998</v>
      </c>
    </row>
    <row r="46" spans="1:22" ht="14.1" customHeight="1">
      <c r="A46" s="63">
        <v>39</v>
      </c>
      <c r="B46" s="43" t="s">
        <v>81</v>
      </c>
      <c r="C46" s="43" t="s">
        <v>82</v>
      </c>
      <c r="D46" s="34">
        <v>2508877929</v>
      </c>
      <c r="E46" s="34">
        <v>45008405</v>
      </c>
      <c r="F46" s="34"/>
      <c r="G46" s="34">
        <v>5799148</v>
      </c>
      <c r="H46" s="35">
        <f t="shared" si="12"/>
        <v>39209257</v>
      </c>
      <c r="I46" s="57">
        <v>4197880331</v>
      </c>
      <c r="J46" s="64">
        <f t="shared" si="13"/>
        <v>4.3969901602006487E-3</v>
      </c>
      <c r="K46" s="77">
        <v>4197880331</v>
      </c>
      <c r="L46" s="64">
        <f t="shared" si="14"/>
        <v>4.3767802762861747E-3</v>
      </c>
      <c r="M46" s="64">
        <f t="shared" si="15"/>
        <v>0</v>
      </c>
      <c r="N46" s="39">
        <f t="shared" si="20"/>
        <v>1.3814467166143713E-3</v>
      </c>
      <c r="O46" s="40">
        <f t="shared" si="21"/>
        <v>9.3402512478624536E-3</v>
      </c>
      <c r="P46" s="41">
        <f t="shared" si="22"/>
        <v>100.00000073846793</v>
      </c>
      <c r="Q46" s="41">
        <f t="shared" si="23"/>
        <v>0.93402513168372148</v>
      </c>
      <c r="R46" s="34">
        <v>100</v>
      </c>
      <c r="S46" s="34">
        <v>100</v>
      </c>
      <c r="T46" s="34">
        <v>1948</v>
      </c>
      <c r="U46" s="61">
        <v>47531803</v>
      </c>
      <c r="V46" s="61">
        <v>41978803</v>
      </c>
    </row>
    <row r="47" spans="1:22" ht="14.25">
      <c r="A47" s="63">
        <v>40</v>
      </c>
      <c r="B47" s="43" t="s">
        <v>83</v>
      </c>
      <c r="C47" s="44" t="s">
        <v>84</v>
      </c>
      <c r="D47" s="34">
        <v>143296422.88999999</v>
      </c>
      <c r="E47" s="34">
        <v>2267955.92</v>
      </c>
      <c r="F47" s="34"/>
      <c r="G47" s="34">
        <v>133283.87</v>
      </c>
      <c r="H47" s="35">
        <f t="shared" si="12"/>
        <v>2134672.0499999998</v>
      </c>
      <c r="I47" s="50">
        <v>158378518.53999999</v>
      </c>
      <c r="J47" s="64">
        <f t="shared" si="13"/>
        <v>1.6589057636181957E-4</v>
      </c>
      <c r="K47" s="61">
        <v>158181175.78</v>
      </c>
      <c r="L47" s="64">
        <f t="shared" si="14"/>
        <v>1.6492234071587694E-4</v>
      </c>
      <c r="M47" s="64">
        <f t="shared" si="15"/>
        <v>-1.2460197368884321E-3</v>
      </c>
      <c r="N47" s="39">
        <f t="shared" si="20"/>
        <v>8.4260260010566971E-4</v>
      </c>
      <c r="O47" s="40">
        <f t="shared" si="21"/>
        <v>1.3495107995460368E-2</v>
      </c>
      <c r="P47" s="41">
        <f t="shared" si="22"/>
        <v>0.85723851979430488</v>
      </c>
      <c r="Q47" s="41">
        <f t="shared" si="23"/>
        <v>1.1568526402492733E-2</v>
      </c>
      <c r="R47" s="34">
        <v>1</v>
      </c>
      <c r="S47" s="34">
        <v>1</v>
      </c>
      <c r="T47" s="34">
        <v>61</v>
      </c>
      <c r="U47" s="34">
        <v>189996408</v>
      </c>
      <c r="V47" s="61">
        <v>184524111</v>
      </c>
    </row>
    <row r="48" spans="1:22" ht="15" customHeight="1">
      <c r="A48" s="63">
        <v>41</v>
      </c>
      <c r="B48" s="44" t="s">
        <v>85</v>
      </c>
      <c r="C48" s="44" t="s">
        <v>39</v>
      </c>
      <c r="D48" s="34">
        <v>6967757.5300000003</v>
      </c>
      <c r="E48" s="34">
        <v>22773283.43</v>
      </c>
      <c r="F48" s="34">
        <v>0</v>
      </c>
      <c r="G48" s="34">
        <v>829213.29</v>
      </c>
      <c r="H48" s="35">
        <f t="shared" si="12"/>
        <v>21944070.140000001</v>
      </c>
      <c r="I48" s="48">
        <v>781925045.34000003</v>
      </c>
      <c r="J48" s="64">
        <f t="shared" si="13"/>
        <v>8.190125633132123E-4</v>
      </c>
      <c r="K48" s="34">
        <v>689349265.5</v>
      </c>
      <c r="L48" s="64">
        <f t="shared" si="14"/>
        <v>7.1872707910042646E-4</v>
      </c>
      <c r="M48" s="64">
        <f t="shared" si="15"/>
        <v>-0.11839469830480469</v>
      </c>
      <c r="N48" s="39">
        <f t="shared" si="20"/>
        <v>1.2028928316889604E-3</v>
      </c>
      <c r="O48" s="40">
        <f t="shared" si="21"/>
        <v>3.1833021718074207E-2</v>
      </c>
      <c r="P48" s="41">
        <f t="shared" si="22"/>
        <v>10.340787762936184</v>
      </c>
      <c r="Q48" s="41">
        <f t="shared" si="23"/>
        <v>0.32917852143954351</v>
      </c>
      <c r="R48" s="34">
        <v>10</v>
      </c>
      <c r="S48" s="34">
        <v>10</v>
      </c>
      <c r="T48" s="34">
        <v>653</v>
      </c>
      <c r="U48" s="34">
        <v>72545918.700000003</v>
      </c>
      <c r="V48" s="34">
        <v>66663128.700000003</v>
      </c>
    </row>
    <row r="49" spans="1:22" ht="14.25">
      <c r="A49" s="63">
        <v>42</v>
      </c>
      <c r="B49" s="43" t="s">
        <v>86</v>
      </c>
      <c r="C49" s="43" t="s">
        <v>43</v>
      </c>
      <c r="D49" s="61">
        <v>439429260888.83002</v>
      </c>
      <c r="E49" s="61">
        <v>4729796151.0500002</v>
      </c>
      <c r="F49" s="61"/>
      <c r="G49" s="61">
        <v>678136466.12</v>
      </c>
      <c r="H49" s="35">
        <f t="shared" si="12"/>
        <v>4051659684.9300003</v>
      </c>
      <c r="I49" s="50">
        <v>428206864396.21997</v>
      </c>
      <c r="J49" s="64">
        <f t="shared" si="13"/>
        <v>0.44851716123885682</v>
      </c>
      <c r="K49" s="61">
        <v>440608527495.21002</v>
      </c>
      <c r="L49" s="64">
        <f t="shared" si="14"/>
        <v>0.45938582347466395</v>
      </c>
      <c r="M49" s="64">
        <f t="shared" si="15"/>
        <v>2.8961850288123332E-2</v>
      </c>
      <c r="N49" s="39">
        <f t="shared" si="20"/>
        <v>1.5390906525915393E-3</v>
      </c>
      <c r="O49" s="40">
        <f t="shared" si="21"/>
        <v>9.1955997945910098E-3</v>
      </c>
      <c r="P49" s="41">
        <f t="shared" si="22"/>
        <v>1</v>
      </c>
      <c r="Q49" s="41">
        <f t="shared" si="23"/>
        <v>9.1955997945910098E-3</v>
      </c>
      <c r="R49" s="34">
        <v>100</v>
      </c>
      <c r="S49" s="34">
        <v>100</v>
      </c>
      <c r="T49" s="61">
        <v>115232</v>
      </c>
      <c r="U49" s="61">
        <v>428206864398.81</v>
      </c>
      <c r="V49" s="61">
        <v>440608527495.21002</v>
      </c>
    </row>
    <row r="50" spans="1:22" ht="14.25">
      <c r="A50" s="63">
        <v>43</v>
      </c>
      <c r="B50" s="43" t="s">
        <v>87</v>
      </c>
      <c r="C50" s="43" t="s">
        <v>88</v>
      </c>
      <c r="D50" s="61">
        <v>2956672344.8499999</v>
      </c>
      <c r="E50" s="61">
        <v>38507201.060000002</v>
      </c>
      <c r="F50" s="61"/>
      <c r="G50" s="61">
        <v>4103372.18</v>
      </c>
      <c r="H50" s="35">
        <f t="shared" si="12"/>
        <v>34403828.880000003</v>
      </c>
      <c r="I50" s="48">
        <v>3038921735.6900001</v>
      </c>
      <c r="J50" s="64">
        <f t="shared" si="13"/>
        <v>3.1830609535898192E-3</v>
      </c>
      <c r="K50" s="34">
        <v>2923805354.1700001</v>
      </c>
      <c r="L50" s="64">
        <f t="shared" si="14"/>
        <v>3.0484083863302411E-3</v>
      </c>
      <c r="M50" s="64">
        <f t="shared" si="15"/>
        <v>-3.7880666740455662E-2</v>
      </c>
      <c r="N50" s="39">
        <f t="shared" si="20"/>
        <v>1.4034354831957859E-3</v>
      </c>
      <c r="O50" s="40">
        <f t="shared" si="21"/>
        <v>1.1766798645105582E-2</v>
      </c>
      <c r="P50" s="41">
        <f t="shared" si="22"/>
        <v>1.008074876852276</v>
      </c>
      <c r="Q50" s="41">
        <f t="shared" si="23"/>
        <v>1.1861814095110338E-2</v>
      </c>
      <c r="R50" s="34">
        <v>1</v>
      </c>
      <c r="S50" s="34">
        <v>1</v>
      </c>
      <c r="T50" s="61">
        <v>326</v>
      </c>
      <c r="U50" s="70">
        <v>3018017489</v>
      </c>
      <c r="V50" s="61">
        <v>2900385101.6500001</v>
      </c>
    </row>
    <row r="51" spans="1:22" ht="14.25">
      <c r="A51" s="63">
        <v>44</v>
      </c>
      <c r="B51" s="43" t="s">
        <v>89</v>
      </c>
      <c r="C51" s="43" t="s">
        <v>47</v>
      </c>
      <c r="D51" s="61">
        <v>26782129701</v>
      </c>
      <c r="E51" s="61">
        <v>470290312</v>
      </c>
      <c r="F51" s="61"/>
      <c r="G51" s="61">
        <v>57978083</v>
      </c>
      <c r="H51" s="35">
        <f t="shared" si="12"/>
        <v>412312229</v>
      </c>
      <c r="I51" s="58">
        <v>47475899484</v>
      </c>
      <c r="J51" s="64">
        <f t="shared" si="13"/>
        <v>4.9727730763610242E-2</v>
      </c>
      <c r="K51" s="70">
        <v>44928028502</v>
      </c>
      <c r="L51" s="64">
        <f t="shared" si="14"/>
        <v>4.6842714297464019E-2</v>
      </c>
      <c r="M51" s="64">
        <f t="shared" si="15"/>
        <v>-5.3666618425179412E-2</v>
      </c>
      <c r="N51" s="39">
        <f t="shared" si="20"/>
        <v>1.2904657723278258E-3</v>
      </c>
      <c r="O51" s="40">
        <f t="shared" si="21"/>
        <v>9.1771716397848549E-3</v>
      </c>
      <c r="P51" s="41">
        <f t="shared" si="22"/>
        <v>1.0361734398370106</v>
      </c>
      <c r="Q51" s="41">
        <f t="shared" si="23"/>
        <v>9.5091415059705316E-3</v>
      </c>
      <c r="R51" s="34">
        <v>1</v>
      </c>
      <c r="S51" s="34">
        <v>1</v>
      </c>
      <c r="T51" s="61">
        <v>5264</v>
      </c>
      <c r="U51" s="70">
        <v>46998790706.68</v>
      </c>
      <c r="V51" s="70">
        <v>43359563925</v>
      </c>
    </row>
    <row r="52" spans="1:22" ht="14.25">
      <c r="A52" s="63">
        <v>45</v>
      </c>
      <c r="B52" s="45" t="s">
        <v>90</v>
      </c>
      <c r="C52" s="43" t="s">
        <v>91</v>
      </c>
      <c r="D52" s="67">
        <v>1060555738.26</v>
      </c>
      <c r="E52" s="67">
        <v>12368542.18</v>
      </c>
      <c r="F52" s="67"/>
      <c r="G52" s="67">
        <v>1857987.42</v>
      </c>
      <c r="H52" s="35">
        <f t="shared" si="12"/>
        <v>10510554.76</v>
      </c>
      <c r="I52" s="50">
        <v>1474762906.75</v>
      </c>
      <c r="J52" s="64">
        <f t="shared" si="13"/>
        <v>1.5447124449266862E-3</v>
      </c>
      <c r="K52" s="61">
        <v>1364522103.04</v>
      </c>
      <c r="L52" s="64">
        <f t="shared" si="14"/>
        <v>1.4226735771954056E-3</v>
      </c>
      <c r="M52" s="64">
        <f t="shared" si="15"/>
        <v>-7.475154359078813E-2</v>
      </c>
      <c r="N52" s="39">
        <f t="shared" si="20"/>
        <v>1.3616396655360989E-3</v>
      </c>
      <c r="O52" s="40">
        <f t="shared" si="21"/>
        <v>7.7027369044324603E-3</v>
      </c>
      <c r="P52" s="41">
        <f t="shared" si="22"/>
        <v>1.0157673056534495</v>
      </c>
      <c r="Q52" s="41">
        <f t="shared" si="23"/>
        <v>7.824188311572753E-3</v>
      </c>
      <c r="R52" s="34">
        <v>1</v>
      </c>
      <c r="S52" s="34">
        <v>1</v>
      </c>
      <c r="T52" s="61">
        <v>73</v>
      </c>
      <c r="U52" s="61">
        <v>1463987089.5599999</v>
      </c>
      <c r="V52" s="61">
        <v>1343341231.25</v>
      </c>
    </row>
    <row r="53" spans="1:22" ht="14.25">
      <c r="A53" s="63">
        <v>46</v>
      </c>
      <c r="B53" s="43" t="s">
        <v>92</v>
      </c>
      <c r="C53" s="43" t="s">
        <v>93</v>
      </c>
      <c r="D53" s="61">
        <v>1005936810.39</v>
      </c>
      <c r="E53" s="61">
        <v>10060261.539999999</v>
      </c>
      <c r="F53" s="61"/>
      <c r="G53" s="61">
        <v>1649495.87</v>
      </c>
      <c r="H53" s="35">
        <f t="shared" si="12"/>
        <v>8410765.6699999981</v>
      </c>
      <c r="I53" s="50">
        <v>1100130986.1199999</v>
      </c>
      <c r="J53" s="64">
        <f t="shared" si="13"/>
        <v>1.1523113427459625E-3</v>
      </c>
      <c r="K53" s="61">
        <v>1011681282.4299999</v>
      </c>
      <c r="L53" s="64">
        <f t="shared" si="14"/>
        <v>1.0547958335374297E-3</v>
      </c>
      <c r="M53" s="64">
        <f t="shared" si="15"/>
        <v>-8.039924773135336E-2</v>
      </c>
      <c r="N53" s="39">
        <f t="shared" si="20"/>
        <v>1.6304501216410829E-3</v>
      </c>
      <c r="O53" s="40">
        <f t="shared" si="21"/>
        <v>8.3136515581249317E-3</v>
      </c>
      <c r="P53" s="41">
        <f t="shared" si="22"/>
        <v>1.0162248386526076</v>
      </c>
      <c r="Q53" s="41">
        <f t="shared" si="23"/>
        <v>8.4485392132695094E-3</v>
      </c>
      <c r="R53" s="34">
        <v>1</v>
      </c>
      <c r="S53" s="34">
        <v>1</v>
      </c>
      <c r="T53" s="34">
        <v>209</v>
      </c>
      <c r="U53" s="61">
        <v>1091791385.55</v>
      </c>
      <c r="V53" s="61">
        <v>995528985.26999998</v>
      </c>
    </row>
    <row r="54" spans="1:22" ht="14.25">
      <c r="A54" s="63">
        <v>47</v>
      </c>
      <c r="B54" s="43" t="s">
        <v>94</v>
      </c>
      <c r="C54" s="43" t="s">
        <v>95</v>
      </c>
      <c r="D54" s="34">
        <v>29527579655.689999</v>
      </c>
      <c r="E54" s="67">
        <v>301200848.88999999</v>
      </c>
      <c r="F54" s="67"/>
      <c r="G54" s="67">
        <v>34236266.359999999</v>
      </c>
      <c r="H54" s="35">
        <f t="shared" si="12"/>
        <v>266964582.52999997</v>
      </c>
      <c r="I54" s="51">
        <v>30264710148.43</v>
      </c>
      <c r="J54" s="64">
        <f t="shared" si="13"/>
        <v>3.1700196821063557E-2</v>
      </c>
      <c r="K54" s="67">
        <v>29704306041.990002</v>
      </c>
      <c r="L54" s="64">
        <f t="shared" si="14"/>
        <v>3.0970206521913853E-2</v>
      </c>
      <c r="M54" s="64">
        <f t="shared" si="15"/>
        <v>-1.8516751149822919E-2</v>
      </c>
      <c r="N54" s="39">
        <f t="shared" si="20"/>
        <v>1.1525691363266867E-3</v>
      </c>
      <c r="O54" s="40">
        <f t="shared" si="21"/>
        <v>8.9874034475883359E-3</v>
      </c>
      <c r="P54" s="41">
        <f t="shared" si="22"/>
        <v>1.0177390674869073</v>
      </c>
      <c r="Q54" s="41">
        <f t="shared" si="23"/>
        <v>9.1468316038771699E-3</v>
      </c>
      <c r="R54" s="34">
        <v>1</v>
      </c>
      <c r="S54" s="34">
        <v>1</v>
      </c>
      <c r="T54" s="34">
        <v>3249</v>
      </c>
      <c r="U54" s="67">
        <v>29998081124.189999</v>
      </c>
      <c r="V54" s="67">
        <v>29186563620.220001</v>
      </c>
    </row>
    <row r="55" spans="1:22" ht="15" customHeight="1">
      <c r="A55" s="99" t="s">
        <v>48</v>
      </c>
      <c r="B55" s="99"/>
      <c r="C55" s="99"/>
      <c r="D55" s="99"/>
      <c r="E55" s="99"/>
      <c r="F55" s="99"/>
      <c r="G55" s="99"/>
      <c r="H55" s="99"/>
      <c r="I55" s="46">
        <f>SUM(I25:I54)</f>
        <v>954716789907.12988</v>
      </c>
      <c r="J55" s="98">
        <f>(I55/$I$183)</f>
        <v>0.36109696540691777</v>
      </c>
      <c r="K55" s="74">
        <f>SUM(K25:K54)</f>
        <v>959125216713.42017</v>
      </c>
      <c r="L55" s="98">
        <f>(K55/$K$183)</f>
        <v>0.33464176003898616</v>
      </c>
      <c r="M55" s="64">
        <f t="shared" si="15"/>
        <v>4.6175230737474648E-3</v>
      </c>
      <c r="N55" s="39"/>
      <c r="O55" s="39"/>
      <c r="P55" s="78"/>
      <c r="Q55" s="78"/>
      <c r="R55" s="74"/>
      <c r="S55" s="74"/>
      <c r="T55" s="74">
        <f>SUM(T25:T54)</f>
        <v>274694</v>
      </c>
      <c r="U55" s="74"/>
      <c r="V55" s="74"/>
    </row>
    <row r="56" spans="1:22" ht="6.95" customHeight="1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</row>
    <row r="57" spans="1:22">
      <c r="A57" s="102" t="s">
        <v>96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</row>
    <row r="58" spans="1:22" ht="14.25">
      <c r="A58" s="63">
        <v>48</v>
      </c>
      <c r="B58" s="43" t="s">
        <v>97</v>
      </c>
      <c r="C58" s="43" t="s">
        <v>21</v>
      </c>
      <c r="D58" s="34">
        <v>438554818.93000001</v>
      </c>
      <c r="E58" s="34">
        <v>5263850.45</v>
      </c>
      <c r="F58" s="34"/>
      <c r="G58" s="34">
        <v>623114.18999999994</v>
      </c>
      <c r="H58" s="35">
        <f t="shared" ref="H58:H89" si="24">(E58+F58)-G58</f>
        <v>4640736.26</v>
      </c>
      <c r="I58" s="48">
        <v>470468082.32999998</v>
      </c>
      <c r="J58" s="64">
        <f t="shared" ref="J58:J89" si="25">(I58/$I$90)</f>
        <v>1.5826570916783805E-3</v>
      </c>
      <c r="K58" s="34">
        <v>439283039.64999998</v>
      </c>
      <c r="L58" s="64">
        <f t="shared" ref="L58:L89" si="26">(K58/$K$90)</f>
        <v>1.5128287663242308E-3</v>
      </c>
      <c r="M58" s="64">
        <f t="shared" ref="M58:M90" si="27">((K58-I58)/I58)</f>
        <v>-6.6285139951589564E-2</v>
      </c>
      <c r="N58" s="39">
        <f t="shared" ref="N58" si="28">(G58/K58)</f>
        <v>1.4184799633886799E-3</v>
      </c>
      <c r="O58" s="40">
        <f t="shared" ref="O58" si="29">H58/K58</f>
        <v>1.056434198711045E-2</v>
      </c>
      <c r="P58" s="41">
        <f t="shared" ref="P58" si="30">K58/V58</f>
        <v>1.2046788727547815</v>
      </c>
      <c r="Q58" s="41">
        <f t="shared" ref="Q58" si="31">H58/V58</f>
        <v>1.2726639596428226E-2</v>
      </c>
      <c r="R58" s="34">
        <v>1.19</v>
      </c>
      <c r="S58" s="34">
        <v>1.19</v>
      </c>
      <c r="T58" s="61">
        <v>304</v>
      </c>
      <c r="U58" s="34">
        <v>369110140.75</v>
      </c>
      <c r="V58" s="34">
        <v>364647417.31999999</v>
      </c>
    </row>
    <row r="59" spans="1:22" ht="12.95" customHeight="1">
      <c r="A59" s="63">
        <v>49</v>
      </c>
      <c r="B59" s="43" t="s">
        <v>210</v>
      </c>
      <c r="C59" s="44" t="s">
        <v>23</v>
      </c>
      <c r="D59" s="34">
        <v>1248322820.95</v>
      </c>
      <c r="E59" s="34">
        <v>20139231.530000001</v>
      </c>
      <c r="F59" s="34"/>
      <c r="G59" s="34">
        <v>2313437.7599999998</v>
      </c>
      <c r="H59" s="35">
        <f t="shared" si="24"/>
        <v>17825793.770000003</v>
      </c>
      <c r="I59" s="48">
        <v>1359663823</v>
      </c>
      <c r="J59" s="64">
        <f t="shared" si="25"/>
        <v>4.5739162178914747E-3</v>
      </c>
      <c r="K59" s="34">
        <v>1371204407</v>
      </c>
      <c r="L59" s="64">
        <f t="shared" si="26"/>
        <v>4.7222343778010201E-3</v>
      </c>
      <c r="M59" s="64">
        <f t="shared" si="27"/>
        <v>8.4878216253018602E-3</v>
      </c>
      <c r="N59" s="39">
        <f t="shared" ref="N59:N89" si="32">(G59/K59)</f>
        <v>1.6871574713368026E-3</v>
      </c>
      <c r="O59" s="40">
        <f t="shared" ref="O59:O89" si="33">H59/K59</f>
        <v>1.3000099532206363E-2</v>
      </c>
      <c r="P59" s="41">
        <f t="shared" ref="P59:P89" si="34">K59/V59</f>
        <v>1.1007716990103853</v>
      </c>
      <c r="Q59" s="41">
        <f t="shared" ref="Q59:Q89" si="35">H59/V59</f>
        <v>1.4310141649370913E-2</v>
      </c>
      <c r="R59" s="34">
        <v>1.1008</v>
      </c>
      <c r="S59" s="34">
        <v>1.1008</v>
      </c>
      <c r="T59" s="34">
        <v>587</v>
      </c>
      <c r="U59" s="61">
        <v>1238047817</v>
      </c>
      <c r="V59" s="61">
        <v>1245675564</v>
      </c>
    </row>
    <row r="60" spans="1:22" ht="15" customHeight="1">
      <c r="A60" s="63">
        <v>50</v>
      </c>
      <c r="B60" s="43" t="s">
        <v>98</v>
      </c>
      <c r="C60" s="43" t="s">
        <v>99</v>
      </c>
      <c r="D60" s="34">
        <v>916294739.52999997</v>
      </c>
      <c r="E60" s="34">
        <v>9088705.5299999993</v>
      </c>
      <c r="F60" s="34"/>
      <c r="G60" s="34">
        <v>1892223.24</v>
      </c>
      <c r="H60" s="35">
        <f t="shared" si="24"/>
        <v>7196482.2899999991</v>
      </c>
      <c r="I60" s="48">
        <v>982994209</v>
      </c>
      <c r="J60" s="64">
        <f t="shared" si="25"/>
        <v>3.3067976646742785E-3</v>
      </c>
      <c r="K60" s="34">
        <v>1018572421</v>
      </c>
      <c r="L60" s="64">
        <f t="shared" si="26"/>
        <v>3.5078196060131343E-3</v>
      </c>
      <c r="M60" s="64">
        <f t="shared" si="27"/>
        <v>3.6193714748527069E-2</v>
      </c>
      <c r="N60" s="39">
        <f t="shared" si="32"/>
        <v>1.8577208659765981E-3</v>
      </c>
      <c r="O60" s="40">
        <f t="shared" si="33"/>
        <v>7.0652632465099891E-3</v>
      </c>
      <c r="P60" s="41">
        <f t="shared" si="34"/>
        <v>1.0175604561088394</v>
      </c>
      <c r="Q60" s="41">
        <f t="shared" si="35"/>
        <v>7.1893324916477231E-3</v>
      </c>
      <c r="R60" s="34">
        <v>1.0176000000000001</v>
      </c>
      <c r="S60" s="34">
        <v>1.0176000000000001</v>
      </c>
      <c r="T60" s="34">
        <v>149</v>
      </c>
      <c r="U60" s="34">
        <v>972947004</v>
      </c>
      <c r="V60" s="34">
        <v>1000994501</v>
      </c>
    </row>
    <row r="61" spans="1:22" ht="14.25">
      <c r="A61" s="63">
        <v>51</v>
      </c>
      <c r="B61" s="43" t="s">
        <v>100</v>
      </c>
      <c r="C61" s="44" t="s">
        <v>101</v>
      </c>
      <c r="D61" s="67">
        <v>237819985.75999999</v>
      </c>
      <c r="E61" s="67">
        <v>9562733.6300000008</v>
      </c>
      <c r="F61" s="67"/>
      <c r="G61" s="67">
        <v>403282.9</v>
      </c>
      <c r="H61" s="35">
        <f t="shared" si="24"/>
        <v>9159450.7300000004</v>
      </c>
      <c r="I61" s="51">
        <v>272121766.12</v>
      </c>
      <c r="J61" s="64">
        <f t="shared" si="25"/>
        <v>9.1541904568092551E-4</v>
      </c>
      <c r="K61" s="67">
        <v>264196011.08000001</v>
      </c>
      <c r="L61" s="64">
        <f t="shared" si="26"/>
        <v>9.0985376041011754E-4</v>
      </c>
      <c r="M61" s="64">
        <f t="shared" si="27"/>
        <v>-2.9125766575044568E-2</v>
      </c>
      <c r="N61" s="39">
        <f t="shared" si="32"/>
        <v>1.5264534023486211E-3</v>
      </c>
      <c r="O61" s="40">
        <f t="shared" si="33"/>
        <v>3.4669148457455203E-2</v>
      </c>
      <c r="P61" s="41">
        <f t="shared" si="34"/>
        <v>1123.2346034607372</v>
      </c>
      <c r="Q61" s="41">
        <f t="shared" si="35"/>
        <v>38.941587219931129</v>
      </c>
      <c r="R61" s="34">
        <v>1123.23</v>
      </c>
      <c r="S61" s="34">
        <v>1123.23</v>
      </c>
      <c r="T61" s="34">
        <v>113</v>
      </c>
      <c r="U61" s="34">
        <v>235230</v>
      </c>
      <c r="V61" s="34">
        <v>235210</v>
      </c>
    </row>
    <row r="62" spans="1:22" ht="14.25">
      <c r="A62" s="63">
        <v>52</v>
      </c>
      <c r="B62" s="43" t="s">
        <v>102</v>
      </c>
      <c r="C62" s="44" t="s">
        <v>103</v>
      </c>
      <c r="D62" s="34">
        <v>1622183694.95</v>
      </c>
      <c r="E62" s="34">
        <v>12008331.82</v>
      </c>
      <c r="F62" s="34"/>
      <c r="G62" s="34">
        <v>2142232.27</v>
      </c>
      <c r="H62" s="35">
        <f t="shared" si="24"/>
        <v>9866099.5500000007</v>
      </c>
      <c r="I62" s="48">
        <v>1607193828.1400001</v>
      </c>
      <c r="J62" s="64">
        <f t="shared" si="25"/>
        <v>5.4066084509072285E-3</v>
      </c>
      <c r="K62" s="34">
        <v>1646980940</v>
      </c>
      <c r="L62" s="64">
        <f t="shared" si="26"/>
        <v>5.6719698206534712E-3</v>
      </c>
      <c r="M62" s="64">
        <f t="shared" si="27"/>
        <v>2.4755640025102253E-2</v>
      </c>
      <c r="N62" s="39">
        <f t="shared" si="32"/>
        <v>1.3007025266485476E-3</v>
      </c>
      <c r="O62" s="40">
        <f t="shared" si="33"/>
        <v>5.9904151349802507E-3</v>
      </c>
      <c r="P62" s="41">
        <f t="shared" si="34"/>
        <v>1.0308504281411146</v>
      </c>
      <c r="Q62" s="41">
        <f t="shared" si="35"/>
        <v>6.1752220066374043E-3</v>
      </c>
      <c r="R62" s="35">
        <v>1.0316000000000001</v>
      </c>
      <c r="S62" s="61">
        <v>1.0316000000000001</v>
      </c>
      <c r="T62" s="34">
        <v>827</v>
      </c>
      <c r="U62" s="34">
        <v>1570377548.0999999</v>
      </c>
      <c r="V62" s="34">
        <v>1597691473.99</v>
      </c>
    </row>
    <row r="63" spans="1:22" ht="14.25">
      <c r="A63" s="63">
        <v>53</v>
      </c>
      <c r="B63" s="43" t="s">
        <v>104</v>
      </c>
      <c r="C63" s="43" t="s">
        <v>105</v>
      </c>
      <c r="D63" s="34">
        <v>421077044.48000002</v>
      </c>
      <c r="E63" s="34">
        <v>3512864.7</v>
      </c>
      <c r="F63" s="34"/>
      <c r="G63" s="34">
        <v>827636.31</v>
      </c>
      <c r="H63" s="35">
        <f t="shared" si="24"/>
        <v>2685228.39</v>
      </c>
      <c r="I63" s="48">
        <v>397268030.68000001</v>
      </c>
      <c r="J63" s="64">
        <f t="shared" si="25"/>
        <v>1.3364117347535399E-3</v>
      </c>
      <c r="K63" s="34">
        <v>402197166.29000002</v>
      </c>
      <c r="L63" s="64">
        <f t="shared" si="26"/>
        <v>1.3851102546148626E-3</v>
      </c>
      <c r="M63" s="64">
        <f t="shared" si="27"/>
        <v>1.2407581857424717E-2</v>
      </c>
      <c r="N63" s="39">
        <f t="shared" si="32"/>
        <v>2.057787521564092E-3</v>
      </c>
      <c r="O63" s="40">
        <f t="shared" si="33"/>
        <v>6.6763980829836192E-3</v>
      </c>
      <c r="P63" s="41">
        <f t="shared" si="34"/>
        <v>2.2813983749573823</v>
      </c>
      <c r="Q63" s="41">
        <f t="shared" si="35"/>
        <v>1.5231523737087414E-2</v>
      </c>
      <c r="R63" s="34">
        <v>2.2740999999999998</v>
      </c>
      <c r="S63" s="34">
        <v>2.2740999999999998</v>
      </c>
      <c r="T63" s="34">
        <v>1399</v>
      </c>
      <c r="U63" s="34">
        <v>176271986.5</v>
      </c>
      <c r="V63" s="34">
        <v>176294140.78</v>
      </c>
    </row>
    <row r="64" spans="1:22" ht="14.25">
      <c r="A64" s="63">
        <v>54</v>
      </c>
      <c r="B64" s="36" t="s">
        <v>240</v>
      </c>
      <c r="C64" s="37" t="s">
        <v>237</v>
      </c>
      <c r="D64" s="61">
        <v>130108862.23</v>
      </c>
      <c r="E64" s="61">
        <v>6602653.6399999997</v>
      </c>
      <c r="F64" s="61"/>
      <c r="G64" s="61">
        <v>317084.38</v>
      </c>
      <c r="H64" s="35">
        <f t="shared" si="24"/>
        <v>6285569.2599999998</v>
      </c>
      <c r="I64" s="48">
        <v>134377395.59</v>
      </c>
      <c r="J64" s="64">
        <f t="shared" si="25"/>
        <v>4.5204626217897048E-4</v>
      </c>
      <c r="K64" s="61">
        <v>135186099.77000001</v>
      </c>
      <c r="L64" s="64">
        <f t="shared" si="26"/>
        <v>4.6556184072615267E-4</v>
      </c>
      <c r="M64" s="64">
        <f t="shared" si="27"/>
        <v>6.0181563755518173E-3</v>
      </c>
      <c r="N64" s="39">
        <f t="shared" si="32"/>
        <v>2.3455398191047313E-3</v>
      </c>
      <c r="O64" s="40">
        <f t="shared" si="33"/>
        <v>4.6495677223427595E-2</v>
      </c>
      <c r="P64" s="41">
        <f t="shared" si="34"/>
        <v>11.17119230212883</v>
      </c>
      <c r="Q64" s="41">
        <f t="shared" si="35"/>
        <v>0.51941215148062114</v>
      </c>
      <c r="R64" s="61">
        <v>10.66</v>
      </c>
      <c r="S64" s="61">
        <v>10.66</v>
      </c>
      <c r="T64" s="61">
        <v>28</v>
      </c>
      <c r="U64" s="61">
        <v>12414597.6</v>
      </c>
      <c r="V64" s="61">
        <v>12101313.460000001</v>
      </c>
    </row>
    <row r="65" spans="1:22" ht="14.25">
      <c r="A65" s="63">
        <v>55</v>
      </c>
      <c r="B65" s="44" t="s">
        <v>106</v>
      </c>
      <c r="C65" s="43" t="s">
        <v>58</v>
      </c>
      <c r="D65" s="34">
        <v>2631169148.02</v>
      </c>
      <c r="E65" s="34">
        <v>20438148.109999999</v>
      </c>
      <c r="F65" s="34"/>
      <c r="G65" s="34">
        <v>4316801.7699999996</v>
      </c>
      <c r="H65" s="35">
        <f t="shared" si="24"/>
        <v>16121346.34</v>
      </c>
      <c r="I65" s="48">
        <v>2595099133.5</v>
      </c>
      <c r="J65" s="64">
        <f t="shared" si="25"/>
        <v>8.7299270694442561E-3</v>
      </c>
      <c r="K65" s="34">
        <v>2609357563.8899999</v>
      </c>
      <c r="L65" s="64">
        <f t="shared" si="26"/>
        <v>8.9862590356861935E-3</v>
      </c>
      <c r="M65" s="64">
        <f t="shared" si="27"/>
        <v>5.4943682905745405E-3</v>
      </c>
      <c r="N65" s="39">
        <f t="shared" si="32"/>
        <v>1.6543542478573009E-3</v>
      </c>
      <c r="O65" s="40">
        <f t="shared" si="33"/>
        <v>6.1782817974423117E-3</v>
      </c>
      <c r="P65" s="41">
        <f t="shared" si="34"/>
        <v>4051.0097141979672</v>
      </c>
      <c r="Q65" s="41">
        <f t="shared" si="35"/>
        <v>25.028279578491283</v>
      </c>
      <c r="R65" s="34">
        <v>4051.01</v>
      </c>
      <c r="S65" s="34">
        <v>4051.01</v>
      </c>
      <c r="T65" s="34">
        <v>1050</v>
      </c>
      <c r="U65" s="34">
        <v>644586.43000000005</v>
      </c>
      <c r="V65" s="34">
        <v>644125.23</v>
      </c>
    </row>
    <row r="66" spans="1:22" ht="14.25">
      <c r="A66" s="63">
        <v>56</v>
      </c>
      <c r="B66" s="43" t="s">
        <v>107</v>
      </c>
      <c r="C66" s="43" t="s">
        <v>60</v>
      </c>
      <c r="D66" s="34">
        <v>307987521.18000001</v>
      </c>
      <c r="E66" s="34">
        <v>3545431.76</v>
      </c>
      <c r="F66" s="34"/>
      <c r="G66" s="34">
        <v>681207.59</v>
      </c>
      <c r="H66" s="35">
        <f t="shared" si="24"/>
        <v>2864224.17</v>
      </c>
      <c r="I66" s="50">
        <v>350886707.77999997</v>
      </c>
      <c r="J66" s="64">
        <f t="shared" si="25"/>
        <v>1.1803847217294746E-3</v>
      </c>
      <c r="K66" s="61">
        <v>331747036.30000001</v>
      </c>
      <c r="L66" s="64">
        <f t="shared" si="26"/>
        <v>1.1424899537603827E-3</v>
      </c>
      <c r="M66" s="64">
        <f t="shared" si="27"/>
        <v>-5.4546584568829576E-2</v>
      </c>
      <c r="N66" s="39">
        <f t="shared" si="32"/>
        <v>2.053394651531963E-3</v>
      </c>
      <c r="O66" s="40">
        <f t="shared" si="33"/>
        <v>8.6337596318716535E-3</v>
      </c>
      <c r="P66" s="41">
        <f t="shared" si="34"/>
        <v>105.69975657773789</v>
      </c>
      <c r="Q66" s="41">
        <f t="shared" si="35"/>
        <v>0.91258629143953363</v>
      </c>
      <c r="R66" s="34">
        <v>109.33</v>
      </c>
      <c r="S66" s="34">
        <v>109.33</v>
      </c>
      <c r="T66" s="34">
        <v>125</v>
      </c>
      <c r="U66" s="34">
        <v>3247505</v>
      </c>
      <c r="V66" s="34">
        <v>3138579</v>
      </c>
    </row>
    <row r="67" spans="1:22" ht="14.25">
      <c r="A67" s="63">
        <v>57</v>
      </c>
      <c r="B67" s="44" t="s">
        <v>108</v>
      </c>
      <c r="C67" s="44" t="s">
        <v>64</v>
      </c>
      <c r="D67" s="67">
        <v>317211109.82999998</v>
      </c>
      <c r="E67" s="61">
        <v>-7218923.1600000001</v>
      </c>
      <c r="F67" s="61"/>
      <c r="G67" s="61">
        <v>637662.22</v>
      </c>
      <c r="H67" s="35">
        <f t="shared" si="24"/>
        <v>-7856585.3799999999</v>
      </c>
      <c r="I67" s="51">
        <v>324329810.32999998</v>
      </c>
      <c r="J67" s="64">
        <f t="shared" si="25"/>
        <v>1.0910471796924854E-3</v>
      </c>
      <c r="K67" s="67">
        <v>313234559.38</v>
      </c>
      <c r="L67" s="64">
        <f t="shared" si="26"/>
        <v>1.0787355970185348E-3</v>
      </c>
      <c r="M67" s="64">
        <f t="shared" si="27"/>
        <v>-3.4209778431130836E-2</v>
      </c>
      <c r="N67" s="39">
        <f t="shared" si="32"/>
        <v>2.0357339281532505E-3</v>
      </c>
      <c r="O67" s="40">
        <f t="shared" si="33"/>
        <v>-2.5082115445852819E-2</v>
      </c>
      <c r="P67" s="41">
        <f t="shared" si="34"/>
        <v>1.3249313057301575</v>
      </c>
      <c r="Q67" s="41">
        <f t="shared" si="35"/>
        <v>-3.3232079968148323E-2</v>
      </c>
      <c r="R67" s="61">
        <v>1.3249</v>
      </c>
      <c r="S67" s="61">
        <v>1.3249</v>
      </c>
      <c r="T67" s="61">
        <v>316</v>
      </c>
      <c r="U67" s="66">
        <v>236192920.63</v>
      </c>
      <c r="V67" s="66">
        <v>236415697.94999999</v>
      </c>
    </row>
    <row r="68" spans="1:22" ht="14.25">
      <c r="A68" s="63">
        <v>58</v>
      </c>
      <c r="B68" s="43" t="s">
        <v>245</v>
      </c>
      <c r="C68" s="43" t="s">
        <v>45</v>
      </c>
      <c r="D68" s="34">
        <f>54933684.21+9399543.75+7424150.65</f>
        <v>71757378.609999999</v>
      </c>
      <c r="E68" s="34">
        <v>791961.81</v>
      </c>
      <c r="F68" s="34"/>
      <c r="G68" s="34">
        <v>104698.94</v>
      </c>
      <c r="H68" s="35">
        <f>(E68+F68)-G68</f>
        <v>687262.87000000011</v>
      </c>
      <c r="I68" s="48">
        <v>74638991.900000006</v>
      </c>
      <c r="J68" s="64">
        <f t="shared" si="25"/>
        <v>2.5108595945814207E-4</v>
      </c>
      <c r="K68" s="34">
        <v>74446089.329999998</v>
      </c>
      <c r="L68" s="64">
        <f t="shared" si="26"/>
        <v>2.5638182063323234E-4</v>
      </c>
      <c r="M68" s="64">
        <f t="shared" si="27"/>
        <v>-2.5844744829680334E-3</v>
      </c>
      <c r="N68" s="39">
        <f t="shared" si="32"/>
        <v>1.4063725971675564E-3</v>
      </c>
      <c r="O68" s="40">
        <f t="shared" si="33"/>
        <v>9.2316853200111564E-3</v>
      </c>
      <c r="P68" s="41">
        <f t="shared" si="34"/>
        <v>114.45043522352353</v>
      </c>
      <c r="Q68" s="41">
        <f t="shared" si="35"/>
        <v>1.0565704027218898</v>
      </c>
      <c r="R68" s="34">
        <v>114.4504</v>
      </c>
      <c r="S68" s="34">
        <v>114.4504</v>
      </c>
      <c r="T68" s="34">
        <v>94</v>
      </c>
      <c r="U68" s="34">
        <v>657273.49</v>
      </c>
      <c r="V68" s="34">
        <v>650465.76</v>
      </c>
    </row>
    <row r="69" spans="1:22" ht="14.25">
      <c r="A69" s="63">
        <v>59</v>
      </c>
      <c r="B69" s="43" t="s">
        <v>109</v>
      </c>
      <c r="C69" s="43" t="s">
        <v>110</v>
      </c>
      <c r="D69" s="34">
        <v>878048840.16999996</v>
      </c>
      <c r="E69" s="34">
        <v>16405500.5</v>
      </c>
      <c r="F69" s="34"/>
      <c r="G69" s="34">
        <v>3174362.87</v>
      </c>
      <c r="H69" s="35">
        <f t="shared" si="24"/>
        <v>13231137.629999999</v>
      </c>
      <c r="I69" s="59">
        <v>1203643472.78</v>
      </c>
      <c r="J69" s="64">
        <f t="shared" si="25"/>
        <v>4.0490629430446042E-3</v>
      </c>
      <c r="K69" s="35">
        <v>1282302578.78</v>
      </c>
      <c r="L69" s="64">
        <f t="shared" si="26"/>
        <v>4.4160690334317286E-3</v>
      </c>
      <c r="M69" s="64">
        <f t="shared" si="27"/>
        <v>6.5350835009576946E-2</v>
      </c>
      <c r="N69" s="39">
        <f t="shared" si="32"/>
        <v>2.4755178087687633E-3</v>
      </c>
      <c r="O69" s="40">
        <f t="shared" si="33"/>
        <v>1.0318264853361117E-2</v>
      </c>
      <c r="P69" s="41">
        <f t="shared" si="34"/>
        <v>1073.5411450581314</v>
      </c>
      <c r="Q69" s="41">
        <f t="shared" si="35"/>
        <v>11.077081865690367</v>
      </c>
      <c r="R69" s="34">
        <v>1000</v>
      </c>
      <c r="S69" s="34">
        <v>1000</v>
      </c>
      <c r="T69" s="34">
        <v>286</v>
      </c>
      <c r="U69" s="34">
        <v>1130281.58</v>
      </c>
      <c r="V69" s="61">
        <v>1194460.58</v>
      </c>
    </row>
    <row r="70" spans="1:22" ht="14.25">
      <c r="A70" s="63">
        <v>60</v>
      </c>
      <c r="B70" s="43" t="s">
        <v>111</v>
      </c>
      <c r="C70" s="43" t="s">
        <v>66</v>
      </c>
      <c r="D70" s="34">
        <v>204521875.30000001</v>
      </c>
      <c r="E70" s="61">
        <v>2246318.9300000002</v>
      </c>
      <c r="F70" s="61"/>
      <c r="G70" s="34">
        <v>516163.67</v>
      </c>
      <c r="H70" s="35">
        <f t="shared" si="24"/>
        <v>1730155.2600000002</v>
      </c>
      <c r="I70" s="48">
        <v>217420839.69</v>
      </c>
      <c r="J70" s="64">
        <f t="shared" si="25"/>
        <v>7.3140484283200152E-4</v>
      </c>
      <c r="K70" s="34">
        <v>217420839.69</v>
      </c>
      <c r="L70" s="64">
        <f t="shared" si="26"/>
        <v>7.4876667431428583E-4</v>
      </c>
      <c r="M70" s="64">
        <f t="shared" si="27"/>
        <v>0</v>
      </c>
      <c r="N70" s="39">
        <f t="shared" si="32"/>
        <v>2.3740303401272363E-3</v>
      </c>
      <c r="O70" s="40">
        <f t="shared" si="33"/>
        <v>7.9576330514906785E-3</v>
      </c>
      <c r="P70" s="41">
        <f t="shared" si="34"/>
        <v>1071.1072122352664</v>
      </c>
      <c r="Q70" s="41">
        <f t="shared" si="35"/>
        <v>8.5234781537733948</v>
      </c>
      <c r="R70" s="34">
        <v>1052.9000000000001</v>
      </c>
      <c r="S70" s="61">
        <v>1058.2</v>
      </c>
      <c r="T70" s="34">
        <v>281</v>
      </c>
      <c r="U70" s="34">
        <v>203055</v>
      </c>
      <c r="V70" s="34">
        <v>202987</v>
      </c>
    </row>
    <row r="71" spans="1:22" ht="14.25">
      <c r="A71" s="63">
        <v>61</v>
      </c>
      <c r="B71" s="43" t="s">
        <v>112</v>
      </c>
      <c r="C71" s="44" t="s">
        <v>69</v>
      </c>
      <c r="D71" s="67">
        <v>867698997.57000005</v>
      </c>
      <c r="E71" s="67">
        <v>7298576.6200000001</v>
      </c>
      <c r="F71" s="67"/>
      <c r="G71" s="61">
        <v>1274702.31</v>
      </c>
      <c r="H71" s="35">
        <f t="shared" si="24"/>
        <v>6023874.3100000005</v>
      </c>
      <c r="I71" s="51">
        <v>757180142.37</v>
      </c>
      <c r="J71" s="64">
        <f t="shared" si="25"/>
        <v>2.5471579624807878E-3</v>
      </c>
      <c r="K71" s="67">
        <v>863911328.53999996</v>
      </c>
      <c r="L71" s="64">
        <f t="shared" si="26"/>
        <v>2.9751886401305442E-3</v>
      </c>
      <c r="M71" s="64">
        <f t="shared" si="27"/>
        <v>0.14095877611888719</v>
      </c>
      <c r="N71" s="39">
        <f t="shared" si="32"/>
        <v>1.4755013250656547E-3</v>
      </c>
      <c r="O71" s="40">
        <f t="shared" si="33"/>
        <v>6.9727923584244206E-3</v>
      </c>
      <c r="P71" s="41">
        <f t="shared" si="34"/>
        <v>1.1230179673628471</v>
      </c>
      <c r="Q71" s="41">
        <f t="shared" si="35"/>
        <v>7.8305711012009848E-3</v>
      </c>
      <c r="R71" s="34">
        <v>1.1200000000000001</v>
      </c>
      <c r="S71" s="34">
        <v>1.1200000000000001</v>
      </c>
      <c r="T71" s="34">
        <v>36</v>
      </c>
      <c r="U71" s="67">
        <v>678862980.35000002</v>
      </c>
      <c r="V71" s="67">
        <v>769276497.48000002</v>
      </c>
    </row>
    <row r="72" spans="1:22" ht="14.25">
      <c r="A72" s="63">
        <v>62</v>
      </c>
      <c r="B72" s="43" t="s">
        <v>251</v>
      </c>
      <c r="C72" s="43" t="s">
        <v>27</v>
      </c>
      <c r="D72" s="61">
        <v>63277357644.029999</v>
      </c>
      <c r="E72" s="61">
        <v>681665340.62</v>
      </c>
      <c r="F72" s="61"/>
      <c r="G72" s="67">
        <v>70159688.209999993</v>
      </c>
      <c r="H72" s="35">
        <f t="shared" si="24"/>
        <v>611505652.40999997</v>
      </c>
      <c r="I72" s="50">
        <v>65691031599.260002</v>
      </c>
      <c r="J72" s="64">
        <f t="shared" si="25"/>
        <v>0.22098497416730684</v>
      </c>
      <c r="K72" s="61">
        <v>62390069588.470001</v>
      </c>
      <c r="L72" s="64">
        <f t="shared" si="26"/>
        <v>0.21486259082893319</v>
      </c>
      <c r="M72" s="64">
        <f t="shared" si="27"/>
        <v>-5.0249812347705404E-2</v>
      </c>
      <c r="N72" s="39">
        <f t="shared" si="32"/>
        <v>1.1245329372571475E-3</v>
      </c>
      <c r="O72" s="40">
        <f t="shared" si="33"/>
        <v>9.8013298661716718E-3</v>
      </c>
      <c r="P72" s="41">
        <f t="shared" si="34"/>
        <v>1577.1738387181683</v>
      </c>
      <c r="Q72" s="41">
        <f t="shared" si="35"/>
        <v>15.458401049573006</v>
      </c>
      <c r="R72" s="76">
        <v>1577.17</v>
      </c>
      <c r="S72" s="76">
        <v>1577.17</v>
      </c>
      <c r="T72" s="61">
        <v>2468</v>
      </c>
      <c r="U72" s="66">
        <v>42038111.689999998</v>
      </c>
      <c r="V72" s="66">
        <v>39558143.850000001</v>
      </c>
    </row>
    <row r="73" spans="1:22" ht="13.5" customHeight="1">
      <c r="A73" s="63">
        <v>63</v>
      </c>
      <c r="B73" s="43" t="s">
        <v>113</v>
      </c>
      <c r="C73" s="43" t="s">
        <v>75</v>
      </c>
      <c r="D73" s="34">
        <v>22865529.52</v>
      </c>
      <c r="E73" s="34">
        <v>251666.77</v>
      </c>
      <c r="F73" s="34"/>
      <c r="G73" s="34">
        <v>253178.49</v>
      </c>
      <c r="H73" s="35">
        <f t="shared" si="24"/>
        <v>-1511.7200000000012</v>
      </c>
      <c r="I73" s="48">
        <v>25300970.879999999</v>
      </c>
      <c r="J73" s="64">
        <f t="shared" si="25"/>
        <v>8.5112598481214369E-5</v>
      </c>
      <c r="K73" s="34">
        <v>25449693.050000001</v>
      </c>
      <c r="L73" s="64">
        <f t="shared" si="26"/>
        <v>8.764514963026493E-5</v>
      </c>
      <c r="M73" s="64">
        <f t="shared" si="27"/>
        <v>5.8781210691627736E-3</v>
      </c>
      <c r="N73" s="39">
        <f t="shared" si="32"/>
        <v>9.9481942474744303E-3</v>
      </c>
      <c r="O73" s="40">
        <f t="shared" si="33"/>
        <v>-5.9400323494274961E-5</v>
      </c>
      <c r="P73" s="41">
        <f t="shared" si="34"/>
        <v>0.77623596545206863</v>
      </c>
      <c r="Q73" s="41">
        <f t="shared" si="35"/>
        <v>-4.6108667455743717E-5</v>
      </c>
      <c r="R73" s="35">
        <v>0.7762</v>
      </c>
      <c r="S73" s="35">
        <v>0.7762</v>
      </c>
      <c r="T73" s="34">
        <v>747</v>
      </c>
      <c r="U73" s="34">
        <v>32823616.370000001</v>
      </c>
      <c r="V73" s="34">
        <v>32786026.649999999</v>
      </c>
    </row>
    <row r="74" spans="1:22" ht="13.5" customHeight="1">
      <c r="A74" s="63">
        <v>64</v>
      </c>
      <c r="B74" s="43" t="s">
        <v>213</v>
      </c>
      <c r="C74" s="44" t="s">
        <v>33</v>
      </c>
      <c r="D74" s="34">
        <v>11124725270.33</v>
      </c>
      <c r="E74" s="34">
        <v>55175251.840000004</v>
      </c>
      <c r="F74" s="34"/>
      <c r="G74" s="34">
        <v>2089345.83</v>
      </c>
      <c r="H74" s="35">
        <f t="shared" ref="H74" si="36">(E74+F74)-G74</f>
        <v>53085906.010000005</v>
      </c>
      <c r="I74" s="50">
        <v>9526619779.7000008</v>
      </c>
      <c r="J74" s="64">
        <f t="shared" si="25"/>
        <v>3.2047598807117439E-2</v>
      </c>
      <c r="K74" s="34">
        <v>9565393596.8600006</v>
      </c>
      <c r="L74" s="64">
        <f t="shared" si="26"/>
        <v>3.2941865012755929E-2</v>
      </c>
      <c r="M74" s="64">
        <f t="shared" si="27"/>
        <v>4.0700498242432067E-3</v>
      </c>
      <c r="N74" s="39">
        <f t="shared" si="32"/>
        <v>2.1842758573843344E-4</v>
      </c>
      <c r="O74" s="40">
        <f t="shared" si="33"/>
        <v>5.5497879384102224E-3</v>
      </c>
      <c r="P74" s="41">
        <f t="shared" si="34"/>
        <v>1</v>
      </c>
      <c r="Q74" s="41">
        <f t="shared" si="35"/>
        <v>5.5497879384102224E-3</v>
      </c>
      <c r="R74" s="34">
        <v>1</v>
      </c>
      <c r="S74" s="34">
        <v>1</v>
      </c>
      <c r="T74" s="34">
        <v>5539</v>
      </c>
      <c r="U74" s="61">
        <v>9526619779.7000008</v>
      </c>
      <c r="V74" s="34">
        <v>9565393596.8600006</v>
      </c>
    </row>
    <row r="75" spans="1:22" ht="14.25">
      <c r="A75" s="63">
        <v>65</v>
      </c>
      <c r="B75" s="44" t="s">
        <v>114</v>
      </c>
      <c r="C75" s="44" t="s">
        <v>115</v>
      </c>
      <c r="D75" s="61">
        <v>1112472147.5899999</v>
      </c>
      <c r="E75" s="61">
        <v>37364743.030000001</v>
      </c>
      <c r="F75" s="61"/>
      <c r="G75" s="61">
        <v>3005885.55</v>
      </c>
      <c r="H75" s="35">
        <f t="shared" si="24"/>
        <v>34358857.480000004</v>
      </c>
      <c r="I75" s="50">
        <v>1048027907.17</v>
      </c>
      <c r="J75" s="64">
        <f t="shared" si="25"/>
        <v>3.5255713657446658E-3</v>
      </c>
      <c r="K75" s="61">
        <v>1109466262.04</v>
      </c>
      <c r="L75" s="64">
        <f t="shared" si="26"/>
        <v>3.8208451612828593E-3</v>
      </c>
      <c r="M75" s="64">
        <f t="shared" si="27"/>
        <v>5.8622823352006533E-2</v>
      </c>
      <c r="N75" s="39">
        <f t="shared" si="32"/>
        <v>2.7093077571128769E-3</v>
      </c>
      <c r="O75" s="40">
        <f t="shared" si="33"/>
        <v>3.0968816858679072E-2</v>
      </c>
      <c r="P75" s="41">
        <f t="shared" si="34"/>
        <v>216.42878064003926</v>
      </c>
      <c r="Q75" s="41">
        <f t="shared" si="35"/>
        <v>6.7025432705886026</v>
      </c>
      <c r="R75" s="61">
        <v>215.60290000000001</v>
      </c>
      <c r="S75" s="66">
        <v>217.01519999999999</v>
      </c>
      <c r="T75" s="34">
        <v>488</v>
      </c>
      <c r="U75" s="70">
        <v>5126241.8</v>
      </c>
      <c r="V75" s="70">
        <v>5126241.8</v>
      </c>
    </row>
    <row r="76" spans="1:22" ht="14.25">
      <c r="A76" s="63">
        <v>66</v>
      </c>
      <c r="B76" s="43" t="s">
        <v>116</v>
      </c>
      <c r="C76" s="44" t="s">
        <v>35</v>
      </c>
      <c r="D76" s="34">
        <v>1229301784.55</v>
      </c>
      <c r="E76" s="34">
        <v>9104186.6999999993</v>
      </c>
      <c r="F76" s="34"/>
      <c r="G76" s="34">
        <v>1417404</v>
      </c>
      <c r="H76" s="35">
        <f t="shared" si="24"/>
        <v>7686782.6999999993</v>
      </c>
      <c r="I76" s="48">
        <v>1220349162.49</v>
      </c>
      <c r="J76" s="64">
        <f t="shared" si="25"/>
        <v>4.1052609706769333E-3</v>
      </c>
      <c r="K76" s="34">
        <v>1116032817.6500001</v>
      </c>
      <c r="L76" s="64">
        <f t="shared" si="26"/>
        <v>3.8434594516738359E-3</v>
      </c>
      <c r="M76" s="64">
        <f t="shared" si="27"/>
        <v>-8.5480736207621824E-2</v>
      </c>
      <c r="N76" s="39">
        <f t="shared" si="32"/>
        <v>1.2700379214516191E-3</v>
      </c>
      <c r="O76" s="40">
        <f t="shared" si="33"/>
        <v>6.8875955782248845E-3</v>
      </c>
      <c r="P76" s="41">
        <f t="shared" si="34"/>
        <v>2.9495907345158798</v>
      </c>
      <c r="Q76" s="41">
        <f t="shared" si="35"/>
        <v>2.0315588100624664E-2</v>
      </c>
      <c r="R76" s="35">
        <v>3.37</v>
      </c>
      <c r="S76" s="34">
        <v>3.37</v>
      </c>
      <c r="T76" s="34">
        <v>774</v>
      </c>
      <c r="U76" s="61">
        <v>386751522</v>
      </c>
      <c r="V76" s="61">
        <v>378368702</v>
      </c>
    </row>
    <row r="77" spans="1:22" ht="14.25">
      <c r="A77" s="63">
        <v>67</v>
      </c>
      <c r="B77" s="43" t="s">
        <v>239</v>
      </c>
      <c r="C77" s="43" t="s">
        <v>41</v>
      </c>
      <c r="D77" s="34">
        <v>1966721834.4100001</v>
      </c>
      <c r="E77" s="34">
        <v>21185117.48</v>
      </c>
      <c r="F77" s="34"/>
      <c r="G77" s="34">
        <v>3445654.09</v>
      </c>
      <c r="H77" s="35">
        <f>(E77+F77)-G77</f>
        <v>17739463.390000001</v>
      </c>
      <c r="I77" s="48">
        <v>1699143289</v>
      </c>
      <c r="J77" s="64">
        <f t="shared" si="25"/>
        <v>5.7159269185604869E-3</v>
      </c>
      <c r="K77" s="34">
        <v>1962434738.3099999</v>
      </c>
      <c r="L77" s="64">
        <f t="shared" si="26"/>
        <v>6.7583481632132987E-3</v>
      </c>
      <c r="M77" s="64">
        <f t="shared" si="27"/>
        <v>0.15495541253907746</v>
      </c>
      <c r="N77" s="39">
        <f t="shared" si="32"/>
        <v>1.7558056952086526E-3</v>
      </c>
      <c r="O77" s="40">
        <f t="shared" si="33"/>
        <v>9.0395176174249674E-3</v>
      </c>
      <c r="P77" s="41">
        <f t="shared" si="34"/>
        <v>100.14403044469562</v>
      </c>
      <c r="Q77" s="41">
        <f t="shared" si="35"/>
        <v>0.90525372748476829</v>
      </c>
      <c r="R77" s="34">
        <v>100.14</v>
      </c>
      <c r="S77" s="34">
        <v>100.14</v>
      </c>
      <c r="T77" s="34">
        <v>219</v>
      </c>
      <c r="U77" s="34">
        <v>17098315</v>
      </c>
      <c r="V77" s="34">
        <v>19596123</v>
      </c>
    </row>
    <row r="78" spans="1:22" ht="14.25">
      <c r="A78" s="63">
        <v>68</v>
      </c>
      <c r="B78" s="43" t="s">
        <v>119</v>
      </c>
      <c r="C78" s="43" t="s">
        <v>19</v>
      </c>
      <c r="D78" s="34">
        <v>1245534267.24</v>
      </c>
      <c r="E78" s="34">
        <v>12558860.57</v>
      </c>
      <c r="F78" s="34">
        <v>72413000</v>
      </c>
      <c r="G78" s="34">
        <v>1858397.61</v>
      </c>
      <c r="H78" s="35">
        <f t="shared" si="24"/>
        <v>83113462.959999993</v>
      </c>
      <c r="I78" s="48">
        <v>1217700648</v>
      </c>
      <c r="J78" s="64">
        <f t="shared" si="25"/>
        <v>4.0963513540686136E-3</v>
      </c>
      <c r="K78" s="34">
        <v>1224370157.0699999</v>
      </c>
      <c r="L78" s="64">
        <f t="shared" si="26"/>
        <v>4.2165579525223831E-3</v>
      </c>
      <c r="M78" s="64">
        <f t="shared" si="27"/>
        <v>5.4771335475218806E-3</v>
      </c>
      <c r="N78" s="39">
        <f t="shared" si="32"/>
        <v>1.5178396821164527E-3</v>
      </c>
      <c r="O78" s="40">
        <f t="shared" si="33"/>
        <v>6.7882627226798872E-2</v>
      </c>
      <c r="P78" s="41">
        <f t="shared" si="34"/>
        <v>332.64198845574475</v>
      </c>
      <c r="Q78" s="41">
        <f t="shared" si="35"/>
        <v>22.580612102322458</v>
      </c>
      <c r="R78" s="61">
        <v>332.642</v>
      </c>
      <c r="S78" s="61">
        <v>332.642</v>
      </c>
      <c r="T78" s="61">
        <v>104</v>
      </c>
      <c r="U78" s="61">
        <v>3692122.7782999999</v>
      </c>
      <c r="V78" s="61">
        <v>3680744.4627</v>
      </c>
    </row>
    <row r="79" spans="1:22" ht="14.25">
      <c r="A79" s="63">
        <v>69</v>
      </c>
      <c r="B79" s="36" t="s">
        <v>247</v>
      </c>
      <c r="C79" s="37" t="s">
        <v>248</v>
      </c>
      <c r="D79" s="34">
        <v>1371452402</v>
      </c>
      <c r="E79" s="34">
        <v>17143688</v>
      </c>
      <c r="F79" s="34"/>
      <c r="G79" s="34">
        <v>2767900</v>
      </c>
      <c r="H79" s="35">
        <f t="shared" si="24"/>
        <v>14375788</v>
      </c>
      <c r="I79" s="48">
        <v>1415891532</v>
      </c>
      <c r="J79" s="64">
        <f t="shared" si="25"/>
        <v>4.7630665252980002E-3</v>
      </c>
      <c r="K79" s="34">
        <v>1533612921</v>
      </c>
      <c r="L79" s="64">
        <f t="shared" si="26"/>
        <v>5.2815463696114272E-3</v>
      </c>
      <c r="M79" s="64">
        <f t="shared" si="27"/>
        <v>8.3142943042899695E-2</v>
      </c>
      <c r="N79" s="39">
        <f t="shared" si="32"/>
        <v>1.8048230828644669E-3</v>
      </c>
      <c r="O79" s="40">
        <f t="shared" si="33"/>
        <v>9.3738046955330785E-3</v>
      </c>
      <c r="P79" s="41">
        <f t="shared" si="34"/>
        <v>102.3891686978866</v>
      </c>
      <c r="Q79" s="41">
        <f t="shared" si="35"/>
        <v>0.95977607031197787</v>
      </c>
      <c r="R79" s="61">
        <v>102</v>
      </c>
      <c r="S79" s="61">
        <v>102</v>
      </c>
      <c r="T79" s="61">
        <v>311</v>
      </c>
      <c r="U79" s="61">
        <v>13977594</v>
      </c>
      <c r="V79" s="61">
        <v>14978273</v>
      </c>
    </row>
    <row r="80" spans="1:22" ht="14.25">
      <c r="A80" s="63">
        <v>70</v>
      </c>
      <c r="B80" s="44" t="s">
        <v>120</v>
      </c>
      <c r="C80" s="44" t="s">
        <v>39</v>
      </c>
      <c r="D80" s="34">
        <v>56293773.899999999</v>
      </c>
      <c r="E80" s="34">
        <v>1088065.04</v>
      </c>
      <c r="F80" s="34"/>
      <c r="G80" s="34">
        <v>136311.85</v>
      </c>
      <c r="H80" s="35">
        <f t="shared" si="24"/>
        <v>951753.19000000006</v>
      </c>
      <c r="I80" s="48">
        <v>57006510.109999999</v>
      </c>
      <c r="J80" s="64">
        <f t="shared" si="25"/>
        <v>1.9177019841729165E-4</v>
      </c>
      <c r="K80" s="34">
        <v>57638450.390000001</v>
      </c>
      <c r="L80" s="64">
        <f t="shared" si="26"/>
        <v>1.9849868518898118E-4</v>
      </c>
      <c r="M80" s="64">
        <f t="shared" si="27"/>
        <v>1.1085405487559343E-2</v>
      </c>
      <c r="N80" s="39">
        <f t="shared" si="32"/>
        <v>2.3649464737110536E-3</v>
      </c>
      <c r="O80" s="40">
        <f t="shared" si="33"/>
        <v>1.6512470122984513E-2</v>
      </c>
      <c r="P80" s="41">
        <f t="shared" si="34"/>
        <v>12.512909118027965</v>
      </c>
      <c r="Q80" s="41">
        <f t="shared" si="35"/>
        <v>0.20661903796305725</v>
      </c>
      <c r="R80" s="34">
        <v>12.03</v>
      </c>
      <c r="S80" s="34">
        <v>12.32</v>
      </c>
      <c r="T80" s="34">
        <v>57</v>
      </c>
      <c r="U80" s="34">
        <v>4583538.95</v>
      </c>
      <c r="V80" s="34">
        <v>4606318.95</v>
      </c>
    </row>
    <row r="81" spans="1:22" ht="14.25">
      <c r="A81" s="63">
        <v>71</v>
      </c>
      <c r="B81" s="43" t="s">
        <v>121</v>
      </c>
      <c r="C81" s="43" t="s">
        <v>122</v>
      </c>
      <c r="D81" s="34">
        <v>7237898218.75</v>
      </c>
      <c r="E81" s="34">
        <v>73081508.489999995</v>
      </c>
      <c r="F81" s="34"/>
      <c r="G81" s="34">
        <v>9484627.5700000003</v>
      </c>
      <c r="H81" s="35">
        <f t="shared" si="24"/>
        <v>63596880.919999994</v>
      </c>
      <c r="I81" s="48">
        <v>6996473515</v>
      </c>
      <c r="J81" s="64">
        <f t="shared" si="25"/>
        <v>2.3536173528319781E-2</v>
      </c>
      <c r="K81" s="34">
        <v>7173401506</v>
      </c>
      <c r="L81" s="64">
        <f t="shared" si="26"/>
        <v>2.4704181976424183E-2</v>
      </c>
      <c r="M81" s="64">
        <f t="shared" si="27"/>
        <v>2.5288167048825024E-2</v>
      </c>
      <c r="N81" s="39">
        <f t="shared" si="32"/>
        <v>1.3221938799977719E-3</v>
      </c>
      <c r="O81" s="40">
        <f t="shared" si="33"/>
        <v>8.8656519319051195E-3</v>
      </c>
      <c r="P81" s="41">
        <f t="shared" si="34"/>
        <v>1.0200000000739398</v>
      </c>
      <c r="Q81" s="41">
        <f t="shared" si="35"/>
        <v>9.042964971198747E-3</v>
      </c>
      <c r="R81" s="34">
        <v>1.02</v>
      </c>
      <c r="S81" s="34">
        <v>1.02</v>
      </c>
      <c r="T81" s="35">
        <v>3996</v>
      </c>
      <c r="U81" s="34">
        <v>6927201500</v>
      </c>
      <c r="V81" s="34">
        <v>7032746574</v>
      </c>
    </row>
    <row r="82" spans="1:22" ht="14.25">
      <c r="A82" s="63">
        <v>72</v>
      </c>
      <c r="B82" s="44" t="s">
        <v>123</v>
      </c>
      <c r="C82" s="43" t="s">
        <v>43</v>
      </c>
      <c r="D82" s="61">
        <v>21425368663.860001</v>
      </c>
      <c r="E82" s="61">
        <v>217376256.69</v>
      </c>
      <c r="F82" s="61"/>
      <c r="G82" s="61">
        <v>22455819.149999999</v>
      </c>
      <c r="H82" s="35">
        <f t="shared" si="24"/>
        <v>194920437.53999999</v>
      </c>
      <c r="I82" s="50">
        <v>22675738886.790001</v>
      </c>
      <c r="J82" s="64">
        <f t="shared" si="25"/>
        <v>7.6281304313971704E-2</v>
      </c>
      <c r="K82" s="61">
        <v>21452185271.689999</v>
      </c>
      <c r="L82" s="64">
        <f t="shared" si="26"/>
        <v>7.3878297248596306E-2</v>
      </c>
      <c r="M82" s="64">
        <f t="shared" si="27"/>
        <v>-5.3958709844414234E-2</v>
      </c>
      <c r="N82" s="39">
        <f t="shared" si="32"/>
        <v>1.0467846918903163E-3</v>
      </c>
      <c r="O82" s="40">
        <f t="shared" si="33"/>
        <v>9.0862741987051739E-3</v>
      </c>
      <c r="P82" s="41">
        <f t="shared" si="34"/>
        <v>5090.5714692549009</v>
      </c>
      <c r="Q82" s="41">
        <f t="shared" si="35"/>
        <v>46.254328197755498</v>
      </c>
      <c r="R82" s="61">
        <v>5090.57</v>
      </c>
      <c r="S82" s="61">
        <v>5090.57</v>
      </c>
      <c r="T82" s="61">
        <v>413</v>
      </c>
      <c r="U82" s="61">
        <v>4487681.5999999996</v>
      </c>
      <c r="V82" s="61">
        <v>4214101.58</v>
      </c>
    </row>
    <row r="83" spans="1:22" ht="14.25">
      <c r="A83" s="63">
        <v>73</v>
      </c>
      <c r="B83" s="43" t="s">
        <v>124</v>
      </c>
      <c r="C83" s="43" t="s">
        <v>43</v>
      </c>
      <c r="D83" s="61">
        <v>35428933186.510002</v>
      </c>
      <c r="E83" s="61">
        <v>252317356.21000001</v>
      </c>
      <c r="F83" s="61"/>
      <c r="G83" s="61">
        <v>56386681.240000002</v>
      </c>
      <c r="H83" s="35">
        <f t="shared" si="24"/>
        <v>195930674.97</v>
      </c>
      <c r="I83" s="50">
        <v>35754520777.139999</v>
      </c>
      <c r="J83" s="64">
        <f t="shared" si="25"/>
        <v>0.12027839505552421</v>
      </c>
      <c r="K83" s="61">
        <v>35315925659.040001</v>
      </c>
      <c r="L83" s="64">
        <f t="shared" si="26"/>
        <v>0.1216230617256059</v>
      </c>
      <c r="M83" s="64">
        <f t="shared" si="27"/>
        <v>-1.2266843704430756E-2</v>
      </c>
      <c r="N83" s="39">
        <f t="shared" si="32"/>
        <v>1.5966360837993895E-3</v>
      </c>
      <c r="O83" s="40">
        <f t="shared" si="33"/>
        <v>5.5479410864556116E-3</v>
      </c>
      <c r="P83" s="41">
        <f t="shared" si="34"/>
        <v>257.57258492820364</v>
      </c>
      <c r="Q83" s="41">
        <f t="shared" si="35"/>
        <v>1.4289975266677584</v>
      </c>
      <c r="R83" s="61">
        <v>257.57</v>
      </c>
      <c r="S83" s="61">
        <v>257.57</v>
      </c>
      <c r="T83" s="61">
        <v>6647</v>
      </c>
      <c r="U83" s="61">
        <v>139229983.90000001</v>
      </c>
      <c r="V83" s="61">
        <v>137110576.69</v>
      </c>
    </row>
    <row r="84" spans="1:22" ht="14.25">
      <c r="A84" s="63">
        <v>74</v>
      </c>
      <c r="B84" s="44" t="s">
        <v>125</v>
      </c>
      <c r="C84" s="43" t="s">
        <v>43</v>
      </c>
      <c r="D84" s="61">
        <v>311950326.51999998</v>
      </c>
      <c r="E84" s="61">
        <v>2607634.04</v>
      </c>
      <c r="F84" s="61"/>
      <c r="G84" s="61">
        <v>344527.86</v>
      </c>
      <c r="H84" s="35">
        <f t="shared" si="24"/>
        <v>2263106.1800000002</v>
      </c>
      <c r="I84" s="50">
        <v>318629451.77999997</v>
      </c>
      <c r="J84" s="64">
        <f t="shared" si="25"/>
        <v>1.0718711436910912E-3</v>
      </c>
      <c r="K84" s="61">
        <v>310057474.75999999</v>
      </c>
      <c r="L84" s="64">
        <f t="shared" si="26"/>
        <v>1.0677941661588052E-3</v>
      </c>
      <c r="M84" s="64">
        <f t="shared" si="27"/>
        <v>-2.6902651252460382E-2</v>
      </c>
      <c r="N84" s="39">
        <f t="shared" si="32"/>
        <v>1.1111741791314071E-3</v>
      </c>
      <c r="O84" s="40">
        <f t="shared" si="33"/>
        <v>7.2989892656248898E-3</v>
      </c>
      <c r="P84" s="41">
        <f t="shared" si="34"/>
        <v>5499.7479411252916</v>
      </c>
      <c r="Q84" s="41">
        <f t="shared" si="35"/>
        <v>40.142601185916092</v>
      </c>
      <c r="R84" s="61">
        <v>5484.81</v>
      </c>
      <c r="S84" s="61">
        <v>5509.98</v>
      </c>
      <c r="T84" s="34">
        <v>16</v>
      </c>
      <c r="U84" s="61">
        <v>56376.67</v>
      </c>
      <c r="V84" s="61">
        <v>56376.67</v>
      </c>
    </row>
    <row r="85" spans="1:22" ht="14.25">
      <c r="A85" s="63">
        <v>75</v>
      </c>
      <c r="B85" s="43" t="s">
        <v>126</v>
      </c>
      <c r="C85" s="43" t="s">
        <v>43</v>
      </c>
      <c r="D85" s="61">
        <v>16355024561.700001</v>
      </c>
      <c r="E85" s="61">
        <v>160482285.97</v>
      </c>
      <c r="F85" s="61"/>
      <c r="G85" s="61">
        <v>22278110.420000002</v>
      </c>
      <c r="H85" s="35">
        <f t="shared" si="24"/>
        <v>138204175.55000001</v>
      </c>
      <c r="I85" s="50">
        <v>17547877949.709999</v>
      </c>
      <c r="J85" s="64">
        <f t="shared" si="25"/>
        <v>5.9031153279246115E-2</v>
      </c>
      <c r="K85" s="61">
        <v>16421315640.52</v>
      </c>
      <c r="L85" s="64">
        <f t="shared" si="26"/>
        <v>5.6552692545703817E-2</v>
      </c>
      <c r="M85" s="64">
        <f t="shared" si="27"/>
        <v>-6.4199347204179552E-2</v>
      </c>
      <c r="N85" s="39">
        <f t="shared" si="32"/>
        <v>1.3566580722087953E-3</v>
      </c>
      <c r="O85" s="40">
        <f t="shared" si="33"/>
        <v>8.416145123535522E-3</v>
      </c>
      <c r="P85" s="41">
        <f t="shared" si="34"/>
        <v>127.93077104322911</v>
      </c>
      <c r="Q85" s="41">
        <f t="shared" si="35"/>
        <v>1.0766839348656121</v>
      </c>
      <c r="R85" s="61">
        <v>127.93</v>
      </c>
      <c r="S85" s="61">
        <v>127.93</v>
      </c>
      <c r="T85" s="34">
        <v>4297</v>
      </c>
      <c r="U85" s="61">
        <v>138194373.87</v>
      </c>
      <c r="V85" s="61">
        <v>128360952.62</v>
      </c>
    </row>
    <row r="86" spans="1:22" ht="14.25">
      <c r="A86" s="63">
        <v>76</v>
      </c>
      <c r="B86" s="43" t="s">
        <v>127</v>
      </c>
      <c r="C86" s="43" t="s">
        <v>43</v>
      </c>
      <c r="D86" s="61">
        <v>13072582047.950001</v>
      </c>
      <c r="E86" s="61">
        <v>91369871.900000006</v>
      </c>
      <c r="F86" s="61"/>
      <c r="G86" s="61">
        <v>19584818.920000002</v>
      </c>
      <c r="H86" s="35">
        <f t="shared" si="24"/>
        <v>71785052.980000004</v>
      </c>
      <c r="I86" s="50">
        <v>13920269094.959999</v>
      </c>
      <c r="J86" s="64">
        <f t="shared" si="25"/>
        <v>4.6827858102723836E-2</v>
      </c>
      <c r="K86" s="61">
        <v>13261156303.209999</v>
      </c>
      <c r="L86" s="64">
        <f t="shared" si="26"/>
        <v>4.5669549969883476E-2</v>
      </c>
      <c r="M86" s="64">
        <f t="shared" si="27"/>
        <v>-4.7349141547029412E-2</v>
      </c>
      <c r="N86" s="39">
        <f t="shared" si="32"/>
        <v>1.4768560502721241E-3</v>
      </c>
      <c r="O86" s="40">
        <f t="shared" si="33"/>
        <v>5.4131820286760137E-3</v>
      </c>
      <c r="P86" s="41">
        <f t="shared" si="34"/>
        <v>355.28844949878732</v>
      </c>
      <c r="Q86" s="41">
        <f t="shared" si="35"/>
        <v>1.9232410498230008</v>
      </c>
      <c r="R86" s="61">
        <v>355.15</v>
      </c>
      <c r="S86" s="34">
        <v>355.38</v>
      </c>
      <c r="T86" s="34">
        <v>10246</v>
      </c>
      <c r="U86" s="34">
        <v>39358849.759999998</v>
      </c>
      <c r="V86" s="34">
        <v>37325042.009999998</v>
      </c>
    </row>
    <row r="87" spans="1:22" ht="14.25">
      <c r="A87" s="63">
        <v>77</v>
      </c>
      <c r="B87" s="43" t="s">
        <v>128</v>
      </c>
      <c r="C87" s="43" t="s">
        <v>47</v>
      </c>
      <c r="D87" s="67">
        <v>94551860721</v>
      </c>
      <c r="E87" s="67">
        <v>676910406</v>
      </c>
      <c r="F87" s="67"/>
      <c r="G87" s="67">
        <v>136667748</v>
      </c>
      <c r="H87" s="35">
        <f t="shared" si="24"/>
        <v>540242658</v>
      </c>
      <c r="I87" s="51">
        <v>104758345478</v>
      </c>
      <c r="J87" s="64">
        <f t="shared" si="25"/>
        <v>0.35240762255781677</v>
      </c>
      <c r="K87" s="67">
        <v>103823240158</v>
      </c>
      <c r="L87" s="64">
        <f t="shared" si="26"/>
        <v>0.35755258033443515</v>
      </c>
      <c r="M87" s="64">
        <f t="shared" si="27"/>
        <v>-8.9263085984531785E-3</v>
      </c>
      <c r="N87" s="39">
        <f t="shared" si="32"/>
        <v>1.3163502486728082E-3</v>
      </c>
      <c r="O87" s="40">
        <f t="shared" si="33"/>
        <v>5.2034848573195118E-3</v>
      </c>
      <c r="P87" s="41">
        <f t="shared" si="34"/>
        <v>2.1321913923595428</v>
      </c>
      <c r="Q87" s="41">
        <f t="shared" si="35"/>
        <v>1.1094825623049885E-2</v>
      </c>
      <c r="R87" s="61">
        <v>2.13</v>
      </c>
      <c r="S87" s="61">
        <v>2.13</v>
      </c>
      <c r="T87" s="61">
        <v>6132</v>
      </c>
      <c r="U87" s="66">
        <v>49217508979</v>
      </c>
      <c r="V87" s="66">
        <v>48693208560</v>
      </c>
    </row>
    <row r="88" spans="1:22" ht="14.25">
      <c r="A88" s="63">
        <v>78</v>
      </c>
      <c r="B88" s="36" t="s">
        <v>214</v>
      </c>
      <c r="C88" s="36" t="s">
        <v>215</v>
      </c>
      <c r="D88" s="34">
        <v>82735740.359999999</v>
      </c>
      <c r="E88" s="34">
        <v>926671.03</v>
      </c>
      <c r="F88" s="34"/>
      <c r="G88" s="34">
        <v>391589.22</v>
      </c>
      <c r="H88" s="35">
        <f t="shared" si="24"/>
        <v>535081.81000000006</v>
      </c>
      <c r="I88" s="48">
        <v>83114325.25</v>
      </c>
      <c r="J88" s="64">
        <f t="shared" si="25"/>
        <v>2.7959702521266678E-4</v>
      </c>
      <c r="K88" s="34">
        <v>83086087.290000007</v>
      </c>
      <c r="L88" s="64">
        <f t="shared" si="26"/>
        <v>2.8613675372895326E-4</v>
      </c>
      <c r="M88" s="64">
        <f t="shared" si="27"/>
        <v>-3.3974841178167952E-4</v>
      </c>
      <c r="N88" s="39">
        <f t="shared" si="32"/>
        <v>4.7130540475833734E-3</v>
      </c>
      <c r="O88" s="40">
        <f t="shared" si="33"/>
        <v>6.4400891587586039E-3</v>
      </c>
      <c r="P88" s="41">
        <f t="shared" si="34"/>
        <v>102.86688910269912</v>
      </c>
      <c r="Q88" s="41">
        <f t="shared" si="35"/>
        <v>0.66247193730551612</v>
      </c>
      <c r="R88" s="34">
        <v>102.8669</v>
      </c>
      <c r="S88" s="34">
        <v>102.8669</v>
      </c>
      <c r="T88" s="34">
        <v>59</v>
      </c>
      <c r="U88" s="61">
        <v>813181</v>
      </c>
      <c r="V88" s="34">
        <v>807704.87</v>
      </c>
    </row>
    <row r="89" spans="1:22" ht="14.25">
      <c r="A89" s="63">
        <v>79</v>
      </c>
      <c r="B89" s="44" t="s">
        <v>129</v>
      </c>
      <c r="C89" s="44" t="s">
        <v>95</v>
      </c>
      <c r="D89" s="67">
        <v>2580693081.0500002</v>
      </c>
      <c r="E89" s="67">
        <v>21590180.239999998</v>
      </c>
      <c r="F89" s="67"/>
      <c r="G89" s="61">
        <v>4162505.26</v>
      </c>
      <c r="H89" s="35">
        <f t="shared" si="24"/>
        <v>17427674.979999997</v>
      </c>
      <c r="I89" s="51">
        <v>2561370848.27</v>
      </c>
      <c r="J89" s="64">
        <f t="shared" si="25"/>
        <v>8.6164649413758773E-3</v>
      </c>
      <c r="K89" s="67">
        <v>2577074093.9000001</v>
      </c>
      <c r="L89" s="64">
        <f t="shared" si="26"/>
        <v>8.8750793231333266E-3</v>
      </c>
      <c r="M89" s="64">
        <f t="shared" si="27"/>
        <v>6.1307973582218267E-3</v>
      </c>
      <c r="N89" s="39">
        <f t="shared" si="32"/>
        <v>1.6152058917718957E-3</v>
      </c>
      <c r="O89" s="40">
        <f t="shared" si="33"/>
        <v>6.762582038774805E-3</v>
      </c>
      <c r="P89" s="41">
        <f t="shared" si="34"/>
        <v>25.79016346726392</v>
      </c>
      <c r="Q89" s="41">
        <f t="shared" si="35"/>
        <v>0.17440809624078513</v>
      </c>
      <c r="R89" s="34">
        <v>25.790199999999999</v>
      </c>
      <c r="S89" s="34">
        <v>25.790199999999999</v>
      </c>
      <c r="T89" s="67">
        <v>1319</v>
      </c>
      <c r="U89" s="61">
        <v>100261448.92</v>
      </c>
      <c r="V89" s="61">
        <v>99924690.170000002</v>
      </c>
    </row>
    <row r="90" spans="1:22" ht="14.25">
      <c r="A90" s="99" t="s">
        <v>48</v>
      </c>
      <c r="B90" s="99"/>
      <c r="C90" s="99"/>
      <c r="D90" s="99"/>
      <c r="E90" s="99"/>
      <c r="F90" s="99"/>
      <c r="G90" s="99"/>
      <c r="H90" s="99"/>
      <c r="I90" s="46">
        <f>SUM(I58:I89)</f>
        <v>297264697958.71997</v>
      </c>
      <c r="J90" s="98">
        <f>(I90/$I$183)</f>
        <v>0.11243269364304298</v>
      </c>
      <c r="K90" s="74">
        <f>SUM(K58:K89)</f>
        <v>290371950499.95001</v>
      </c>
      <c r="L90" s="98">
        <f>(K90/$K$183)</f>
        <v>0.1013116732705929</v>
      </c>
      <c r="M90" s="64">
        <f t="shared" si="27"/>
        <v>-2.3187238532195734E-2</v>
      </c>
      <c r="N90" s="39"/>
      <c r="O90" s="39"/>
      <c r="P90" s="78"/>
      <c r="Q90" s="78"/>
      <c r="R90" s="74"/>
      <c r="S90" s="74"/>
      <c r="T90" s="74">
        <f>SUM(T58:T89)</f>
        <v>49427</v>
      </c>
      <c r="U90" s="74"/>
      <c r="V90" s="34"/>
    </row>
    <row r="91" spans="1:22" ht="6.95" customHeigh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</row>
    <row r="92" spans="1:22">
      <c r="A92" s="102" t="s">
        <v>130</v>
      </c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</row>
    <row r="93" spans="1:22" ht="13.5">
      <c r="A93" s="106" t="s">
        <v>131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</row>
    <row r="94" spans="1:22" ht="14.25">
      <c r="A94" s="63">
        <v>80</v>
      </c>
      <c r="B94" s="43" t="s">
        <v>132</v>
      </c>
      <c r="C94" s="43" t="s">
        <v>19</v>
      </c>
      <c r="D94" s="61">
        <v>2668072776.2399998</v>
      </c>
      <c r="E94" s="61">
        <v>17602257.350000001</v>
      </c>
      <c r="F94" s="61">
        <v>156764058.78999999</v>
      </c>
      <c r="G94" s="61">
        <v>5131629.68</v>
      </c>
      <c r="H94" s="35">
        <f t="shared" ref="H94:H107" si="37">(E94+F94)-G94</f>
        <v>169234686.45999998</v>
      </c>
      <c r="I94" s="49">
        <v>2356864928.8200002</v>
      </c>
      <c r="J94" s="64">
        <f t="shared" ref="J94:J107" si="38">(I94/$I$120)</f>
        <v>2.0204169331475646E-3</v>
      </c>
      <c r="K94" s="38">
        <v>2632635391.5700002</v>
      </c>
      <c r="L94" s="64">
        <f t="shared" ref="L94:L107" si="39">(K94/$K$120)</f>
        <v>1.8972759415787834E-3</v>
      </c>
      <c r="M94" s="64">
        <f t="shared" ref="M94:M107" si="40">((K94-I94)/I94)</f>
        <v>0.11700732586659883</v>
      </c>
      <c r="N94" s="39">
        <f t="shared" ref="N94" si="41">(G94/K94)</f>
        <v>1.9492367596485505E-3</v>
      </c>
      <c r="O94" s="40">
        <f t="shared" ref="O94" si="42">H94/K94</f>
        <v>6.4283374371517155E-2</v>
      </c>
      <c r="P94" s="41">
        <f t="shared" ref="P94" si="43">K94/V94</f>
        <v>168176.95915729951</v>
      </c>
      <c r="Q94" s="41">
        <f t="shared" ref="Q94" si="44">H94/V94</f>
        <v>10810.982426172035</v>
      </c>
      <c r="R94" s="34">
        <f>108.92*1544.581</f>
        <v>168235.76251999999</v>
      </c>
      <c r="S94" s="34">
        <f>108.92*1544.581</f>
        <v>168235.76251999999</v>
      </c>
      <c r="T94" s="34">
        <v>237</v>
      </c>
      <c r="U94" s="34">
        <v>16036.18</v>
      </c>
      <c r="V94" s="34">
        <v>15653.96</v>
      </c>
    </row>
    <row r="95" spans="1:22" ht="12.95" customHeight="1">
      <c r="A95" s="63">
        <v>81</v>
      </c>
      <c r="B95" s="43" t="s">
        <v>133</v>
      </c>
      <c r="C95" s="44" t="s">
        <v>23</v>
      </c>
      <c r="D95" s="34">
        <f>8695138.3*1544.581</f>
        <v>13430345410.552299</v>
      </c>
      <c r="E95" s="38">
        <f>38910.72*1544.581</f>
        <v>60100758.808320001</v>
      </c>
      <c r="F95" s="38">
        <f>1900*1544.581</f>
        <v>2934703.9</v>
      </c>
      <c r="G95" s="38">
        <f>19689.4*1544.581</f>
        <v>30411873.141400002</v>
      </c>
      <c r="H95" s="35">
        <f t="shared" si="37"/>
        <v>32623589.566919997</v>
      </c>
      <c r="I95" s="49">
        <f>10876764*1357.383</f>
        <v>14763934548.612</v>
      </c>
      <c r="J95" s="64">
        <f t="shared" si="38"/>
        <v>1.2656348268898261E-2</v>
      </c>
      <c r="K95" s="38">
        <f>10924639*1544.581</f>
        <v>16873989831.258999</v>
      </c>
      <c r="L95" s="64">
        <f t="shared" si="39"/>
        <v>1.216067179215443E-2</v>
      </c>
      <c r="M95" s="64">
        <f t="shared" si="40"/>
        <v>0.14291957714248821</v>
      </c>
      <c r="N95" s="39">
        <f t="shared" ref="N95:N107" si="45">(G95/K95)</f>
        <v>1.802292963639348E-3</v>
      </c>
      <c r="O95" s="40">
        <f t="shared" ref="O95:O107" si="46">H95/K95</f>
        <v>1.9333654869511019E-3</v>
      </c>
      <c r="P95" s="41">
        <f t="shared" ref="P95:P107" si="47">K95/V95</f>
        <v>1719.229835844629</v>
      </c>
      <c r="Q95" s="41">
        <f t="shared" ref="Q95:Q107" si="48">H95/V95</f>
        <v>3.323899628758614</v>
      </c>
      <c r="R95" s="34">
        <f>1.1131*1544.581</f>
        <v>1719.2731110999998</v>
      </c>
      <c r="S95" s="34">
        <f>1.1131*1544.581</f>
        <v>1719.2731110999998</v>
      </c>
      <c r="T95" s="34">
        <v>294</v>
      </c>
      <c r="U95" s="34">
        <v>9789828</v>
      </c>
      <c r="V95" s="34">
        <v>9814854</v>
      </c>
    </row>
    <row r="96" spans="1:22" ht="12.95" customHeight="1">
      <c r="A96" s="63">
        <v>82</v>
      </c>
      <c r="B96" s="36" t="s">
        <v>235</v>
      </c>
      <c r="C96" s="37" t="s">
        <v>103</v>
      </c>
      <c r="D96" s="34">
        <f>809211.83*1544.581</f>
        <v>1249893217.5932298</v>
      </c>
      <c r="E96" s="38">
        <f>1526.94*1544.581</f>
        <v>2358482.5121399998</v>
      </c>
      <c r="F96" s="38"/>
      <c r="G96" s="38">
        <f>376.01*1544.581</f>
        <v>580777.90180999995</v>
      </c>
      <c r="H96" s="35">
        <f t="shared" si="37"/>
        <v>1777704.6103299998</v>
      </c>
      <c r="I96" s="38">
        <v>0</v>
      </c>
      <c r="J96" s="64">
        <f t="shared" si="38"/>
        <v>0</v>
      </c>
      <c r="K96" s="38">
        <f>1380091.22*1544.581</f>
        <v>2131662676.6788199</v>
      </c>
      <c r="L96" s="64">
        <f t="shared" si="39"/>
        <v>1.5362371580108043E-3</v>
      </c>
      <c r="M96" s="64" t="e">
        <f t="shared" si="40"/>
        <v>#DIV/0!</v>
      </c>
      <c r="N96" s="39">
        <f t="shared" si="45"/>
        <v>2.7245300495426674E-4</v>
      </c>
      <c r="O96" s="40">
        <f t="shared" si="46"/>
        <v>8.3395212093299159E-4</v>
      </c>
      <c r="P96" s="41">
        <f t="shared" si="47"/>
        <v>1545.9120655279339</v>
      </c>
      <c r="Q96" s="41">
        <f t="shared" si="48"/>
        <v>1.2892166458229224</v>
      </c>
      <c r="R96" s="34">
        <f>1.0009*1544.581</f>
        <v>1545.9711228999997</v>
      </c>
      <c r="S96" s="34">
        <f>1.0009*1544.581</f>
        <v>1545.9711228999997</v>
      </c>
      <c r="T96" s="34">
        <v>179</v>
      </c>
      <c r="U96" s="34">
        <v>1378902.93</v>
      </c>
      <c r="V96" s="34">
        <v>1378902.93</v>
      </c>
    </row>
    <row r="97" spans="1:24" ht="12.95" customHeight="1">
      <c r="A97" s="63">
        <v>83</v>
      </c>
      <c r="B97" s="36" t="s">
        <v>236</v>
      </c>
      <c r="C97" s="37" t="s">
        <v>237</v>
      </c>
      <c r="D97" s="34">
        <f>259054.22*1544.581</f>
        <v>400130226.18181998</v>
      </c>
      <c r="E97" s="38">
        <f>6187.96*1544.581</f>
        <v>9557805.4447600003</v>
      </c>
      <c r="F97" s="38"/>
      <c r="G97" s="38">
        <f>604.43*1544.581</f>
        <v>933591.09382999991</v>
      </c>
      <c r="H97" s="35">
        <f t="shared" si="37"/>
        <v>8624214.3509299997</v>
      </c>
      <c r="I97" s="49">
        <f>239724.27*1357.383</f>
        <v>325397648.78540999</v>
      </c>
      <c r="J97" s="64">
        <f t="shared" si="38"/>
        <v>2.7894637133134444E-4</v>
      </c>
      <c r="K97" s="38">
        <f>258449.79*1544.581</f>
        <v>399196635.08798999</v>
      </c>
      <c r="L97" s="64">
        <f t="shared" si="39"/>
        <v>2.8769125194354125E-4</v>
      </c>
      <c r="M97" s="64">
        <f t="shared" si="40"/>
        <v>0.2267963108462662</v>
      </c>
      <c r="N97" s="39">
        <f t="shared" si="45"/>
        <v>2.3386747576773035E-3</v>
      </c>
      <c r="O97" s="40">
        <f t="shared" si="46"/>
        <v>2.1603925466528721E-2</v>
      </c>
      <c r="P97" s="41">
        <f t="shared" si="47"/>
        <v>1995.9831754399499</v>
      </c>
      <c r="Q97" s="41">
        <f t="shared" si="48"/>
        <v>43.121071754649996</v>
      </c>
      <c r="R97" s="34">
        <v>1544.5809999999999</v>
      </c>
      <c r="S97" s="34">
        <v>1544.5809999999999</v>
      </c>
      <c r="T97" s="34">
        <v>2</v>
      </c>
      <c r="U97" s="34">
        <v>200000</v>
      </c>
      <c r="V97" s="34">
        <v>200000</v>
      </c>
    </row>
    <row r="98" spans="1:24" ht="12.95" customHeight="1">
      <c r="A98" s="63">
        <v>84</v>
      </c>
      <c r="B98" s="36" t="s">
        <v>249</v>
      </c>
      <c r="C98" s="37" t="s">
        <v>45</v>
      </c>
      <c r="D98" s="34">
        <f>(232250.05+162422.65)*1544.581</f>
        <v>609603953.63869989</v>
      </c>
      <c r="E98" s="38">
        <f>2726.24*1544.581</f>
        <v>4210898.5054399995</v>
      </c>
      <c r="F98" s="34"/>
      <c r="G98" s="38">
        <f>627.27*1544.581</f>
        <v>968869.32386999996</v>
      </c>
      <c r="H98" s="35">
        <f t="shared" si="37"/>
        <v>3242029.1815699995</v>
      </c>
      <c r="I98" s="49">
        <f>471736.97*1357.383</f>
        <v>640327743.54951</v>
      </c>
      <c r="J98" s="64">
        <f t="shared" si="38"/>
        <v>5.4891945652537927E-4</v>
      </c>
      <c r="K98" s="38">
        <f>471736.97*1544.581</f>
        <v>728635960.85956991</v>
      </c>
      <c r="L98" s="64">
        <f t="shared" si="39"/>
        <v>5.2511011708445473E-4</v>
      </c>
      <c r="M98" s="64">
        <f t="shared" si="40"/>
        <v>0.1379109654386417</v>
      </c>
      <c r="N98" s="39">
        <f t="shared" si="45"/>
        <v>1.3297028638650052E-3</v>
      </c>
      <c r="O98" s="40">
        <f t="shared" si="46"/>
        <v>4.4494498703377006E-3</v>
      </c>
      <c r="P98" s="41">
        <f t="shared" si="47"/>
        <v>1708.0417224030261</v>
      </c>
      <c r="Q98" s="41">
        <f t="shared" si="48"/>
        <v>7.5998460202775275</v>
      </c>
      <c r="R98" s="34">
        <f>1.1058*1544.581</f>
        <v>1707.9976697999998</v>
      </c>
      <c r="S98" s="34">
        <f>1.1058*1357.383</f>
        <v>1500.9941213999998</v>
      </c>
      <c r="T98" s="34">
        <v>25</v>
      </c>
      <c r="U98" s="34">
        <v>361561.28</v>
      </c>
      <c r="V98" s="34">
        <v>426591.43</v>
      </c>
    </row>
    <row r="99" spans="1:24" ht="12.95" customHeight="1">
      <c r="A99" s="63">
        <v>85</v>
      </c>
      <c r="B99" s="36" t="s">
        <v>238</v>
      </c>
      <c r="C99" s="37" t="s">
        <v>170</v>
      </c>
      <c r="D99" s="34">
        <f>333612.58*1544.581</f>
        <v>515291652.42897999</v>
      </c>
      <c r="E99" s="38">
        <f>2032.95*1544.581</f>
        <v>3140055.9439499998</v>
      </c>
      <c r="F99" s="38"/>
      <c r="G99" s="38">
        <f>872.34*1544.581</f>
        <v>1347399.78954</v>
      </c>
      <c r="H99" s="35">
        <f t="shared" si="37"/>
        <v>1792656.1544099997</v>
      </c>
      <c r="I99" s="49">
        <f>372901.74*1357.383</f>
        <v>506170482.54641998</v>
      </c>
      <c r="J99" s="64">
        <f t="shared" si="38"/>
        <v>4.3391345914264103E-4</v>
      </c>
      <c r="K99" s="38">
        <f>408684.47*1544.581</f>
        <v>631246267.35706997</v>
      </c>
      <c r="L99" s="64">
        <f t="shared" si="39"/>
        <v>4.5492374679113732E-4</v>
      </c>
      <c r="M99" s="64">
        <f t="shared" si="40"/>
        <v>0.24710209133773325</v>
      </c>
      <c r="N99" s="39">
        <f t="shared" si="45"/>
        <v>2.1345073376534225E-3</v>
      </c>
      <c r="O99" s="40">
        <f t="shared" si="46"/>
        <v>2.8398681261365276E-3</v>
      </c>
      <c r="P99" s="41">
        <f t="shared" si="47"/>
        <v>162650.41673719918</v>
      </c>
      <c r="Q99" s="41">
        <f t="shared" si="48"/>
        <v>461.90573419479506</v>
      </c>
      <c r="R99" s="34">
        <f>104.26*1544.581</f>
        <v>161038.01506000001</v>
      </c>
      <c r="S99" s="34">
        <f>104.26*1544.581</f>
        <v>161038.01506000001</v>
      </c>
      <c r="T99" s="34">
        <v>33</v>
      </c>
      <c r="U99" s="34">
        <v>3559.89</v>
      </c>
      <c r="V99" s="34">
        <v>3881</v>
      </c>
    </row>
    <row r="100" spans="1:24" ht="15" customHeight="1">
      <c r="A100" s="63">
        <v>86</v>
      </c>
      <c r="B100" s="43" t="s">
        <v>134</v>
      </c>
      <c r="C100" s="44" t="s">
        <v>69</v>
      </c>
      <c r="D100" s="61">
        <f>2738125.98*1544.581</f>
        <v>4229257364.3143797</v>
      </c>
      <c r="E100" s="38">
        <f>18946.24*1544.581</f>
        <v>29264002.325440001</v>
      </c>
      <c r="F100" s="38"/>
      <c r="G100" s="38">
        <f>4416*1544.581</f>
        <v>6820869.6959999995</v>
      </c>
      <c r="H100" s="35">
        <f t="shared" si="37"/>
        <v>22443132.629440002</v>
      </c>
      <c r="I100" s="50">
        <f>2695625.2*1357.383</f>
        <v>3658995820.8516002</v>
      </c>
      <c r="J100" s="64">
        <f t="shared" si="38"/>
        <v>3.1366655867148107E-3</v>
      </c>
      <c r="K100" s="61">
        <f>2775216.38*1544.581</f>
        <v>4286546491.4367795</v>
      </c>
      <c r="L100" s="64">
        <f t="shared" si="39"/>
        <v>3.0892092223267905E-3</v>
      </c>
      <c r="M100" s="64">
        <f t="shared" si="40"/>
        <v>0.1715089880696071</v>
      </c>
      <c r="N100" s="39">
        <f t="shared" si="45"/>
        <v>1.5912272757629083E-3</v>
      </c>
      <c r="O100" s="40">
        <f t="shared" si="46"/>
        <v>5.2357142688816225E-3</v>
      </c>
      <c r="P100" s="41">
        <f t="shared" si="47"/>
        <v>167668.06782051007</v>
      </c>
      <c r="Q100" s="41">
        <f t="shared" si="48"/>
        <v>877.86209512365622</v>
      </c>
      <c r="R100" s="38">
        <f>108.45*1544.581</f>
        <v>167509.80945</v>
      </c>
      <c r="S100" s="38">
        <f>108.45*1544.581</f>
        <v>167509.80945</v>
      </c>
      <c r="T100" s="34">
        <v>47</v>
      </c>
      <c r="U100" s="34">
        <v>24947.77</v>
      </c>
      <c r="V100" s="34">
        <v>25565.67</v>
      </c>
    </row>
    <row r="101" spans="1:24" ht="15" customHeight="1">
      <c r="A101" s="63">
        <v>87</v>
      </c>
      <c r="B101" s="43" t="s">
        <v>135</v>
      </c>
      <c r="C101" s="43" t="s">
        <v>136</v>
      </c>
      <c r="D101" s="61">
        <v>53084546874.82</v>
      </c>
      <c r="E101" s="61">
        <v>311142245.76999998</v>
      </c>
      <c r="F101" s="61"/>
      <c r="G101" s="61">
        <v>79407339.040000007</v>
      </c>
      <c r="H101" s="35">
        <f t="shared" si="37"/>
        <v>231734906.72999996</v>
      </c>
      <c r="I101" s="51">
        <v>46630256206.900002</v>
      </c>
      <c r="J101" s="64">
        <f t="shared" si="38"/>
        <v>3.9973677780762357E-2</v>
      </c>
      <c r="K101" s="67">
        <v>52674822317.559998</v>
      </c>
      <c r="L101" s="64">
        <f t="shared" si="39"/>
        <v>3.7961456200907587E-2</v>
      </c>
      <c r="M101" s="64">
        <f t="shared" si="40"/>
        <v>0.12962755520450187</v>
      </c>
      <c r="N101" s="39">
        <f t="shared" si="45"/>
        <v>1.5075008428367929E-3</v>
      </c>
      <c r="O101" s="40">
        <f t="shared" si="46"/>
        <v>4.3993486173136533E-3</v>
      </c>
      <c r="P101" s="41">
        <f t="shared" si="47"/>
        <v>201897.65005122294</v>
      </c>
      <c r="Q101" s="41">
        <f t="shared" si="48"/>
        <v>888.21814759172355</v>
      </c>
      <c r="R101" s="67">
        <f>125.44*1544.581</f>
        <v>193752.24063999997</v>
      </c>
      <c r="S101" s="67">
        <f>125.44*1544.581</f>
        <v>193752.24063999997</v>
      </c>
      <c r="T101" s="34">
        <v>2079</v>
      </c>
      <c r="U101" s="34">
        <v>256873</v>
      </c>
      <c r="V101" s="34">
        <v>260898.64</v>
      </c>
    </row>
    <row r="102" spans="1:24" ht="14.25">
      <c r="A102" s="63">
        <v>88</v>
      </c>
      <c r="B102" s="43" t="s">
        <v>137</v>
      </c>
      <c r="C102" s="43" t="s">
        <v>136</v>
      </c>
      <c r="D102" s="61">
        <v>65104258502.059998</v>
      </c>
      <c r="E102" s="34">
        <v>393485546.93000001</v>
      </c>
      <c r="F102" s="34"/>
      <c r="G102" s="34">
        <v>94601949.329999998</v>
      </c>
      <c r="H102" s="35">
        <f t="shared" si="37"/>
        <v>298883597.60000002</v>
      </c>
      <c r="I102" s="51">
        <v>52989075963.610001</v>
      </c>
      <c r="J102" s="64">
        <f t="shared" si="38"/>
        <v>4.5424761105135311E-2</v>
      </c>
      <c r="K102" s="67">
        <v>64827265026.099998</v>
      </c>
      <c r="L102" s="64">
        <f t="shared" si="39"/>
        <v>4.6719424454376005E-2</v>
      </c>
      <c r="M102" s="64">
        <f t="shared" si="40"/>
        <v>0.22340810529739788</v>
      </c>
      <c r="N102" s="39">
        <f t="shared" si="45"/>
        <v>1.4592926184979801E-3</v>
      </c>
      <c r="O102" s="40">
        <f t="shared" si="46"/>
        <v>4.6104613156156904E-3</v>
      </c>
      <c r="P102" s="41">
        <f t="shared" si="47"/>
        <v>181167.77527345388</v>
      </c>
      <c r="Q102" s="41">
        <f t="shared" si="48"/>
        <v>835.26701953441579</v>
      </c>
      <c r="R102" s="67">
        <f>113.58*1544.581</f>
        <v>175433.50997999997</v>
      </c>
      <c r="S102" s="67">
        <f>113.58*1544.581</f>
        <v>175433.50997999997</v>
      </c>
      <c r="T102" s="34">
        <v>320</v>
      </c>
      <c r="U102" s="67">
        <v>322854.28000000003</v>
      </c>
      <c r="V102" s="67">
        <v>357830</v>
      </c>
    </row>
    <row r="103" spans="1:24" s="4" customFormat="1" ht="14.25">
      <c r="A103" s="63">
        <v>89</v>
      </c>
      <c r="B103" s="36" t="s">
        <v>138</v>
      </c>
      <c r="C103" s="37" t="s">
        <v>139</v>
      </c>
      <c r="D103" s="34">
        <f>100292.65*1544.581</f>
        <v>154910121.62964997</v>
      </c>
      <c r="E103" s="34">
        <f>11034.28*1544.581</f>
        <v>17043339.236680001</v>
      </c>
      <c r="F103" s="34"/>
      <c r="G103" s="34">
        <f>1816.26*1544.581</f>
        <v>2805360.6870599999</v>
      </c>
      <c r="H103" s="35">
        <f t="shared" si="37"/>
        <v>14237978.549620001</v>
      </c>
      <c r="I103" s="49">
        <f>115707.31*1357.383</f>
        <v>157059135.56973001</v>
      </c>
      <c r="J103" s="64">
        <f t="shared" si="38"/>
        <v>1.3463857564780982E-4</v>
      </c>
      <c r="K103" s="38">
        <f>116347.21*1544.581</f>
        <v>179707689.96901</v>
      </c>
      <c r="L103" s="64">
        <f t="shared" si="39"/>
        <v>1.2951093713420352E-4</v>
      </c>
      <c r="M103" s="64">
        <f t="shared" si="40"/>
        <v>0.14420399244604676</v>
      </c>
      <c r="N103" s="39">
        <f t="shared" si="45"/>
        <v>1.5610688043142589E-2</v>
      </c>
      <c r="O103" s="40">
        <f t="shared" si="46"/>
        <v>7.9228543598080264E-2</v>
      </c>
      <c r="P103" s="41">
        <f t="shared" si="47"/>
        <v>179400.9144053768</v>
      </c>
      <c r="Q103" s="41">
        <f t="shared" si="48"/>
        <v>14213.673168501862</v>
      </c>
      <c r="R103" s="67">
        <f>117.6033*1544.581</f>
        <v>181647.82271730001</v>
      </c>
      <c r="S103" s="67">
        <f>117.6033*1544.581</f>
        <v>181647.82271730001</v>
      </c>
      <c r="T103" s="34">
        <v>4</v>
      </c>
      <c r="U103" s="34">
        <v>1001.71</v>
      </c>
      <c r="V103" s="34">
        <v>1001.71</v>
      </c>
      <c r="W103" s="6"/>
      <c r="X103" s="6"/>
    </row>
    <row r="104" spans="1:24" ht="14.25">
      <c r="A104" s="63">
        <v>90</v>
      </c>
      <c r="B104" s="43" t="s">
        <v>140</v>
      </c>
      <c r="C104" s="43" t="s">
        <v>141</v>
      </c>
      <c r="D104" s="35">
        <f>10353045.32*1544.581</f>
        <v>15991117093.410919</v>
      </c>
      <c r="E104" s="35">
        <f>65405.33*1544.581</f>
        <v>101023830.01673</v>
      </c>
      <c r="F104" s="35"/>
      <c r="G104" s="35">
        <f>16344.58*1544.581</f>
        <v>25245527.72098</v>
      </c>
      <c r="H104" s="35">
        <f t="shared" si="37"/>
        <v>75778302.295749992</v>
      </c>
      <c r="I104" s="50">
        <f>11012571.93*1357.383</f>
        <v>14948277924.059191</v>
      </c>
      <c r="J104" s="64">
        <f t="shared" si="38"/>
        <v>1.2814376195196759E-2</v>
      </c>
      <c r="K104" s="61">
        <f>10290386.39*1544.581</f>
        <v>15894335300.65259</v>
      </c>
      <c r="L104" s="64">
        <f t="shared" si="39"/>
        <v>1.1454658730896542E-2</v>
      </c>
      <c r="M104" s="64">
        <f t="shared" si="40"/>
        <v>6.3288720038495117E-2</v>
      </c>
      <c r="N104" s="39">
        <f t="shared" si="45"/>
        <v>1.5883349157698634E-3</v>
      </c>
      <c r="O104" s="40">
        <f t="shared" si="46"/>
        <v>4.7676295272718128E-3</v>
      </c>
      <c r="P104" s="41">
        <f t="shared" si="47"/>
        <v>1898.9643372430007</v>
      </c>
      <c r="Q104" s="41">
        <f t="shared" si="48"/>
        <v>9.0535584454758791</v>
      </c>
      <c r="R104" s="67">
        <f>1.33*1544.581</f>
        <v>2054.2927300000001</v>
      </c>
      <c r="S104" s="67">
        <f>1.33*1544.581</f>
        <v>2054.2927300000001</v>
      </c>
      <c r="T104" s="34">
        <v>116</v>
      </c>
      <c r="U104" s="34">
        <v>8989969</v>
      </c>
      <c r="V104" s="34">
        <v>8370002</v>
      </c>
    </row>
    <row r="105" spans="1:24" ht="14.25">
      <c r="A105" s="63">
        <v>91</v>
      </c>
      <c r="B105" s="43" t="s">
        <v>142</v>
      </c>
      <c r="C105" s="43" t="s">
        <v>47</v>
      </c>
      <c r="D105" s="34">
        <f>136714699*1544.581</f>
        <v>211166926496.11899</v>
      </c>
      <c r="E105" s="38">
        <f>984110*1544.581</f>
        <v>1520037607.9099998</v>
      </c>
      <c r="F105" s="38"/>
      <c r="G105" s="34">
        <f>230361*1544.581</f>
        <v>355811223.741</v>
      </c>
      <c r="H105" s="35">
        <f t="shared" si="37"/>
        <v>1164226384.1689999</v>
      </c>
      <c r="I105" s="49">
        <f>144985955*1357.383</f>
        <v>196801470555.76501</v>
      </c>
      <c r="J105" s="64">
        <f t="shared" si="38"/>
        <v>0.16870759911484806</v>
      </c>
      <c r="K105" s="38">
        <f>144127906*1544.581</f>
        <v>222617225177.38599</v>
      </c>
      <c r="L105" s="64">
        <f t="shared" si="39"/>
        <v>0.16043478974055667</v>
      </c>
      <c r="M105" s="64">
        <f t="shared" si="40"/>
        <v>0.13117663475134403</v>
      </c>
      <c r="N105" s="39">
        <f t="shared" si="45"/>
        <v>1.5983094904605082E-3</v>
      </c>
      <c r="O105" s="40">
        <f t="shared" si="46"/>
        <v>5.2297228268896098E-3</v>
      </c>
      <c r="P105" s="41">
        <f t="shared" si="47"/>
        <v>191182.76394653306</v>
      </c>
      <c r="Q105" s="41">
        <f t="shared" si="48"/>
        <v>999.83286471903193</v>
      </c>
      <c r="R105" s="38">
        <f>124*1544.581</f>
        <v>191528.04399999999</v>
      </c>
      <c r="S105" s="38">
        <f>124*1544.581</f>
        <v>191528.04399999999</v>
      </c>
      <c r="T105" s="34">
        <v>1156</v>
      </c>
      <c r="U105" s="34">
        <v>1170971</v>
      </c>
      <c r="V105" s="34">
        <v>1164421</v>
      </c>
    </row>
    <row r="106" spans="1:24" ht="14.25">
      <c r="A106" s="63">
        <v>92</v>
      </c>
      <c r="B106" s="43" t="s">
        <v>143</v>
      </c>
      <c r="C106" s="43" t="s">
        <v>224</v>
      </c>
      <c r="D106" s="66">
        <v>16624435165.190001</v>
      </c>
      <c r="E106" s="38">
        <v>159548486.59999999</v>
      </c>
      <c r="F106" s="38"/>
      <c r="G106" s="61">
        <v>31373648.879999999</v>
      </c>
      <c r="H106" s="35">
        <f t="shared" si="37"/>
        <v>128174837.72</v>
      </c>
      <c r="I106" s="49">
        <v>13433109323.030001</v>
      </c>
      <c r="J106" s="64">
        <f t="shared" si="38"/>
        <v>1.151550146518601E-2</v>
      </c>
      <c r="K106" s="38">
        <v>17079110506.23</v>
      </c>
      <c r="L106" s="64">
        <f t="shared" si="39"/>
        <v>1.2308497246066145E-2</v>
      </c>
      <c r="M106" s="64">
        <f t="shared" si="40"/>
        <v>0.27141900624222709</v>
      </c>
      <c r="N106" s="39">
        <f t="shared" si="45"/>
        <v>1.8369603539104531E-3</v>
      </c>
      <c r="O106" s="40">
        <f t="shared" si="46"/>
        <v>7.5047724337426866E-3</v>
      </c>
      <c r="P106" s="41">
        <f t="shared" si="47"/>
        <v>169804.54068094373</v>
      </c>
      <c r="Q106" s="41">
        <f t="shared" si="48"/>
        <v>1274.3444360266849</v>
      </c>
      <c r="R106" s="38">
        <v>169804.54</v>
      </c>
      <c r="S106" s="38">
        <v>169804.54</v>
      </c>
      <c r="T106" s="34">
        <v>280</v>
      </c>
      <c r="U106" s="34">
        <v>87818</v>
      </c>
      <c r="V106" s="34">
        <v>100581</v>
      </c>
    </row>
    <row r="107" spans="1:24" ht="14.25">
      <c r="A107" s="63">
        <v>93</v>
      </c>
      <c r="B107" s="43" t="s">
        <v>144</v>
      </c>
      <c r="C107" s="43" t="s">
        <v>39</v>
      </c>
      <c r="D107" s="34">
        <f>1839284.91*1544.581</f>
        <v>2840924525.5727096</v>
      </c>
      <c r="E107" s="34">
        <f>22618.02*1544.581</f>
        <v>34935363.949620001</v>
      </c>
      <c r="F107" s="34">
        <v>0</v>
      </c>
      <c r="G107" s="34">
        <f>2021.76*1544.581</f>
        <v>3122772.08256</v>
      </c>
      <c r="H107" s="35">
        <f t="shared" si="37"/>
        <v>31812591.867060002</v>
      </c>
      <c r="I107" s="49">
        <f>1933440.69*1357.383</f>
        <v>2624419524.1142702</v>
      </c>
      <c r="J107" s="64">
        <f t="shared" si="38"/>
        <v>2.2497774825213602E-3</v>
      </c>
      <c r="K107" s="38">
        <f>1933440.69*1544.581</f>
        <v>2986355754.4008899</v>
      </c>
      <c r="L107" s="64">
        <f t="shared" si="39"/>
        <v>2.1521935562984367E-3</v>
      </c>
      <c r="M107" s="64">
        <f t="shared" si="40"/>
        <v>0.13791096543864173</v>
      </c>
      <c r="N107" s="39">
        <f t="shared" si="45"/>
        <v>1.0456798651527295E-3</v>
      </c>
      <c r="O107" s="40">
        <f t="shared" si="46"/>
        <v>1.0652646396926715E-2</v>
      </c>
      <c r="P107" s="41">
        <f t="shared" si="47"/>
        <v>210522.6030634855</v>
      </c>
      <c r="Q107" s="41">
        <f t="shared" si="48"/>
        <v>2242.6228489958717</v>
      </c>
      <c r="R107" s="61">
        <f>132.79*1544.581</f>
        <v>205104.91098999997</v>
      </c>
      <c r="S107" s="61">
        <f>136.09*1544.581</f>
        <v>210202.02828999999</v>
      </c>
      <c r="T107" s="34">
        <v>48</v>
      </c>
      <c r="U107" s="34">
        <v>14109.44</v>
      </c>
      <c r="V107" s="61">
        <v>14185.44</v>
      </c>
    </row>
    <row r="108" spans="1:24" ht="8.1" customHeight="1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</row>
    <row r="109" spans="1:24" ht="13.5">
      <c r="A109" s="106" t="s">
        <v>145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</row>
    <row r="110" spans="1:24" ht="14.25">
      <c r="A110" s="63">
        <v>94</v>
      </c>
      <c r="B110" s="43" t="s">
        <v>146</v>
      </c>
      <c r="C110" s="44" t="s">
        <v>101</v>
      </c>
      <c r="D110" s="69">
        <f>917944.25*1544.581</f>
        <v>1417839247.6092498</v>
      </c>
      <c r="E110" s="34">
        <f>7339.78*1544.581</f>
        <v>11336884.732179999</v>
      </c>
      <c r="F110" s="34"/>
      <c r="G110" s="34">
        <f>1628.43*1544.581</f>
        <v>2515242.0378299998</v>
      </c>
      <c r="H110" s="35">
        <f t="shared" ref="H110:H119" si="49">(E110+F110)-G110</f>
        <v>8821642.6943500005</v>
      </c>
      <c r="I110" s="48">
        <f>1013169.34*1357.383</f>
        <v>1375258838.23722</v>
      </c>
      <c r="J110" s="64">
        <f t="shared" ref="J110:J119" si="50">(I110/$I$120)</f>
        <v>1.1789374139596846E-3</v>
      </c>
      <c r="K110" s="34">
        <f>1083005.78*1544.581</f>
        <v>1672790150.67818</v>
      </c>
      <c r="L110" s="64">
        <f t="shared" ref="L110:L119" si="51">(K110/$K$120)</f>
        <v>1.2055389509517164E-3</v>
      </c>
      <c r="M110" s="64">
        <f t="shared" ref="M110:M120" si="52">((K110-I110)/I110)</f>
        <v>0.21634568284056968</v>
      </c>
      <c r="N110" s="39">
        <f t="shared" ref="N110" si="53">(G110/K110)</f>
        <v>1.5036207839998785E-3</v>
      </c>
      <c r="O110" s="40">
        <f t="shared" ref="O110" si="54">H110/K110</f>
        <v>5.2736098970773736E-3</v>
      </c>
      <c r="P110" s="65">
        <f t="shared" ref="P110" si="55">K110/V110</f>
        <v>163982.95761966277</v>
      </c>
      <c r="Q110" s="65">
        <f t="shared" ref="Q110" si="56">H110/V110</f>
        <v>864.78214825507303</v>
      </c>
      <c r="R110" s="34">
        <f>108.41*1544.581</f>
        <v>167448.02620999998</v>
      </c>
      <c r="S110" s="34">
        <f>108.41*1544.581</f>
        <v>167448.02620999998</v>
      </c>
      <c r="T110" s="34">
        <v>26</v>
      </c>
      <c r="U110" s="34">
        <v>9686.2999999999993</v>
      </c>
      <c r="V110" s="34">
        <v>10201</v>
      </c>
    </row>
    <row r="111" spans="1:24" ht="14.25">
      <c r="A111" s="63">
        <v>95</v>
      </c>
      <c r="B111" s="43" t="s">
        <v>147</v>
      </c>
      <c r="C111" s="44" t="s">
        <v>25</v>
      </c>
      <c r="D111" s="34">
        <f>5261246.92*1544.581</f>
        <v>8126422028.9405193</v>
      </c>
      <c r="E111" s="34">
        <f>43420.4*1544.581</f>
        <v>67066324.852399997</v>
      </c>
      <c r="F111" s="34"/>
      <c r="G111" s="34">
        <f>8156.12*1544.581</f>
        <v>12597787.985719999</v>
      </c>
      <c r="H111" s="35">
        <f t="shared" si="49"/>
        <v>54468536.866679996</v>
      </c>
      <c r="I111" s="48">
        <f>7143099.53*1357.383</f>
        <v>9695921869.3299904</v>
      </c>
      <c r="J111" s="64">
        <f t="shared" si="50"/>
        <v>8.3118062845790788E-3</v>
      </c>
      <c r="K111" s="34">
        <f>7343277.52*1544.581</f>
        <v>11342286935.119118</v>
      </c>
      <c r="L111" s="64">
        <f t="shared" si="51"/>
        <v>8.1741088011627414E-3</v>
      </c>
      <c r="M111" s="64">
        <f t="shared" si="52"/>
        <v>0.16979974549886662</v>
      </c>
      <c r="N111" s="39">
        <f t="shared" ref="N111:N119" si="57">(G111/K111)</f>
        <v>1.1106920551192789E-3</v>
      </c>
      <c r="O111" s="40">
        <f t="shared" ref="O111:O119" si="58">H111/K111</f>
        <v>4.802253476592017E-3</v>
      </c>
      <c r="P111" s="65">
        <f t="shared" ref="P111:P119" si="59">K111/V111</f>
        <v>205159.29351740741</v>
      </c>
      <c r="Q111" s="65">
        <f t="shared" ref="Q111:Q119" si="60">H111/V111</f>
        <v>985.22693054913179</v>
      </c>
      <c r="R111" s="34">
        <f>132.83*1544.581</f>
        <v>205166.69422999999</v>
      </c>
      <c r="S111" s="34">
        <f>132.99*1544.581</f>
        <v>205413.82719000001</v>
      </c>
      <c r="T111" s="34">
        <v>402</v>
      </c>
      <c r="U111" s="34">
        <v>53801.25</v>
      </c>
      <c r="V111" s="34">
        <v>55285.27</v>
      </c>
    </row>
    <row r="112" spans="1:24" ht="14.1" customHeight="1">
      <c r="A112" s="63">
        <v>96</v>
      </c>
      <c r="B112" s="43" t="s">
        <v>148</v>
      </c>
      <c r="C112" s="43" t="s">
        <v>60</v>
      </c>
      <c r="D112" s="34">
        <f>10465866.29*1544.581</f>
        <v>16165378220.074488</v>
      </c>
      <c r="E112" s="34">
        <f>74144.38*1544.581</f>
        <v>114522000.60478</v>
      </c>
      <c r="F112" s="34"/>
      <c r="G112" s="34">
        <f>18551.44*1544.581</f>
        <v>28654201.746639997</v>
      </c>
      <c r="H112" s="35">
        <f t="shared" si="49"/>
        <v>85867798.858140007</v>
      </c>
      <c r="I112" s="48">
        <f>11493491.03*1357.383</f>
        <v>15601069334.77449</v>
      </c>
      <c r="J112" s="64">
        <f t="shared" si="50"/>
        <v>1.3373980101171469E-2</v>
      </c>
      <c r="K112" s="34">
        <f>11354933.97*1544.581</f>
        <v>17538615266.31657</v>
      </c>
      <c r="L112" s="64">
        <f t="shared" si="51"/>
        <v>1.2639651088768711E-2</v>
      </c>
      <c r="M112" s="64">
        <f t="shared" si="52"/>
        <v>0.12419314919800571</v>
      </c>
      <c r="N112" s="39">
        <f t="shared" si="57"/>
        <v>1.633777884487337E-3</v>
      </c>
      <c r="O112" s="40">
        <f t="shared" si="58"/>
        <v>4.8959280738116E-3</v>
      </c>
      <c r="P112" s="65">
        <f t="shared" si="59"/>
        <v>182756.73165063583</v>
      </c>
      <c r="Q112" s="65">
        <f t="shared" si="60"/>
        <v>894.76381316640106</v>
      </c>
      <c r="R112" s="34">
        <f>115.57*1544.581</f>
        <v>178507.22616999998</v>
      </c>
      <c r="S112" s="34">
        <f>115.57*1544.581</f>
        <v>178507.22616999998</v>
      </c>
      <c r="T112" s="34">
        <v>520</v>
      </c>
      <c r="U112" s="61">
        <v>102073</v>
      </c>
      <c r="V112" s="61">
        <v>95967</v>
      </c>
    </row>
    <row r="113" spans="1:22" ht="15" customHeight="1">
      <c r="A113" s="63">
        <v>97</v>
      </c>
      <c r="B113" s="43" t="s">
        <v>149</v>
      </c>
      <c r="C113" s="44" t="s">
        <v>58</v>
      </c>
      <c r="D113" s="34">
        <f>4053823.21*1544.581</f>
        <v>6261458307.5250092</v>
      </c>
      <c r="E113" s="34">
        <f>21711.38*1544.581</f>
        <v>33534985.031780001</v>
      </c>
      <c r="F113" s="34"/>
      <c r="G113" s="34">
        <f>5225.62*1544.581</f>
        <v>8071393.3652199991</v>
      </c>
      <c r="H113" s="35">
        <f t="shared" si="49"/>
        <v>25463591.666560002</v>
      </c>
      <c r="I113" s="48">
        <f>4038849.69*1357.383</f>
        <v>5482265908.7612705</v>
      </c>
      <c r="J113" s="64">
        <f t="shared" si="50"/>
        <v>4.699659593825129E-3</v>
      </c>
      <c r="K113" s="34">
        <f>4292315.7*1544.581</f>
        <v>6629829276.2216997</v>
      </c>
      <c r="L113" s="64">
        <f t="shared" si="51"/>
        <v>4.7779558167561969E-3</v>
      </c>
      <c r="M113" s="64">
        <f t="shared" si="52"/>
        <v>0.20932282135868224</v>
      </c>
      <c r="N113" s="39">
        <f t="shared" si="57"/>
        <v>1.2174360800162019E-3</v>
      </c>
      <c r="O113" s="40">
        <f t="shared" si="58"/>
        <v>3.8407612934901322E-3</v>
      </c>
      <c r="P113" s="65">
        <f t="shared" si="59"/>
        <v>1862.9473828016596</v>
      </c>
      <c r="Q113" s="65">
        <f t="shared" si="60"/>
        <v>7.1551361996733585</v>
      </c>
      <c r="R113" s="34">
        <f>1.21*1544.581</f>
        <v>1868.9430099999997</v>
      </c>
      <c r="S113" s="34">
        <f>1.21*1544.581</f>
        <v>1868.9430099999997</v>
      </c>
      <c r="T113" s="34">
        <v>168</v>
      </c>
      <c r="U113" s="34">
        <v>3361836.25</v>
      </c>
      <c r="V113" s="34">
        <v>3558785.04</v>
      </c>
    </row>
    <row r="114" spans="1:22" ht="15" customHeight="1">
      <c r="A114" s="63">
        <v>98</v>
      </c>
      <c r="B114" s="36" t="s">
        <v>229</v>
      </c>
      <c r="C114" s="37" t="s">
        <v>230</v>
      </c>
      <c r="D114" s="34">
        <f>914565*1544.581</f>
        <v>1412619722.2649999</v>
      </c>
      <c r="E114" s="34">
        <f>46084.42*1544.581</f>
        <v>71181119.528019994</v>
      </c>
      <c r="F114" s="34">
        <v>0</v>
      </c>
      <c r="G114" s="34">
        <f>3932.78 *1544.581</f>
        <v>6074497.2651800001</v>
      </c>
      <c r="H114" s="35">
        <f t="shared" si="49"/>
        <v>65106622.262839995</v>
      </c>
      <c r="I114" s="34">
        <v>0</v>
      </c>
      <c r="J114" s="64">
        <f t="shared" si="50"/>
        <v>0</v>
      </c>
      <c r="K114" s="34">
        <f>906740.16*1544.581</f>
        <v>1400533623.0729599</v>
      </c>
      <c r="L114" s="64">
        <f t="shared" si="51"/>
        <v>1.0093303299564952E-3</v>
      </c>
      <c r="M114" s="64" t="e">
        <f t="shared" si="52"/>
        <v>#DIV/0!</v>
      </c>
      <c r="N114" s="39">
        <f t="shared" si="57"/>
        <v>4.3372734257187866E-3</v>
      </c>
      <c r="O114" s="40">
        <f t="shared" si="58"/>
        <v>4.6487011229325061E-2</v>
      </c>
      <c r="P114" s="65">
        <f t="shared" si="59"/>
        <v>1604.9493996676017</v>
      </c>
      <c r="Q114" s="65">
        <f t="shared" si="60"/>
        <v>74.60930076484631</v>
      </c>
      <c r="R114" s="34">
        <f>1.0391*1544.581</f>
        <v>1604.9741170999998</v>
      </c>
      <c r="S114" s="34">
        <f>1.0481*1544.581</f>
        <v>1618.8753460999999</v>
      </c>
      <c r="T114" s="34">
        <v>36</v>
      </c>
      <c r="U114" s="34">
        <v>864511.34</v>
      </c>
      <c r="V114" s="34">
        <v>872634.13</v>
      </c>
    </row>
    <row r="115" spans="1:22" ht="14.25">
      <c r="A115" s="63">
        <v>99</v>
      </c>
      <c r="B115" s="44" t="s">
        <v>150</v>
      </c>
      <c r="C115" s="44" t="s">
        <v>41</v>
      </c>
      <c r="D115" s="34">
        <f>11462900.74*1544.581</f>
        <v>17705378687.889938</v>
      </c>
      <c r="E115" s="34">
        <f>101222.73*1544.581</f>
        <v>156346705.52612999</v>
      </c>
      <c r="F115" s="34"/>
      <c r="G115" s="34">
        <f>17941.12*1544.581</f>
        <v>27711513.070719998</v>
      </c>
      <c r="H115" s="35">
        <f t="shared" si="49"/>
        <v>128635192.45540999</v>
      </c>
      <c r="I115" s="48">
        <f>11365949.26*1357.383</f>
        <v>15427946304.38658</v>
      </c>
      <c r="J115" s="64">
        <f t="shared" si="50"/>
        <v>1.322557078936221E-2</v>
      </c>
      <c r="K115" s="34">
        <f>11447522.61*1544.581</f>
        <v>17681625920.476406</v>
      </c>
      <c r="L115" s="64">
        <f t="shared" si="51"/>
        <v>1.2742715369677391E-2</v>
      </c>
      <c r="M115" s="64">
        <f t="shared" si="52"/>
        <v>0.14607774564583784</v>
      </c>
      <c r="N115" s="39">
        <f t="shared" si="57"/>
        <v>1.5672491430003825E-3</v>
      </c>
      <c r="O115" s="40">
        <f t="shared" si="58"/>
        <v>7.27507713566333E-3</v>
      </c>
      <c r="P115" s="65">
        <f t="shared" si="59"/>
        <v>1591.4000585088518</v>
      </c>
      <c r="Q115" s="65">
        <f t="shared" si="60"/>
        <v>11.577558179351033</v>
      </c>
      <c r="R115" s="34">
        <f>1.0303*1544.581</f>
        <v>1591.3818042999999</v>
      </c>
      <c r="S115" s="34">
        <f>1.0303*1544.581</f>
        <v>1591.3818042999999</v>
      </c>
      <c r="T115" s="34">
        <v>409</v>
      </c>
      <c r="U115" s="34">
        <v>10898555</v>
      </c>
      <c r="V115" s="34">
        <v>11110736</v>
      </c>
    </row>
    <row r="116" spans="1:22" ht="14.25">
      <c r="A116" s="63">
        <v>100</v>
      </c>
      <c r="B116" s="43" t="s">
        <v>151</v>
      </c>
      <c r="C116" s="44" t="s">
        <v>84</v>
      </c>
      <c r="D116" s="34">
        <f>(200000+73569.75)*1544.581</f>
        <v>422550638.02474999</v>
      </c>
      <c r="E116" s="34">
        <f>1352.83*1544.581</f>
        <v>2089555.5142299999</v>
      </c>
      <c r="F116" s="34"/>
      <c r="G116" s="34">
        <f>94.64*1544.581</f>
        <v>146179.14583999998</v>
      </c>
      <c r="H116" s="35">
        <f t="shared" si="49"/>
        <v>1943376.36839</v>
      </c>
      <c r="I116" s="48">
        <f>261169.04*1357.383</f>
        <v>354506415.02232003</v>
      </c>
      <c r="J116" s="64">
        <f t="shared" si="50"/>
        <v>3.0389979292497481E-4</v>
      </c>
      <c r="K116" s="34">
        <f>265286.79*1544.581</f>
        <v>409756935.38498992</v>
      </c>
      <c r="L116" s="64">
        <f t="shared" si="51"/>
        <v>2.9530180209929094E-4</v>
      </c>
      <c r="M116" s="64">
        <f t="shared" si="52"/>
        <v>0.15585196211242403</v>
      </c>
      <c r="N116" s="39">
        <f t="shared" si="57"/>
        <v>3.5674599553185444E-4</v>
      </c>
      <c r="O116" s="40">
        <f t="shared" si="58"/>
        <v>4.742754058730177E-3</v>
      </c>
      <c r="P116" s="65">
        <f t="shared" si="59"/>
        <v>1567.038015125112</v>
      </c>
      <c r="Q116" s="65">
        <f t="shared" si="60"/>
        <v>7.4320759064191062</v>
      </c>
      <c r="R116" s="34">
        <f>1.0083*1544.581</f>
        <v>1557.4010222999998</v>
      </c>
      <c r="S116" s="34">
        <f>1.0083*1544.581</f>
        <v>1557.4010222999998</v>
      </c>
      <c r="T116" s="34">
        <v>3</v>
      </c>
      <c r="U116" s="34">
        <v>261485</v>
      </c>
      <c r="V116" s="34">
        <v>261485</v>
      </c>
    </row>
    <row r="117" spans="1:22" ht="14.25">
      <c r="A117" s="63">
        <v>101</v>
      </c>
      <c r="B117" s="43" t="s">
        <v>152</v>
      </c>
      <c r="C117" s="43" t="s">
        <v>43</v>
      </c>
      <c r="D117" s="34">
        <f>535824697.38*1544.581</f>
        <v>827624646903.89771</v>
      </c>
      <c r="E117" s="61">
        <f>3953018.42*1544.581</f>
        <v>6105757144.1820192</v>
      </c>
      <c r="F117" s="61"/>
      <c r="G117" s="34">
        <f>723534.26*1544.581</f>
        <v>1117557270.8450599</v>
      </c>
      <c r="H117" s="35">
        <f t="shared" si="49"/>
        <v>4988199873.3369598</v>
      </c>
      <c r="I117" s="48">
        <f>512102590.2*1357.383</f>
        <v>695119350193.44666</v>
      </c>
      <c r="J117" s="64">
        <f t="shared" si="50"/>
        <v>0.59588943282911033</v>
      </c>
      <c r="K117" s="34">
        <f>537086231.86*1544.581</f>
        <v>829573189092.55066</v>
      </c>
      <c r="L117" s="64">
        <f t="shared" si="51"/>
        <v>0.59785310889764109</v>
      </c>
      <c r="M117" s="64">
        <f t="shared" si="52"/>
        <v>0.19342554463731512</v>
      </c>
      <c r="N117" s="39">
        <f t="shared" si="57"/>
        <v>1.3471472867481744E-3</v>
      </c>
      <c r="O117" s="40">
        <f t="shared" si="58"/>
        <v>6.0129714158113365E-3</v>
      </c>
      <c r="P117" s="65">
        <f t="shared" si="59"/>
        <v>2290.2229539709256</v>
      </c>
      <c r="Q117" s="65">
        <f t="shared" si="60"/>
        <v>13.771045158062178</v>
      </c>
      <c r="R117" s="34">
        <f>1.4827*1544.581</f>
        <v>2290.1502486999998</v>
      </c>
      <c r="S117" s="34">
        <f>1.4827*1544.581</f>
        <v>2290.1502486999998</v>
      </c>
      <c r="T117" s="34">
        <v>6734</v>
      </c>
      <c r="U117" s="34">
        <v>347440929.49000001</v>
      </c>
      <c r="V117" s="34">
        <v>362223768.5</v>
      </c>
    </row>
    <row r="118" spans="1:22" ht="14.25">
      <c r="A118" s="63">
        <v>102</v>
      </c>
      <c r="B118" s="43" t="s">
        <v>153</v>
      </c>
      <c r="C118" s="43" t="s">
        <v>47</v>
      </c>
      <c r="D118" s="34">
        <f>18016642*1544.581</f>
        <v>27828162917.001999</v>
      </c>
      <c r="E118" s="34">
        <f>226261*1544.581</f>
        <v>349478441.64099997</v>
      </c>
      <c r="F118" s="34"/>
      <c r="G118" s="61">
        <f>50238*1544.581</f>
        <v>77596660.277999997</v>
      </c>
      <c r="H118" s="35">
        <f t="shared" si="49"/>
        <v>271881781.36299998</v>
      </c>
      <c r="I118" s="48">
        <f>23803377*1357.383</f>
        <v>32310299282.391003</v>
      </c>
      <c r="J118" s="64">
        <f t="shared" si="50"/>
        <v>2.7697928288954572E-2</v>
      </c>
      <c r="K118" s="34">
        <f>29872706*1544.581</f>
        <v>46140814106.185997</v>
      </c>
      <c r="L118" s="64">
        <f t="shared" si="51"/>
        <v>3.3252556282136407E-2</v>
      </c>
      <c r="M118" s="64">
        <f t="shared" si="52"/>
        <v>0.42805282312357212</v>
      </c>
      <c r="N118" s="39">
        <f t="shared" si="57"/>
        <v>1.681735829355399E-3</v>
      </c>
      <c r="O118" s="40">
        <f t="shared" si="58"/>
        <v>5.8924357237673747E-3</v>
      </c>
      <c r="P118" s="65">
        <f t="shared" si="59"/>
        <v>1691.6490583864534</v>
      </c>
      <c r="Q118" s="65">
        <f t="shared" si="60"/>
        <v>9.9679333437137778</v>
      </c>
      <c r="R118" s="34">
        <f>1.1*1544.581</f>
        <v>1699.0391</v>
      </c>
      <c r="S118" s="34">
        <f>1.1*1544.581</f>
        <v>1699.0391</v>
      </c>
      <c r="T118" s="34">
        <v>136</v>
      </c>
      <c r="U118" s="34">
        <v>23164376</v>
      </c>
      <c r="V118" s="34">
        <v>27275642</v>
      </c>
    </row>
    <row r="119" spans="1:22" ht="14.25">
      <c r="A119" s="63">
        <v>103</v>
      </c>
      <c r="B119" s="44" t="s">
        <v>154</v>
      </c>
      <c r="C119" s="44" t="s">
        <v>33</v>
      </c>
      <c r="D119" s="34">
        <f>33675917.37*1544.581</f>
        <v>52015182127.271965</v>
      </c>
      <c r="E119" s="34">
        <f>185989.15*1544.581</f>
        <v>287275307.29614997</v>
      </c>
      <c r="F119" s="34"/>
      <c r="G119" s="34">
        <f>62076.6*1544.581</f>
        <v>95882336.904599994</v>
      </c>
      <c r="H119" s="35">
        <f t="shared" si="49"/>
        <v>191392970.39154997</v>
      </c>
      <c r="I119" s="48">
        <f>30442450.48*1357.383</f>
        <v>41322064759.893845</v>
      </c>
      <c r="J119" s="64">
        <f t="shared" si="50"/>
        <v>3.5423243111054818E-2</v>
      </c>
      <c r="K119" s="34">
        <f>33183628.69*1544.581</f>
        <v>51254802385.628891</v>
      </c>
      <c r="L119" s="64">
        <f t="shared" si="51"/>
        <v>3.6938082564724521E-2</v>
      </c>
      <c r="M119" s="64">
        <f t="shared" si="52"/>
        <v>0.24037370067179004</v>
      </c>
      <c r="N119" s="39">
        <f t="shared" si="57"/>
        <v>1.8706995723679549E-3</v>
      </c>
      <c r="O119" s="40">
        <f t="shared" si="58"/>
        <v>3.7341470746790708E-3</v>
      </c>
      <c r="P119" s="65">
        <f t="shared" si="59"/>
        <v>1699.5251016033571</v>
      </c>
      <c r="Q119" s="65">
        <f t="shared" si="60"/>
        <v>6.346276686495826</v>
      </c>
      <c r="R119" s="34">
        <f>1.1*1544.581</f>
        <v>1699.0391</v>
      </c>
      <c r="S119" s="34">
        <f>1.1*1544.581</f>
        <v>1699.0391</v>
      </c>
      <c r="T119" s="34">
        <v>1370</v>
      </c>
      <c r="U119" s="34">
        <v>27784347.27</v>
      </c>
      <c r="V119" s="34">
        <v>30158308.539999999</v>
      </c>
    </row>
    <row r="120" spans="1:22" ht="15" customHeight="1">
      <c r="A120" s="99" t="s">
        <v>48</v>
      </c>
      <c r="B120" s="99"/>
      <c r="C120" s="99"/>
      <c r="D120" s="99"/>
      <c r="E120" s="99"/>
      <c r="F120" s="99"/>
      <c r="G120" s="99"/>
      <c r="H120" s="99"/>
      <c r="I120" s="46">
        <f>SUM(I94:I119)</f>
        <v>1166524042712.4565</v>
      </c>
      <c r="J120" s="98">
        <f>(I120/$I$183)</f>
        <v>0.44120758779014746</v>
      </c>
      <c r="K120" s="74">
        <f>SUM(K94:K119)</f>
        <v>1387586978718.1831</v>
      </c>
      <c r="L120" s="98">
        <f>(K120/$K$183)</f>
        <v>0.48413339642614661</v>
      </c>
      <c r="M120" s="64">
        <f t="shared" si="52"/>
        <v>0.18950568347627078</v>
      </c>
      <c r="N120" s="39"/>
      <c r="O120" s="39"/>
      <c r="P120" s="73"/>
      <c r="Q120" s="73"/>
      <c r="R120" s="46"/>
      <c r="S120" s="46"/>
      <c r="T120" s="79">
        <f>SUM(T94:T119)</f>
        <v>14624</v>
      </c>
      <c r="U120" s="79"/>
      <c r="V120" s="74"/>
    </row>
    <row r="121" spans="1:22" ht="6.95" customHeight="1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</row>
    <row r="122" spans="1:22">
      <c r="A122" s="102" t="s">
        <v>155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</row>
    <row r="123" spans="1:22" ht="14.25">
      <c r="A123" s="63">
        <v>104</v>
      </c>
      <c r="B123" s="80" t="s">
        <v>217</v>
      </c>
      <c r="C123" s="80" t="s">
        <v>218</v>
      </c>
      <c r="D123" s="47" t="s">
        <v>219</v>
      </c>
      <c r="E123" s="47" t="s">
        <v>220</v>
      </c>
      <c r="F123" s="60"/>
      <c r="G123" s="47" t="s">
        <v>221</v>
      </c>
      <c r="H123" s="35">
        <f t="shared" ref="H123:H127" si="61">(E123+F123)-G123</f>
        <v>21054589.720000003</v>
      </c>
      <c r="I123" s="51" t="s">
        <v>252</v>
      </c>
      <c r="J123" s="64">
        <f>(I123/$I$128)</f>
        <v>2.244015965894134E-2</v>
      </c>
      <c r="K123" s="47" t="s">
        <v>222</v>
      </c>
      <c r="L123" s="64">
        <f>(K123/$K$128)</f>
        <v>2.2541569123856554E-2</v>
      </c>
      <c r="M123" s="64">
        <f>((K123-I123)/I123)</f>
        <v>8.9311711777134602E-3</v>
      </c>
      <c r="N123" s="39">
        <f>(G123/K123)</f>
        <v>1.5504954299887122E-3</v>
      </c>
      <c r="O123" s="40">
        <f>H123/K123</f>
        <v>9.520697137566576E-3</v>
      </c>
      <c r="P123" s="65">
        <f>K123/V123</f>
        <v>104.21558082940621</v>
      </c>
      <c r="Q123" s="65">
        <f>H123/V123</f>
        <v>0.99220498209236585</v>
      </c>
      <c r="R123" s="34">
        <v>104.22</v>
      </c>
      <c r="S123" s="34">
        <v>104.22</v>
      </c>
      <c r="T123" s="34">
        <v>7</v>
      </c>
      <c r="U123" s="47" t="s">
        <v>223</v>
      </c>
      <c r="V123" s="47" t="s">
        <v>223</v>
      </c>
    </row>
    <row r="124" spans="1:22" ht="14.25">
      <c r="A124" s="63">
        <v>105</v>
      </c>
      <c r="B124" s="43" t="s">
        <v>156</v>
      </c>
      <c r="C124" s="43" t="s">
        <v>41</v>
      </c>
      <c r="D124" s="34">
        <v>37053896089</v>
      </c>
      <c r="E124" s="34">
        <v>368221420</v>
      </c>
      <c r="F124" s="34"/>
      <c r="G124" s="34">
        <v>101684927</v>
      </c>
      <c r="H124" s="35">
        <f t="shared" si="61"/>
        <v>266536493</v>
      </c>
      <c r="I124" s="48">
        <v>53998882866</v>
      </c>
      <c r="J124" s="64">
        <f t="shared" ref="J124:J127" si="62">(I124/$I$128)</f>
        <v>0.55283333787666677</v>
      </c>
      <c r="K124" s="34">
        <v>54331355296</v>
      </c>
      <c r="L124" s="64">
        <f t="shared" ref="L124:L127" si="63">(K124/$K$128)</f>
        <v>0.55380471615456861</v>
      </c>
      <c r="M124" s="64">
        <f t="shared" ref="M124:M128" si="64">((K124-I124)/I124)</f>
        <v>6.1570242263167046E-3</v>
      </c>
      <c r="N124" s="39">
        <f t="shared" ref="N124:N127" si="65">(G124/K124)</f>
        <v>1.8715698595408732E-3</v>
      </c>
      <c r="O124" s="40">
        <f t="shared" ref="O124:O127" si="66">H124/K124</f>
        <v>4.90575822281435E-3</v>
      </c>
      <c r="P124" s="65">
        <f t="shared" ref="P124:P127" si="67">K124/V124</f>
        <v>102.38680876211725</v>
      </c>
      <c r="Q124" s="65">
        <f t="shared" ref="Q124:Q127" si="68">H124/V124</f>
        <v>0.50228492899247712</v>
      </c>
      <c r="R124" s="34">
        <v>101.39</v>
      </c>
      <c r="S124" s="34">
        <v>101.39</v>
      </c>
      <c r="T124" s="34">
        <v>661</v>
      </c>
      <c r="U124" s="34">
        <v>530648000</v>
      </c>
      <c r="V124" s="34">
        <v>530648000</v>
      </c>
    </row>
    <row r="125" spans="1:22" ht="14.25">
      <c r="A125" s="63">
        <v>106</v>
      </c>
      <c r="B125" s="43" t="s">
        <v>157</v>
      </c>
      <c r="C125" s="43" t="s">
        <v>122</v>
      </c>
      <c r="D125" s="34">
        <v>2945170525.98</v>
      </c>
      <c r="E125" s="34">
        <v>28074970.050000001</v>
      </c>
      <c r="F125" s="34"/>
      <c r="G125" s="34">
        <v>15522049.24</v>
      </c>
      <c r="H125" s="35">
        <f t="shared" si="61"/>
        <v>12552920.810000001</v>
      </c>
      <c r="I125" s="48">
        <v>2619778046.27</v>
      </c>
      <c r="J125" s="64">
        <f t="shared" si="62"/>
        <v>2.6820937118448587E-2</v>
      </c>
      <c r="K125" s="34">
        <v>2628630494.3499999</v>
      </c>
      <c r="L125" s="64">
        <f t="shared" si="63"/>
        <v>2.6793882774831509E-2</v>
      </c>
      <c r="M125" s="64">
        <f t="shared" si="64"/>
        <v>3.3790832366901863E-3</v>
      </c>
      <c r="N125" s="39">
        <f t="shared" si="65"/>
        <v>5.9049947390335845E-3</v>
      </c>
      <c r="O125" s="40">
        <f t="shared" si="66"/>
        <v>4.7754603916303007E-3</v>
      </c>
      <c r="P125" s="65">
        <f t="shared" si="67"/>
        <v>131.4315247175</v>
      </c>
      <c r="Q125" s="65">
        <f t="shared" si="68"/>
        <v>0.62764604050000006</v>
      </c>
      <c r="R125" s="67">
        <v>101.35</v>
      </c>
      <c r="S125" s="67">
        <v>101.35</v>
      </c>
      <c r="T125" s="34">
        <v>2771</v>
      </c>
      <c r="U125" s="34">
        <v>20000000</v>
      </c>
      <c r="V125" s="34">
        <v>20000000</v>
      </c>
    </row>
    <row r="126" spans="1:22" ht="14.25">
      <c r="A126" s="63">
        <v>107</v>
      </c>
      <c r="B126" s="43" t="s">
        <v>158</v>
      </c>
      <c r="C126" s="43" t="s">
        <v>122</v>
      </c>
      <c r="D126" s="34">
        <v>11642659014.18</v>
      </c>
      <c r="E126" s="34">
        <v>59714781.32</v>
      </c>
      <c r="F126" s="34">
        <v>0</v>
      </c>
      <c r="G126" s="67" t="s">
        <v>212</v>
      </c>
      <c r="H126" s="35">
        <f t="shared" si="61"/>
        <v>43228026.590000004</v>
      </c>
      <c r="I126" s="50">
        <v>10899205692</v>
      </c>
      <c r="J126" s="64">
        <f t="shared" si="62"/>
        <v>0.1115846095902588</v>
      </c>
      <c r="K126" s="61">
        <v>10942433719</v>
      </c>
      <c r="L126" s="64">
        <f t="shared" si="63"/>
        <v>0.11153727652800012</v>
      </c>
      <c r="M126" s="64">
        <f t="shared" si="64"/>
        <v>3.9661630600961416E-3</v>
      </c>
      <c r="N126" s="39">
        <f t="shared" si="65"/>
        <v>1.5066807945450988E-3</v>
      </c>
      <c r="O126" s="40">
        <f t="shared" si="66"/>
        <v>3.950494716265962E-3</v>
      </c>
      <c r="P126" s="65">
        <f t="shared" si="67"/>
        <v>58.165121859711562</v>
      </c>
      <c r="Q126" s="65">
        <f t="shared" si="68"/>
        <v>0.22978100657775635</v>
      </c>
      <c r="R126" s="67">
        <v>36.6</v>
      </c>
      <c r="S126" s="67">
        <v>36.6</v>
      </c>
      <c r="T126" s="34">
        <v>5274</v>
      </c>
      <c r="U126" s="34">
        <v>188127066</v>
      </c>
      <c r="V126" s="34">
        <v>188127066</v>
      </c>
    </row>
    <row r="127" spans="1:22" ht="15.95" customHeight="1">
      <c r="A127" s="63">
        <v>108</v>
      </c>
      <c r="B127" s="43" t="s">
        <v>159</v>
      </c>
      <c r="C127" s="44" t="s">
        <v>160</v>
      </c>
      <c r="D127" s="61">
        <v>30346773434.990002</v>
      </c>
      <c r="E127" s="61">
        <v>169029316.65000001</v>
      </c>
      <c r="F127" s="61"/>
      <c r="G127" s="61">
        <v>35885566.240000002</v>
      </c>
      <c r="H127" s="35">
        <f t="shared" si="61"/>
        <v>133143750.41</v>
      </c>
      <c r="I127" s="50">
        <v>30158737113.950001</v>
      </c>
      <c r="J127" s="64">
        <f t="shared" si="62"/>
        <v>0.30876111541462586</v>
      </c>
      <c r="K127" s="61">
        <v>30203200957.84</v>
      </c>
      <c r="L127" s="64">
        <f t="shared" si="63"/>
        <v>0.3078641245425997</v>
      </c>
      <c r="M127" s="64">
        <f t="shared" si="64"/>
        <v>1.4743271152900007E-3</v>
      </c>
      <c r="N127" s="39">
        <f t="shared" si="65"/>
        <v>1.1881378496965238E-3</v>
      </c>
      <c r="O127" s="40">
        <f t="shared" si="66"/>
        <v>4.4082662164137004E-3</v>
      </c>
      <c r="P127" s="65">
        <f t="shared" si="67"/>
        <v>11.319396694314424</v>
      </c>
      <c r="Q127" s="65">
        <f t="shared" si="68"/>
        <v>4.9898914037731196E-2</v>
      </c>
      <c r="R127" s="67">
        <v>11.32</v>
      </c>
      <c r="S127" s="67">
        <v>11.32</v>
      </c>
      <c r="T127" s="48">
        <v>208300</v>
      </c>
      <c r="U127" s="61">
        <v>2668269500</v>
      </c>
      <c r="V127" s="61">
        <v>2668269500</v>
      </c>
    </row>
    <row r="128" spans="1:22" ht="15" customHeight="1">
      <c r="A128" s="99" t="s">
        <v>48</v>
      </c>
      <c r="B128" s="99"/>
      <c r="C128" s="99"/>
      <c r="D128" s="99"/>
      <c r="E128" s="99"/>
      <c r="F128" s="99"/>
      <c r="G128" s="99"/>
      <c r="H128" s="99"/>
      <c r="I128" s="46">
        <f>SUM(I124:I127)</f>
        <v>97676603718.220001</v>
      </c>
      <c r="J128" s="98">
        <f>(I128/$I$183)</f>
        <v>3.6943652365571435E-2</v>
      </c>
      <c r="K128" s="74">
        <f>SUM(K124:K127)</f>
        <v>98105620467.190002</v>
      </c>
      <c r="L128" s="98">
        <f>(K128/$K$183)</f>
        <v>3.422935496926538E-2</v>
      </c>
      <c r="M128" s="64">
        <f t="shared" si="64"/>
        <v>4.3922160746665585E-3</v>
      </c>
      <c r="N128" s="39"/>
      <c r="O128" s="39"/>
      <c r="P128" s="78"/>
      <c r="Q128" s="78"/>
      <c r="R128" s="74"/>
      <c r="S128" s="74"/>
      <c r="T128" s="74">
        <f>SUM(T124:T127)</f>
        <v>217006</v>
      </c>
      <c r="U128" s="74"/>
      <c r="V128" s="74"/>
    </row>
    <row r="129" spans="1:22" ht="8.1" customHeight="1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</row>
    <row r="130" spans="1:22">
      <c r="A130" s="102" t="s">
        <v>161</v>
      </c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</row>
    <row r="131" spans="1:22" ht="14.25">
      <c r="A131" s="63">
        <v>109</v>
      </c>
      <c r="B131" s="43" t="s">
        <v>162</v>
      </c>
      <c r="C131" s="43" t="s">
        <v>52</v>
      </c>
      <c r="D131" s="38">
        <v>164953391.63999999</v>
      </c>
      <c r="E131" s="38">
        <v>19863584.73</v>
      </c>
      <c r="F131" s="38">
        <v>-7859091.3499999996</v>
      </c>
      <c r="G131" s="34">
        <v>543493.96</v>
      </c>
      <c r="H131" s="35">
        <f t="shared" ref="H131:H156" si="69">(E131+F131)-G131</f>
        <v>11460999.420000002</v>
      </c>
      <c r="I131" s="48">
        <v>250256570.41999999</v>
      </c>
      <c r="J131" s="64">
        <f t="shared" ref="J131:J156" si="70">(I131/$I$157)</f>
        <v>5.4182261779509759E-3</v>
      </c>
      <c r="K131" s="34">
        <v>235204608.49000001</v>
      </c>
      <c r="L131" s="64">
        <f t="shared" ref="L131:L156" si="71">(K131/$K$157)</f>
        <v>4.8225888035325487E-3</v>
      </c>
      <c r="M131" s="64">
        <f t="shared" ref="M131:M157" si="72">((K131-I131)/I131)</f>
        <v>-6.014612085804024E-2</v>
      </c>
      <c r="N131" s="39">
        <f t="shared" ref="N131" si="73">(G131/K131)</f>
        <v>2.3107283632289341E-3</v>
      </c>
      <c r="O131" s="40">
        <f t="shared" ref="O131" si="74">H131/K131</f>
        <v>4.8727784262302322E-2</v>
      </c>
      <c r="P131" s="65">
        <f t="shared" ref="P131" si="75">K131/V131</f>
        <v>5.3252526034058363</v>
      </c>
      <c r="Q131" s="65">
        <f t="shared" ref="Q131" si="76">H131/V131</f>
        <v>0.25948776000102342</v>
      </c>
      <c r="R131" s="34">
        <v>5.2944000000000004</v>
      </c>
      <c r="S131" s="34">
        <v>5.3451000000000004</v>
      </c>
      <c r="T131" s="34">
        <v>11832</v>
      </c>
      <c r="U131" s="34">
        <v>44175042.380000003</v>
      </c>
      <c r="V131" s="34">
        <v>44167784.329999998</v>
      </c>
    </row>
    <row r="132" spans="1:22" ht="14.25">
      <c r="A132" s="63">
        <v>110</v>
      </c>
      <c r="B132" s="36" t="s">
        <v>232</v>
      </c>
      <c r="C132" s="36" t="s">
        <v>233</v>
      </c>
      <c r="D132" s="38">
        <v>514725676.44</v>
      </c>
      <c r="E132" s="38">
        <v>5473099.0499999998</v>
      </c>
      <c r="F132" s="38">
        <v>-24397978.850000001</v>
      </c>
      <c r="G132" s="34">
        <v>1211877.1599999999</v>
      </c>
      <c r="H132" s="35">
        <f t="shared" si="69"/>
        <v>-20136756.960000001</v>
      </c>
      <c r="I132" s="48">
        <v>608792235.08000004</v>
      </c>
      <c r="J132" s="64">
        <f t="shared" si="70"/>
        <v>1.3180768918505588E-2</v>
      </c>
      <c r="K132" s="34">
        <v>582270460.34000003</v>
      </c>
      <c r="L132" s="64">
        <f t="shared" si="71"/>
        <v>1.1938758431184459E-2</v>
      </c>
      <c r="M132" s="64">
        <f t="shared" si="72"/>
        <v>-4.3564574598286131E-2</v>
      </c>
      <c r="N132" s="39">
        <f t="shared" ref="N132:N156" si="77">(G132/K132)</f>
        <v>2.0812959656108247E-3</v>
      </c>
      <c r="O132" s="40">
        <f t="shared" ref="O132:O156" si="78">H132/K132</f>
        <v>-3.4583167671328754E-2</v>
      </c>
      <c r="P132" s="65">
        <f t="shared" ref="P132:P156" si="79">K132/V132</f>
        <v>1117.9514134748492</v>
      </c>
      <c r="Q132" s="65">
        <f t="shared" ref="Q132:Q156" si="80">H132/V132</f>
        <v>-38.662301180599691</v>
      </c>
      <c r="R132" s="34">
        <v>1117.145</v>
      </c>
      <c r="S132" s="34">
        <v>1127.9966999999999</v>
      </c>
      <c r="T132" s="34">
        <v>181</v>
      </c>
      <c r="U132" s="34">
        <v>520563</v>
      </c>
      <c r="V132" s="34">
        <v>520837</v>
      </c>
    </row>
    <row r="133" spans="1:22" ht="14.25">
      <c r="A133" s="63">
        <v>111</v>
      </c>
      <c r="B133" s="43" t="s">
        <v>163</v>
      </c>
      <c r="C133" s="44" t="s">
        <v>55</v>
      </c>
      <c r="D133" s="38">
        <v>6218050591.8800001</v>
      </c>
      <c r="E133" s="38">
        <v>36223091.780000001</v>
      </c>
      <c r="F133" s="38"/>
      <c r="G133" s="34">
        <v>11037859.02</v>
      </c>
      <c r="H133" s="35">
        <f t="shared" si="69"/>
        <v>25185232.760000002</v>
      </c>
      <c r="I133" s="48">
        <v>7409225737</v>
      </c>
      <c r="J133" s="64">
        <f t="shared" si="70"/>
        <v>0.1604148126028711</v>
      </c>
      <c r="K133" s="34">
        <v>7191275300</v>
      </c>
      <c r="L133" s="64">
        <f t="shared" si="71"/>
        <v>0.14744848737253657</v>
      </c>
      <c r="M133" s="64">
        <f t="shared" si="72"/>
        <v>-2.9416088095629851E-2</v>
      </c>
      <c r="N133" s="39">
        <f t="shared" si="77"/>
        <v>1.5348959064326183E-3</v>
      </c>
      <c r="O133" s="40">
        <f t="shared" si="78"/>
        <v>3.5021928252419988E-3</v>
      </c>
      <c r="P133" s="65">
        <f t="shared" si="79"/>
        <v>763.77060951999215</v>
      </c>
      <c r="Q133" s="65">
        <f t="shared" si="80"/>
        <v>2.6748719487916244</v>
      </c>
      <c r="R133" s="34">
        <v>759.95169999999996</v>
      </c>
      <c r="S133" s="34">
        <v>782.86490000000003</v>
      </c>
      <c r="T133" s="34">
        <v>20929</v>
      </c>
      <c r="U133" s="34">
        <v>9382222</v>
      </c>
      <c r="V133" s="34">
        <v>9415491</v>
      </c>
    </row>
    <row r="134" spans="1:22" ht="14.25">
      <c r="A134" s="63">
        <v>112</v>
      </c>
      <c r="B134" s="43" t="s">
        <v>164</v>
      </c>
      <c r="C134" s="43" t="s">
        <v>105</v>
      </c>
      <c r="D134" s="34">
        <v>1551741280.22</v>
      </c>
      <c r="E134" s="61">
        <v>6273684.2999999998</v>
      </c>
      <c r="F134" s="61">
        <v>-104650946.45</v>
      </c>
      <c r="G134" s="61">
        <v>2096657.96</v>
      </c>
      <c r="H134" s="35">
        <f t="shared" si="69"/>
        <v>-100473920.11</v>
      </c>
      <c r="I134" s="48">
        <v>1571059378.95</v>
      </c>
      <c r="J134" s="64">
        <f t="shared" si="70"/>
        <v>3.4014511746309789E-2</v>
      </c>
      <c r="K134" s="34">
        <v>1470620458.8399999</v>
      </c>
      <c r="L134" s="64">
        <f t="shared" si="71"/>
        <v>3.0153311215197622E-2</v>
      </c>
      <c r="M134" s="64">
        <f t="shared" si="72"/>
        <v>-6.3930696354155214E-2</v>
      </c>
      <c r="N134" s="39">
        <f t="shared" si="77"/>
        <v>1.425696172929491E-3</v>
      </c>
      <c r="O134" s="40">
        <f t="shared" si="78"/>
        <v>-6.8320768629352602E-2</v>
      </c>
      <c r="P134" s="65">
        <f t="shared" si="79"/>
        <v>3.4827433990684815</v>
      </c>
      <c r="Q134" s="65">
        <f t="shared" si="80"/>
        <v>-0.23794370596316278</v>
      </c>
      <c r="R134" s="34">
        <v>3.4165999999999999</v>
      </c>
      <c r="S134" s="34">
        <v>3.5024999999999999</v>
      </c>
      <c r="T134" s="34">
        <v>2752</v>
      </c>
      <c r="U134" s="34">
        <v>422250030.43000001</v>
      </c>
      <c r="V134" s="34">
        <v>422259204.98000002</v>
      </c>
    </row>
    <row r="135" spans="1:22" ht="14.25">
      <c r="A135" s="63">
        <v>113</v>
      </c>
      <c r="B135" s="43" t="s">
        <v>165</v>
      </c>
      <c r="C135" s="43" t="s">
        <v>58</v>
      </c>
      <c r="D135" s="38">
        <v>3157675832.7800002</v>
      </c>
      <c r="E135" s="38">
        <v>24046922.66</v>
      </c>
      <c r="F135" s="38">
        <v>566480530.63999999</v>
      </c>
      <c r="G135" s="34">
        <v>8438518</v>
      </c>
      <c r="H135" s="35">
        <f t="shared" si="69"/>
        <v>582088935.29999995</v>
      </c>
      <c r="I135" s="48">
        <v>242901095.62</v>
      </c>
      <c r="J135" s="64">
        <f t="shared" si="70"/>
        <v>5.2589751099541074E-3</v>
      </c>
      <c r="K135" s="34">
        <v>3111243765.9200001</v>
      </c>
      <c r="L135" s="64">
        <f t="shared" si="71"/>
        <v>6.3792327229099166E-2</v>
      </c>
      <c r="M135" s="64">
        <f t="shared" si="72"/>
        <v>11.808685600938173</v>
      </c>
      <c r="N135" s="39">
        <f t="shared" si="77"/>
        <v>2.7122651373171062E-3</v>
      </c>
      <c r="O135" s="40">
        <f t="shared" si="78"/>
        <v>0.18709203749191772</v>
      </c>
      <c r="P135" s="65">
        <f t="shared" si="79"/>
        <v>5796.2237327282437</v>
      </c>
      <c r="Q135" s="65">
        <f t="shared" si="80"/>
        <v>1084.427307915136</v>
      </c>
      <c r="R135" s="34">
        <v>5796.22</v>
      </c>
      <c r="S135" s="34">
        <v>5837.19</v>
      </c>
      <c r="T135" s="34">
        <v>865</v>
      </c>
      <c r="U135" s="34">
        <v>554915.52</v>
      </c>
      <c r="V135" s="34">
        <v>536770.81999999995</v>
      </c>
    </row>
    <row r="136" spans="1:22" ht="14.1" customHeight="1">
      <c r="A136" s="63">
        <v>114</v>
      </c>
      <c r="B136" s="43" t="s">
        <v>166</v>
      </c>
      <c r="C136" s="44" t="s">
        <v>60</v>
      </c>
      <c r="D136" s="38">
        <v>379259815.37</v>
      </c>
      <c r="E136" s="38">
        <v>8857200.6199999992</v>
      </c>
      <c r="F136" s="38">
        <v>-10502571.810000001</v>
      </c>
      <c r="G136" s="34">
        <v>971678.13</v>
      </c>
      <c r="H136" s="35">
        <f t="shared" si="69"/>
        <v>-2617049.3200000012</v>
      </c>
      <c r="I136" s="48">
        <v>472004244.97000003</v>
      </c>
      <c r="J136" s="64">
        <f t="shared" si="70"/>
        <v>1.0219215231425769E-2</v>
      </c>
      <c r="K136" s="34">
        <v>464067507.43000001</v>
      </c>
      <c r="L136" s="64">
        <f t="shared" si="71"/>
        <v>9.5151484479111623E-3</v>
      </c>
      <c r="M136" s="64">
        <f t="shared" si="72"/>
        <v>-1.6814970679987148E-2</v>
      </c>
      <c r="N136" s="39">
        <f t="shared" si="77"/>
        <v>2.0938292693257953E-3</v>
      </c>
      <c r="O136" s="40">
        <f t="shared" si="78"/>
        <v>-5.6393720269130396E-3</v>
      </c>
      <c r="P136" s="65">
        <f t="shared" si="79"/>
        <v>170.69721043720452</v>
      </c>
      <c r="Q136" s="65">
        <f t="shared" si="80"/>
        <v>-0.96262507361165972</v>
      </c>
      <c r="R136" s="34">
        <v>176.78</v>
      </c>
      <c r="S136" s="34">
        <v>177.87</v>
      </c>
      <c r="T136" s="34">
        <v>646</v>
      </c>
      <c r="U136" s="34">
        <v>2750274</v>
      </c>
      <c r="V136" s="34">
        <v>2718659</v>
      </c>
    </row>
    <row r="137" spans="1:22" ht="15" customHeight="1">
      <c r="A137" s="63">
        <v>115</v>
      </c>
      <c r="B137" s="43" t="s">
        <v>167</v>
      </c>
      <c r="C137" s="44" t="s">
        <v>62</v>
      </c>
      <c r="D137" s="38">
        <v>248331135.28999999</v>
      </c>
      <c r="E137" s="38">
        <v>1956454.75</v>
      </c>
      <c r="F137" s="38"/>
      <c r="G137" s="34">
        <v>691169.45</v>
      </c>
      <c r="H137" s="35">
        <v>3676035.92</v>
      </c>
      <c r="I137" s="55">
        <v>331444396.5</v>
      </c>
      <c r="J137" s="64">
        <f t="shared" si="70"/>
        <v>7.1759982270896772E-3</v>
      </c>
      <c r="K137" s="34">
        <v>331444396.5</v>
      </c>
      <c r="L137" s="64">
        <f t="shared" si="71"/>
        <v>6.7958703947863398E-3</v>
      </c>
      <c r="M137" s="64">
        <f t="shared" si="72"/>
        <v>0</v>
      </c>
      <c r="N137" s="39">
        <f t="shared" si="77"/>
        <v>2.0853254944076267E-3</v>
      </c>
      <c r="O137" s="40">
        <f t="shared" si="78"/>
        <v>1.1090958117917675E-2</v>
      </c>
      <c r="P137" s="65">
        <f t="shared" si="79"/>
        <v>137.41595449214111</v>
      </c>
      <c r="Q137" s="65">
        <f t="shared" si="80"/>
        <v>1.5240745960060182</v>
      </c>
      <c r="R137" s="34">
        <v>141.68</v>
      </c>
      <c r="S137" s="34">
        <v>142.58000000000001</v>
      </c>
      <c r="T137" s="34">
        <f>549+27+3</f>
        <v>579</v>
      </c>
      <c r="U137" s="34">
        <v>2411979</v>
      </c>
      <c r="V137" s="34">
        <v>2411979</v>
      </c>
    </row>
    <row r="138" spans="1:22" ht="14.25">
      <c r="A138" s="63">
        <v>116</v>
      </c>
      <c r="B138" s="43" t="s">
        <v>168</v>
      </c>
      <c r="C138" s="44" t="s">
        <v>64</v>
      </c>
      <c r="D138" s="67">
        <v>178990490</v>
      </c>
      <c r="E138" s="67">
        <v>1408694.24</v>
      </c>
      <c r="F138" s="67"/>
      <c r="G138" s="61">
        <v>499580.09</v>
      </c>
      <c r="H138" s="35">
        <f t="shared" si="69"/>
        <v>909114.14999999991</v>
      </c>
      <c r="I138" s="51">
        <v>192894602.84999999</v>
      </c>
      <c r="J138" s="64">
        <f t="shared" si="70"/>
        <v>4.176300286515079E-3</v>
      </c>
      <c r="K138" s="67">
        <v>182935784.94</v>
      </c>
      <c r="L138" s="64">
        <f t="shared" si="71"/>
        <v>3.7508791765642254E-3</v>
      </c>
      <c r="M138" s="64">
        <f t="shared" si="72"/>
        <v>-5.1628286965313588E-2</v>
      </c>
      <c r="N138" s="39">
        <f t="shared" si="77"/>
        <v>2.7309041266248388E-3</v>
      </c>
      <c r="O138" s="40">
        <f t="shared" si="78"/>
        <v>4.969580720897088E-3</v>
      </c>
      <c r="P138" s="65">
        <f t="shared" si="79"/>
        <v>1.5258069769871199</v>
      </c>
      <c r="Q138" s="65">
        <f t="shared" si="80"/>
        <v>7.5826209366454591E-3</v>
      </c>
      <c r="R138" s="34">
        <v>1.5187999999999999</v>
      </c>
      <c r="S138" s="61">
        <v>1.5323</v>
      </c>
      <c r="T138" s="34">
        <v>285</v>
      </c>
      <c r="U138" s="67">
        <v>119817586.68000001</v>
      </c>
      <c r="V138" s="67">
        <v>119894447.79000001</v>
      </c>
    </row>
    <row r="139" spans="1:22" ht="14.25">
      <c r="A139" s="63">
        <v>117</v>
      </c>
      <c r="B139" s="36" t="s">
        <v>242</v>
      </c>
      <c r="C139" s="37" t="s">
        <v>45</v>
      </c>
      <c r="D139" s="38">
        <f>56181127.2+33290179.52+29745140.05+25088661.2</f>
        <v>144305107.97</v>
      </c>
      <c r="E139" s="38">
        <v>846788.14</v>
      </c>
      <c r="F139" s="38"/>
      <c r="G139" s="34">
        <v>217507.98</v>
      </c>
      <c r="H139" s="35">
        <f t="shared" ref="H139" si="81">(E139+F139)-G139</f>
        <v>629280.16</v>
      </c>
      <c r="I139" s="48">
        <v>155036787.78</v>
      </c>
      <c r="J139" s="64">
        <f t="shared" si="70"/>
        <v>3.3566526572518436E-3</v>
      </c>
      <c r="K139" s="34">
        <v>150392947.52000001</v>
      </c>
      <c r="L139" s="64">
        <f t="shared" si="71"/>
        <v>3.0836272703008987E-3</v>
      </c>
      <c r="M139" s="64">
        <f t="shared" si="72"/>
        <v>-2.995315064570148E-2</v>
      </c>
      <c r="N139" s="39">
        <f t="shared" si="77"/>
        <v>1.4462644930280039E-3</v>
      </c>
      <c r="O139" s="40">
        <f t="shared" si="78"/>
        <v>4.1842398222583892E-3</v>
      </c>
      <c r="P139" s="65">
        <f t="shared" si="79"/>
        <v>144.75785430000849</v>
      </c>
      <c r="Q139" s="65">
        <f t="shared" si="80"/>
        <v>0.6057015785467732</v>
      </c>
      <c r="R139" s="34">
        <v>144.6283</v>
      </c>
      <c r="S139" s="34">
        <v>145.07169999999999</v>
      </c>
      <c r="T139" s="34">
        <v>96</v>
      </c>
      <c r="U139" s="34">
        <v>1068124.3400000001</v>
      </c>
      <c r="V139" s="34">
        <v>1038927.72</v>
      </c>
    </row>
    <row r="140" spans="1:22" ht="14.25">
      <c r="A140" s="63">
        <v>118</v>
      </c>
      <c r="B140" s="36" t="s">
        <v>169</v>
      </c>
      <c r="C140" s="37" t="s">
        <v>170</v>
      </c>
      <c r="D140" s="38">
        <v>133610383.86</v>
      </c>
      <c r="E140" s="38">
        <v>1906798.38</v>
      </c>
      <c r="F140" s="38"/>
      <c r="G140" s="34">
        <v>549462.52</v>
      </c>
      <c r="H140" s="35">
        <f t="shared" si="69"/>
        <v>1357335.8599999999</v>
      </c>
      <c r="I140" s="48">
        <v>164971063.40000001</v>
      </c>
      <c r="J140" s="64">
        <f t="shared" si="70"/>
        <v>3.5717365295071411E-3</v>
      </c>
      <c r="K140" s="34">
        <v>197037694.00999999</v>
      </c>
      <c r="L140" s="64">
        <f t="shared" si="71"/>
        <v>4.0400219328478783E-3</v>
      </c>
      <c r="M140" s="64">
        <f t="shared" si="72"/>
        <v>0.19437730441398116</v>
      </c>
      <c r="N140" s="39">
        <f t="shared" si="77"/>
        <v>2.7886162734533115E-3</v>
      </c>
      <c r="O140" s="40">
        <f t="shared" si="78"/>
        <v>6.8887116590550072E-3</v>
      </c>
      <c r="P140" s="65">
        <f t="shared" si="79"/>
        <v>110.76695886497392</v>
      </c>
      <c r="Q140" s="65">
        <f t="shared" si="80"/>
        <v>0.76304164097121219</v>
      </c>
      <c r="R140" s="34">
        <v>110.18</v>
      </c>
      <c r="S140" s="34">
        <v>110.77</v>
      </c>
      <c r="T140" s="34">
        <v>52</v>
      </c>
      <c r="U140" s="67">
        <v>1782498</v>
      </c>
      <c r="V140" s="34">
        <v>1778849</v>
      </c>
    </row>
    <row r="141" spans="1:22" ht="14.25">
      <c r="A141" s="63">
        <v>119</v>
      </c>
      <c r="B141" s="43" t="s">
        <v>171</v>
      </c>
      <c r="C141" s="44" t="s">
        <v>69</v>
      </c>
      <c r="D141" s="67">
        <v>338979830.77999997</v>
      </c>
      <c r="E141" s="38">
        <v>10617174.48</v>
      </c>
      <c r="F141" s="38"/>
      <c r="G141" s="34">
        <v>915655.27</v>
      </c>
      <c r="H141" s="35">
        <f t="shared" si="69"/>
        <v>9701519.2100000009</v>
      </c>
      <c r="I141" s="50">
        <v>482357701.86000001</v>
      </c>
      <c r="J141" s="64">
        <f t="shared" si="70"/>
        <v>1.0443374665320105E-2</v>
      </c>
      <c r="K141" s="61">
        <v>340885541</v>
      </c>
      <c r="L141" s="64">
        <f t="shared" si="71"/>
        <v>6.989449755541801E-3</v>
      </c>
      <c r="M141" s="64">
        <f t="shared" si="72"/>
        <v>-0.293293048529079</v>
      </c>
      <c r="N141" s="39">
        <f t="shared" si="77"/>
        <v>2.6861076809356369E-3</v>
      </c>
      <c r="O141" s="40">
        <f t="shared" si="78"/>
        <v>2.8459755674999431E-2</v>
      </c>
      <c r="P141" s="65">
        <f t="shared" si="79"/>
        <v>1.4263624267964403</v>
      </c>
      <c r="Q141" s="65">
        <f t="shared" si="80"/>
        <v>4.0593926170625953E-2</v>
      </c>
      <c r="R141" s="34">
        <v>1.37</v>
      </c>
      <c r="S141" s="34">
        <v>1.37</v>
      </c>
      <c r="T141" s="34">
        <v>116</v>
      </c>
      <c r="U141" s="34">
        <v>323166567.83999997</v>
      </c>
      <c r="V141" s="34">
        <v>238989428.34999999</v>
      </c>
    </row>
    <row r="142" spans="1:22" ht="14.25">
      <c r="A142" s="63">
        <v>120</v>
      </c>
      <c r="B142" s="44" t="s">
        <v>172</v>
      </c>
      <c r="C142" s="44" t="s">
        <v>73</v>
      </c>
      <c r="D142" s="38">
        <v>8134762399.4899998</v>
      </c>
      <c r="E142" s="38">
        <v>40855233.289999999</v>
      </c>
      <c r="F142" s="38"/>
      <c r="G142" s="61">
        <v>18873270.48</v>
      </c>
      <c r="H142" s="35">
        <f t="shared" si="69"/>
        <v>21981962.809999999</v>
      </c>
      <c r="I142" s="48">
        <v>8047438176.7600002</v>
      </c>
      <c r="J142" s="64">
        <f t="shared" si="70"/>
        <v>0.1742325491058454</v>
      </c>
      <c r="K142" s="34">
        <v>8060468855.8000002</v>
      </c>
      <c r="L142" s="64">
        <f t="shared" si="71"/>
        <v>0.16527026024176136</v>
      </c>
      <c r="M142" s="64">
        <f t="shared" si="72"/>
        <v>1.6192331961780012E-3</v>
      </c>
      <c r="N142" s="39">
        <f t="shared" si="77"/>
        <v>2.3414606293552672E-3</v>
      </c>
      <c r="O142" s="40">
        <f t="shared" si="78"/>
        <v>2.7271320320507949E-3</v>
      </c>
      <c r="P142" s="65">
        <f t="shared" si="79"/>
        <v>294.10250612206625</v>
      </c>
      <c r="Q142" s="65">
        <f t="shared" si="80"/>
        <v>0.80205636515190182</v>
      </c>
      <c r="R142" s="34">
        <v>294.10000000000002</v>
      </c>
      <c r="S142" s="34">
        <v>296.38</v>
      </c>
      <c r="T142" s="34">
        <v>5505</v>
      </c>
      <c r="U142" s="34">
        <v>27284300</v>
      </c>
      <c r="V142" s="34">
        <v>27407005</v>
      </c>
    </row>
    <row r="143" spans="1:22" ht="14.25">
      <c r="A143" s="63">
        <v>121</v>
      </c>
      <c r="B143" s="81" t="s">
        <v>173</v>
      </c>
      <c r="C143" s="43" t="s">
        <v>75</v>
      </c>
      <c r="D143" s="38">
        <v>2731454034.8499999</v>
      </c>
      <c r="E143" s="38">
        <v>15689820.16</v>
      </c>
      <c r="F143" s="38">
        <v>-73977154.989999995</v>
      </c>
      <c r="G143" s="34">
        <v>8315045.1399999997</v>
      </c>
      <c r="H143" s="35">
        <v>7374775.0199999996</v>
      </c>
      <c r="I143" s="48">
        <v>2673825460.5</v>
      </c>
      <c r="J143" s="64">
        <f t="shared" si="70"/>
        <v>5.7890152818122063E-2</v>
      </c>
      <c r="K143" s="34">
        <v>2625013532.1799998</v>
      </c>
      <c r="L143" s="64">
        <f t="shared" si="71"/>
        <v>5.3822758621461804E-2</v>
      </c>
      <c r="M143" s="64">
        <f t="shared" si="72"/>
        <v>-1.8255465452435494E-2</v>
      </c>
      <c r="N143" s="39">
        <f t="shared" si="77"/>
        <v>3.167619914360818E-3</v>
      </c>
      <c r="O143" s="40">
        <f t="shared" si="78"/>
        <v>2.8094236199519536E-3</v>
      </c>
      <c r="P143" s="65">
        <f t="shared" si="79"/>
        <v>1.8487213387527182</v>
      </c>
      <c r="Q143" s="65">
        <f t="shared" si="80"/>
        <v>5.1938413958010831E-3</v>
      </c>
      <c r="R143" s="34">
        <v>1.8317000000000001</v>
      </c>
      <c r="S143" s="34">
        <v>1.863</v>
      </c>
      <c r="T143" s="34">
        <v>10309</v>
      </c>
      <c r="U143" s="34">
        <v>1420115383.49</v>
      </c>
      <c r="V143" s="34">
        <v>1419907628.6700001</v>
      </c>
    </row>
    <row r="144" spans="1:22" ht="14.25">
      <c r="A144" s="63">
        <v>122</v>
      </c>
      <c r="B144" s="43" t="s">
        <v>174</v>
      </c>
      <c r="C144" s="44" t="s">
        <v>77</v>
      </c>
      <c r="D144" s="34">
        <v>156346150.18000001</v>
      </c>
      <c r="E144" s="38">
        <v>2331030.17</v>
      </c>
      <c r="F144" s="38"/>
      <c r="G144" s="34">
        <v>418214</v>
      </c>
      <c r="H144" s="35">
        <f t="shared" si="69"/>
        <v>1912816.17</v>
      </c>
      <c r="I144" s="48">
        <v>190013120.31</v>
      </c>
      <c r="J144" s="64">
        <f t="shared" si="70"/>
        <v>4.1139142156785191E-3</v>
      </c>
      <c r="K144" s="34">
        <v>190022959.22999999</v>
      </c>
      <c r="L144" s="64">
        <f t="shared" si="71"/>
        <v>3.8961931974036208E-3</v>
      </c>
      <c r="M144" s="64">
        <f t="shared" si="72"/>
        <v>5.1780213829103067E-5</v>
      </c>
      <c r="N144" s="39">
        <f t="shared" si="77"/>
        <v>2.2008603681084775E-3</v>
      </c>
      <c r="O144" s="40">
        <f t="shared" si="78"/>
        <v>1.0066237141822244E-2</v>
      </c>
      <c r="P144" s="65">
        <f t="shared" si="79"/>
        <v>247.24702779923072</v>
      </c>
      <c r="Q144" s="65">
        <f t="shared" si="80"/>
        <v>2.4888472144377731</v>
      </c>
      <c r="R144" s="34">
        <v>247.25</v>
      </c>
      <c r="S144" s="34">
        <v>247.79</v>
      </c>
      <c r="T144" s="34">
        <v>39</v>
      </c>
      <c r="U144" s="35">
        <v>768555.08</v>
      </c>
      <c r="V144" s="35">
        <v>768555.08</v>
      </c>
    </row>
    <row r="145" spans="1:22" ht="14.25">
      <c r="A145" s="63">
        <v>123</v>
      </c>
      <c r="B145" s="44" t="s">
        <v>175</v>
      </c>
      <c r="C145" s="44" t="s">
        <v>33</v>
      </c>
      <c r="D145" s="61">
        <v>2480753075.8800001</v>
      </c>
      <c r="E145" s="61">
        <v>12720885.17</v>
      </c>
      <c r="F145" s="61"/>
      <c r="G145" s="61">
        <v>5880235.3899999997</v>
      </c>
      <c r="H145" s="35">
        <f t="shared" si="69"/>
        <v>6840649.7800000003</v>
      </c>
      <c r="I145" s="50">
        <v>2201123332.8400002</v>
      </c>
      <c r="J145" s="64">
        <f t="shared" si="70"/>
        <v>4.7655827948400883E-2</v>
      </c>
      <c r="K145" s="61">
        <v>2538127271.5599999</v>
      </c>
      <c r="L145" s="64">
        <f t="shared" si="71"/>
        <v>5.2041259907057838E-2</v>
      </c>
      <c r="M145" s="64">
        <f t="shared" si="72"/>
        <v>0.15310543198194185</v>
      </c>
      <c r="N145" s="39">
        <f t="shared" si="77"/>
        <v>2.3167614389903515E-3</v>
      </c>
      <c r="O145" s="40">
        <f t="shared" si="78"/>
        <v>2.6951563290975385E-3</v>
      </c>
      <c r="P145" s="65">
        <f t="shared" si="79"/>
        <v>3.5556658487345114</v>
      </c>
      <c r="Q145" s="65">
        <f t="shared" si="80"/>
        <v>9.583075316372789E-3</v>
      </c>
      <c r="R145" s="34">
        <v>3.53</v>
      </c>
      <c r="S145" s="34">
        <v>3.59</v>
      </c>
      <c r="T145" s="34">
        <v>2558</v>
      </c>
      <c r="U145" s="61">
        <v>714446532.78999996</v>
      </c>
      <c r="V145" s="61">
        <v>713826152.26999998</v>
      </c>
    </row>
    <row r="146" spans="1:22" ht="14.25">
      <c r="A146" s="63">
        <v>124</v>
      </c>
      <c r="B146" s="44" t="s">
        <v>176</v>
      </c>
      <c r="C146" s="44" t="s">
        <v>115</v>
      </c>
      <c r="D146" s="38">
        <v>196358179.47</v>
      </c>
      <c r="E146" s="38">
        <v>5352315.58</v>
      </c>
      <c r="F146" s="38"/>
      <c r="G146" s="70">
        <v>1017799.18</v>
      </c>
      <c r="H146" s="35">
        <f t="shared" si="69"/>
        <v>4334516.4000000004</v>
      </c>
      <c r="I146" s="48">
        <v>198501957.38999999</v>
      </c>
      <c r="J146" s="64">
        <f t="shared" si="70"/>
        <v>4.2977033534023577E-3</v>
      </c>
      <c r="K146" s="34">
        <v>190531717.43000001</v>
      </c>
      <c r="L146" s="64">
        <f t="shared" si="71"/>
        <v>3.9066246749787292E-3</v>
      </c>
      <c r="M146" s="64">
        <f t="shared" si="72"/>
        <v>-4.0151946433156428E-2</v>
      </c>
      <c r="N146" s="39">
        <f t="shared" si="77"/>
        <v>5.3418884463366694E-3</v>
      </c>
      <c r="O146" s="40">
        <f t="shared" si="78"/>
        <v>2.2749579222118076E-2</v>
      </c>
      <c r="P146" s="65">
        <f t="shared" si="79"/>
        <v>174.18780143643622</v>
      </c>
      <c r="Q146" s="65">
        <f t="shared" si="80"/>
        <v>3.9626991883047786</v>
      </c>
      <c r="R146" s="34">
        <v>172.4588</v>
      </c>
      <c r="S146" s="34">
        <v>177.78550000000001</v>
      </c>
      <c r="T146" s="34">
        <v>139</v>
      </c>
      <c r="U146" s="66">
        <v>1003639.71</v>
      </c>
      <c r="V146" s="82">
        <v>1093829.28</v>
      </c>
    </row>
    <row r="147" spans="1:22" ht="14.25">
      <c r="A147" s="63">
        <v>125</v>
      </c>
      <c r="B147" s="43" t="s">
        <v>177</v>
      </c>
      <c r="C147" s="44" t="s">
        <v>29</v>
      </c>
      <c r="D147" s="38">
        <v>1370136170.1700001</v>
      </c>
      <c r="E147" s="67">
        <v>42053739.420000002</v>
      </c>
      <c r="F147" s="67">
        <v>170184628.63999999</v>
      </c>
      <c r="G147" s="34">
        <v>3677207.18</v>
      </c>
      <c r="H147" s="35">
        <f t="shared" si="69"/>
        <v>208561160.88</v>
      </c>
      <c r="I147" s="50">
        <v>1423791743.95</v>
      </c>
      <c r="J147" s="64">
        <f t="shared" si="70"/>
        <v>3.0826066568695545E-2</v>
      </c>
      <c r="K147" s="61">
        <v>1635771855.8900001</v>
      </c>
      <c r="L147" s="64">
        <f t="shared" si="71"/>
        <v>3.3539542817606689E-2</v>
      </c>
      <c r="M147" s="64">
        <f t="shared" si="72"/>
        <v>0.14888421206314023</v>
      </c>
      <c r="N147" s="39">
        <f t="shared" si="77"/>
        <v>2.2479951386614877E-3</v>
      </c>
      <c r="O147" s="40">
        <f t="shared" si="78"/>
        <v>0.12750015237701032</v>
      </c>
      <c r="P147" s="65">
        <f t="shared" si="79"/>
        <v>2192.8706426570147</v>
      </c>
      <c r="Q147" s="65">
        <f t="shared" si="80"/>
        <v>279.59134108184196</v>
      </c>
      <c r="R147" s="34">
        <v>552.20000000000005</v>
      </c>
      <c r="S147" s="34">
        <v>552.20000000000005</v>
      </c>
      <c r="T147" s="34">
        <v>830</v>
      </c>
      <c r="U147" s="67">
        <v>745950</v>
      </c>
      <c r="V147" s="34">
        <v>745950</v>
      </c>
    </row>
    <row r="148" spans="1:22" ht="14.25">
      <c r="A148" s="63">
        <v>126</v>
      </c>
      <c r="B148" s="43" t="s">
        <v>178</v>
      </c>
      <c r="C148" s="44" t="s">
        <v>84</v>
      </c>
      <c r="D148" s="61">
        <f>13931029.15+5726047.38+5219350.45</f>
        <v>24876426.98</v>
      </c>
      <c r="E148" s="38">
        <v>88828.88</v>
      </c>
      <c r="F148" s="38">
        <v>1488663.3</v>
      </c>
      <c r="G148" s="34">
        <v>8393.9599999999991</v>
      </c>
      <c r="H148" s="35">
        <f t="shared" si="69"/>
        <v>1569098.2200000002</v>
      </c>
      <c r="I148" s="48">
        <v>29774579.82</v>
      </c>
      <c r="J148" s="64">
        <f t="shared" si="70"/>
        <v>6.4464004900037617E-4</v>
      </c>
      <c r="K148" s="34">
        <v>26381079.989999998</v>
      </c>
      <c r="L148" s="64">
        <f t="shared" si="71"/>
        <v>5.4091244980975655E-4</v>
      </c>
      <c r="M148" s="64">
        <f t="shared" si="72"/>
        <v>-0.11397305522076724</v>
      </c>
      <c r="N148" s="39">
        <f t="shared" si="77"/>
        <v>3.1818106018335147E-4</v>
      </c>
      <c r="O148" s="40">
        <f t="shared" si="78"/>
        <v>5.9478164676911707E-2</v>
      </c>
      <c r="P148" s="65">
        <f t="shared" si="79"/>
        <v>1.6733826606133002</v>
      </c>
      <c r="Q148" s="65">
        <f t="shared" si="80"/>
        <v>9.9529729455446525E-2</v>
      </c>
      <c r="R148" s="34">
        <v>1.0798000000000001</v>
      </c>
      <c r="S148" s="34">
        <v>1.0798000000000001</v>
      </c>
      <c r="T148" s="34">
        <v>6</v>
      </c>
      <c r="U148" s="61">
        <v>15784817.890000001</v>
      </c>
      <c r="V148" s="61">
        <v>15765120.92</v>
      </c>
    </row>
    <row r="149" spans="1:22" ht="14.25">
      <c r="A149" s="63">
        <v>127</v>
      </c>
      <c r="B149" s="44" t="s">
        <v>179</v>
      </c>
      <c r="C149" s="44" t="s">
        <v>39</v>
      </c>
      <c r="D149" s="38">
        <v>239094541.68000001</v>
      </c>
      <c r="E149" s="38">
        <v>2487997.7200000002</v>
      </c>
      <c r="F149" s="38">
        <v>72691802.760000005</v>
      </c>
      <c r="G149" s="34">
        <v>387894.73</v>
      </c>
      <c r="H149" s="35">
        <f t="shared" si="69"/>
        <v>74791905.75</v>
      </c>
      <c r="I149" s="48">
        <v>264497528.63</v>
      </c>
      <c r="J149" s="64">
        <f t="shared" si="70"/>
        <v>5.7265526784022166E-3</v>
      </c>
      <c r="K149" s="34">
        <v>240686944.86000001</v>
      </c>
      <c r="L149" s="64">
        <f t="shared" si="71"/>
        <v>4.934997544861635E-3</v>
      </c>
      <c r="M149" s="64">
        <f t="shared" si="72"/>
        <v>-9.0021951786582108E-2</v>
      </c>
      <c r="N149" s="39">
        <f t="shared" si="77"/>
        <v>1.6116151635296467E-3</v>
      </c>
      <c r="O149" s="40">
        <f t="shared" si="78"/>
        <v>0.31074350872459694</v>
      </c>
      <c r="P149" s="65">
        <f t="shared" si="79"/>
        <v>2.3409326354903399</v>
      </c>
      <c r="Q149" s="65">
        <f t="shared" si="80"/>
        <v>0.72742962084018614</v>
      </c>
      <c r="R149" s="34">
        <v>2.2799999999999998</v>
      </c>
      <c r="S149" s="34">
        <v>2.33</v>
      </c>
      <c r="T149" s="34">
        <v>120</v>
      </c>
      <c r="U149" s="34">
        <v>97931107.900000006</v>
      </c>
      <c r="V149" s="34">
        <v>102816689.90000001</v>
      </c>
    </row>
    <row r="150" spans="1:22" ht="14.25">
      <c r="A150" s="63">
        <v>128</v>
      </c>
      <c r="B150" s="43" t="s">
        <v>180</v>
      </c>
      <c r="C150" s="43" t="s">
        <v>43</v>
      </c>
      <c r="D150" s="61">
        <v>2874631133.8099999</v>
      </c>
      <c r="E150" s="61">
        <v>18341163.52</v>
      </c>
      <c r="F150" s="61"/>
      <c r="G150" s="61">
        <v>4682289.01</v>
      </c>
      <c r="H150" s="35">
        <f t="shared" si="69"/>
        <v>13658874.51</v>
      </c>
      <c r="I150" s="50">
        <v>3015911249.1100001</v>
      </c>
      <c r="J150" s="64">
        <f t="shared" si="70"/>
        <v>6.5296544473857701E-2</v>
      </c>
      <c r="K150" s="61">
        <v>2871334088.1399999</v>
      </c>
      <c r="L150" s="64">
        <f t="shared" si="71"/>
        <v>5.8873266614816504E-2</v>
      </c>
      <c r="M150" s="64">
        <f t="shared" si="72"/>
        <v>-4.7938135120078613E-2</v>
      </c>
      <c r="N150" s="39">
        <f t="shared" si="77"/>
        <v>1.6307015715587123E-3</v>
      </c>
      <c r="O150" s="40">
        <f t="shared" si="78"/>
        <v>4.7569784952638449E-3</v>
      </c>
      <c r="P150" s="65">
        <f t="shared" si="79"/>
        <v>5425.1659795022497</v>
      </c>
      <c r="Q150" s="65">
        <f t="shared" si="80"/>
        <v>25.807397897729214</v>
      </c>
      <c r="R150" s="61">
        <v>5399.41</v>
      </c>
      <c r="S150" s="61">
        <v>5442.82</v>
      </c>
      <c r="T150" s="61">
        <v>2193</v>
      </c>
      <c r="U150" s="61">
        <v>539506.81000000006</v>
      </c>
      <c r="V150" s="61">
        <v>529261.98</v>
      </c>
    </row>
    <row r="151" spans="1:22" ht="14.25">
      <c r="A151" s="63">
        <v>129</v>
      </c>
      <c r="B151" s="36" t="s">
        <v>243</v>
      </c>
      <c r="C151" s="36" t="s">
        <v>244</v>
      </c>
      <c r="D151" s="38">
        <v>606388201.90999997</v>
      </c>
      <c r="E151" s="38">
        <v>6830987.79</v>
      </c>
      <c r="F151" s="38"/>
      <c r="G151" s="34">
        <v>854694.37</v>
      </c>
      <c r="H151" s="35">
        <f t="shared" si="69"/>
        <v>5976293.4199999999</v>
      </c>
      <c r="I151" s="48">
        <v>597879555.13999999</v>
      </c>
      <c r="J151" s="64">
        <f t="shared" si="70"/>
        <v>1.2944501922505137E-2</v>
      </c>
      <c r="K151" s="34">
        <v>604710541.92999995</v>
      </c>
      <c r="L151" s="64">
        <f t="shared" si="71"/>
        <v>1.2398865428751607E-2</v>
      </c>
      <c r="M151" s="64">
        <f t="shared" si="72"/>
        <v>1.1425356045835038E-2</v>
      </c>
      <c r="N151" s="39">
        <f t="shared" si="77"/>
        <v>1.413394195629779E-3</v>
      </c>
      <c r="O151" s="40">
        <f t="shared" si="78"/>
        <v>9.8828993470595119E-3</v>
      </c>
      <c r="P151" s="65">
        <f t="shared" si="79"/>
        <v>1.1892197625629914</v>
      </c>
      <c r="Q151" s="65">
        <f t="shared" si="80"/>
        <v>1.1752939214944054E-2</v>
      </c>
      <c r="R151" s="34">
        <v>1.1890000000000001</v>
      </c>
      <c r="S151" s="34">
        <v>1.1890000000000001</v>
      </c>
      <c r="T151" s="34">
        <v>33</v>
      </c>
      <c r="U151" s="34">
        <v>507993519</v>
      </c>
      <c r="V151" s="34">
        <v>508493519</v>
      </c>
    </row>
    <row r="152" spans="1:22" ht="14.25">
      <c r="A152" s="63">
        <v>130</v>
      </c>
      <c r="B152" s="43" t="s">
        <v>181</v>
      </c>
      <c r="C152" s="43" t="s">
        <v>47</v>
      </c>
      <c r="D152" s="38">
        <v>1336454753</v>
      </c>
      <c r="E152" s="38">
        <v>6479163</v>
      </c>
      <c r="F152" s="38"/>
      <c r="G152" s="38">
        <v>3077312</v>
      </c>
      <c r="H152" s="35">
        <f t="shared" si="69"/>
        <v>3401851</v>
      </c>
      <c r="I152" s="48">
        <v>1660538156.76</v>
      </c>
      <c r="J152" s="64">
        <f t="shared" si="70"/>
        <v>3.5951788579791304E-2</v>
      </c>
      <c r="K152" s="34">
        <v>1689465118.47</v>
      </c>
      <c r="L152" s="64">
        <f t="shared" si="71"/>
        <v>3.4640458860901183E-2</v>
      </c>
      <c r="M152" s="64">
        <f t="shared" si="72"/>
        <v>1.7420233068562298E-2</v>
      </c>
      <c r="N152" s="39">
        <f t="shared" si="77"/>
        <v>1.8214711664404476E-3</v>
      </c>
      <c r="O152" s="40">
        <f t="shared" si="78"/>
        <v>2.0135668755805725E-3</v>
      </c>
      <c r="P152" s="65">
        <f t="shared" si="79"/>
        <v>1.8230893532204322</v>
      </c>
      <c r="Q152" s="65">
        <f t="shared" si="80"/>
        <v>3.6709123328682726E-3</v>
      </c>
      <c r="R152" s="34">
        <v>1.82</v>
      </c>
      <c r="S152" s="34">
        <v>1.82</v>
      </c>
      <c r="T152" s="34">
        <v>2001</v>
      </c>
      <c r="U152" s="34">
        <v>930860783</v>
      </c>
      <c r="V152" s="34">
        <v>926704506</v>
      </c>
    </row>
    <row r="153" spans="1:22" ht="14.25">
      <c r="A153" s="63">
        <v>131</v>
      </c>
      <c r="B153" s="45" t="s">
        <v>182</v>
      </c>
      <c r="C153" s="43" t="s">
        <v>91</v>
      </c>
      <c r="D153" s="34">
        <v>8500856037.6700001</v>
      </c>
      <c r="E153" s="67">
        <v>32657458.809999999</v>
      </c>
      <c r="F153" s="67"/>
      <c r="G153" s="67">
        <v>10766053.289999999</v>
      </c>
      <c r="H153" s="35">
        <f t="shared" si="69"/>
        <v>21891405.52</v>
      </c>
      <c r="I153" s="51">
        <v>8862700998.6200008</v>
      </c>
      <c r="J153" s="64">
        <f t="shared" si="70"/>
        <v>0.19188354766264101</v>
      </c>
      <c r="K153" s="67">
        <v>8956856000.6700001</v>
      </c>
      <c r="L153" s="64">
        <f t="shared" si="71"/>
        <v>0.1836496050863772</v>
      </c>
      <c r="M153" s="64">
        <f t="shared" si="72"/>
        <v>1.062373672141935E-2</v>
      </c>
      <c r="N153" s="39">
        <f t="shared" si="77"/>
        <v>1.2019902172363457E-3</v>
      </c>
      <c r="O153" s="40">
        <f t="shared" si="78"/>
        <v>2.444094838452517E-3</v>
      </c>
      <c r="P153" s="65">
        <f t="shared" si="79"/>
        <v>441.64522222031223</v>
      </c>
      <c r="Q153" s="65">
        <f t="shared" si="80"/>
        <v>1.0794228080558799</v>
      </c>
      <c r="R153" s="34">
        <v>439.13</v>
      </c>
      <c r="S153" s="34">
        <v>443.38</v>
      </c>
      <c r="T153" s="34">
        <v>31</v>
      </c>
      <c r="U153" s="67">
        <v>20266373.350000001</v>
      </c>
      <c r="V153" s="67">
        <v>20280658.66</v>
      </c>
    </row>
    <row r="154" spans="1:22" ht="14.25">
      <c r="A154" s="63">
        <v>132</v>
      </c>
      <c r="B154" s="43" t="s">
        <v>183</v>
      </c>
      <c r="C154" s="43" t="s">
        <v>47</v>
      </c>
      <c r="D154" s="67">
        <v>588756150.51999998</v>
      </c>
      <c r="E154" s="67">
        <v>4304824.7</v>
      </c>
      <c r="F154" s="67"/>
      <c r="G154" s="67">
        <v>1995190</v>
      </c>
      <c r="H154" s="35">
        <f t="shared" si="69"/>
        <v>2309634.7000000002</v>
      </c>
      <c r="I154" s="51">
        <v>1121909678</v>
      </c>
      <c r="J154" s="64">
        <f t="shared" si="70"/>
        <v>2.4290113048517782E-2</v>
      </c>
      <c r="K154" s="67">
        <v>1089759119</v>
      </c>
      <c r="L154" s="64">
        <f t="shared" si="71"/>
        <v>2.2344205581585518E-2</v>
      </c>
      <c r="M154" s="64">
        <f t="shared" si="72"/>
        <v>-2.8656994079339779E-2</v>
      </c>
      <c r="N154" s="39">
        <f t="shared" si="77"/>
        <v>1.8308541449332896E-3</v>
      </c>
      <c r="O154" s="40">
        <f t="shared" si="78"/>
        <v>2.1193992871740312E-3</v>
      </c>
      <c r="P154" s="65">
        <f t="shared" si="79"/>
        <v>1.6602291737255335</v>
      </c>
      <c r="Q154" s="65">
        <f t="shared" si="80"/>
        <v>3.5186885273394263E-3</v>
      </c>
      <c r="R154" s="34">
        <v>1.66</v>
      </c>
      <c r="S154" s="34">
        <v>1.65</v>
      </c>
      <c r="T154" s="34">
        <v>212</v>
      </c>
      <c r="U154" s="34">
        <v>653259884</v>
      </c>
      <c r="V154" s="34">
        <v>656390778</v>
      </c>
    </row>
    <row r="155" spans="1:22" ht="14.25">
      <c r="A155" s="63">
        <v>133</v>
      </c>
      <c r="B155" s="43" t="s">
        <v>184</v>
      </c>
      <c r="C155" s="43" t="s">
        <v>41</v>
      </c>
      <c r="D155" s="38">
        <v>320060783.83999997</v>
      </c>
      <c r="E155" s="38">
        <v>0</v>
      </c>
      <c r="F155" s="38">
        <v>-2239357.25</v>
      </c>
      <c r="G155" s="34">
        <v>652534.38</v>
      </c>
      <c r="H155" s="35">
        <f t="shared" si="69"/>
        <v>-2891891.63</v>
      </c>
      <c r="I155" s="48">
        <v>323197519.76999998</v>
      </c>
      <c r="J155" s="64">
        <f t="shared" si="70"/>
        <v>6.9974476966886993E-3</v>
      </c>
      <c r="K155" s="34">
        <v>317157764.36000001</v>
      </c>
      <c r="L155" s="64">
        <f t="shared" si="71"/>
        <v>6.5029401131865144E-3</v>
      </c>
      <c r="M155" s="64">
        <f t="shared" si="72"/>
        <v>-1.8687505443414583E-2</v>
      </c>
      <c r="N155" s="39">
        <f t="shared" si="77"/>
        <v>2.0574441282141215E-3</v>
      </c>
      <c r="O155" s="40">
        <f t="shared" si="78"/>
        <v>-9.1181486155182574E-3</v>
      </c>
      <c r="P155" s="65">
        <f t="shared" si="79"/>
        <v>222.13676422981752</v>
      </c>
      <c r="Q155" s="65">
        <f t="shared" si="80"/>
        <v>-2.025476029217816</v>
      </c>
      <c r="R155" s="34">
        <v>219.27</v>
      </c>
      <c r="S155" s="34">
        <v>222.14</v>
      </c>
      <c r="T155" s="34">
        <v>740</v>
      </c>
      <c r="U155" s="34">
        <v>1431597</v>
      </c>
      <c r="V155" s="34">
        <v>1427759</v>
      </c>
    </row>
    <row r="156" spans="1:22" ht="14.25">
      <c r="A156" s="63">
        <v>134</v>
      </c>
      <c r="B156" s="43" t="s">
        <v>185</v>
      </c>
      <c r="C156" s="43" t="s">
        <v>95</v>
      </c>
      <c r="D156" s="34">
        <v>3504259582.3200002</v>
      </c>
      <c r="E156" s="67">
        <v>14486373.82</v>
      </c>
      <c r="F156" s="67"/>
      <c r="G156" s="34">
        <v>29879879.710000001</v>
      </c>
      <c r="H156" s="35">
        <f t="shared" si="69"/>
        <v>-15393505.890000001</v>
      </c>
      <c r="I156" s="50">
        <v>3695868176.3299999</v>
      </c>
      <c r="J156" s="64">
        <f t="shared" si="70"/>
        <v>8.0018077725749814E-2</v>
      </c>
      <c r="K156" s="61">
        <v>3477776347.23</v>
      </c>
      <c r="L156" s="64">
        <f t="shared" si="71"/>
        <v>7.1307638829937292E-2</v>
      </c>
      <c r="M156" s="64">
        <f t="shared" si="72"/>
        <v>-5.9009634190082309E-2</v>
      </c>
      <c r="N156" s="39">
        <f t="shared" si="77"/>
        <v>8.5916622366469606E-3</v>
      </c>
      <c r="O156" s="40">
        <f t="shared" si="78"/>
        <v>-4.4262495206917806E-3</v>
      </c>
      <c r="P156" s="65">
        <f t="shared" si="79"/>
        <v>19.500511413249253</v>
      </c>
      <c r="Q156" s="65">
        <f t="shared" si="80"/>
        <v>-8.6314129296139103E-2</v>
      </c>
      <c r="R156" s="67">
        <v>19.500499999999999</v>
      </c>
      <c r="S156" s="67">
        <v>19.7331</v>
      </c>
      <c r="T156" s="67">
        <v>6267</v>
      </c>
      <c r="U156" s="34">
        <v>178423805.71000001</v>
      </c>
      <c r="V156" s="34">
        <v>178342827.71000001</v>
      </c>
    </row>
    <row r="157" spans="1:22" ht="15" customHeight="1">
      <c r="A157" s="99" t="s">
        <v>48</v>
      </c>
      <c r="B157" s="99"/>
      <c r="C157" s="99"/>
      <c r="D157" s="99"/>
      <c r="E157" s="99"/>
      <c r="F157" s="99"/>
      <c r="G157" s="99"/>
      <c r="H157" s="99"/>
      <c r="I157" s="46">
        <f>SUM(I131:I156)</f>
        <v>46187915048.360001</v>
      </c>
      <c r="J157" s="98">
        <f>(I157/$I$183)</f>
        <v>1.7469385831224035E-2</v>
      </c>
      <c r="K157" s="74">
        <f>SUM(K131:K156)</f>
        <v>48771441661.730003</v>
      </c>
      <c r="L157" s="98">
        <f>(K157/$K$183)</f>
        <v>1.7016507118065537E-2</v>
      </c>
      <c r="M157" s="64">
        <f t="shared" si="72"/>
        <v>5.5935120922106576E-2</v>
      </c>
      <c r="N157" s="39"/>
      <c r="O157" s="39"/>
      <c r="P157" s="73"/>
      <c r="Q157" s="73"/>
      <c r="R157" s="74"/>
      <c r="S157" s="74"/>
      <c r="T157" s="74">
        <f>SUM(T131:T156)</f>
        <v>69316</v>
      </c>
      <c r="U157" s="74"/>
      <c r="V157" s="83"/>
    </row>
    <row r="158" spans="1:22" ht="6" customHeight="1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</row>
    <row r="159" spans="1:22">
      <c r="A159" s="102" t="s">
        <v>186</v>
      </c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</row>
    <row r="160" spans="1:22" ht="14.25">
      <c r="A160" s="63">
        <v>135</v>
      </c>
      <c r="B160" s="44" t="s">
        <v>187</v>
      </c>
      <c r="C160" s="44" t="s">
        <v>23</v>
      </c>
      <c r="D160" s="34">
        <v>745702979.12</v>
      </c>
      <c r="E160" s="34">
        <v>8389597.4600000009</v>
      </c>
      <c r="F160" s="34"/>
      <c r="G160" s="34">
        <v>3703730.37</v>
      </c>
      <c r="H160" s="35">
        <f t="shared" ref="H160:H162" si="82">(E160+F160)-G160</f>
        <v>4685867.0900000008</v>
      </c>
      <c r="I160" s="48">
        <v>947374847</v>
      </c>
      <c r="J160" s="64">
        <f>(I160/$I$163)</f>
        <v>0.18162059954835572</v>
      </c>
      <c r="K160" s="34">
        <v>1039375650</v>
      </c>
      <c r="L160" s="64">
        <f>(K160/$K$163)</f>
        <v>0.20368582171442012</v>
      </c>
      <c r="M160" s="64">
        <f>((K160-I160)/I160)</f>
        <v>9.7111300021669247E-2</v>
      </c>
      <c r="N160" s="39">
        <f>(G160/K160)</f>
        <v>3.563418452221774E-3</v>
      </c>
      <c r="O160" s="40">
        <f>H160/K160</f>
        <v>4.5083479587000146E-3</v>
      </c>
      <c r="P160" s="65">
        <f>K160/V160</f>
        <v>63.902017848471822</v>
      </c>
      <c r="Q160" s="65">
        <f>H160/V160</f>
        <v>0.28809253172396981</v>
      </c>
      <c r="R160" s="34">
        <v>63.582500000000003</v>
      </c>
      <c r="S160" s="34">
        <v>65.499600000000001</v>
      </c>
      <c r="T160" s="34">
        <v>1506</v>
      </c>
      <c r="U160" s="34">
        <v>14788750</v>
      </c>
      <c r="V160" s="34">
        <v>16265146</v>
      </c>
    </row>
    <row r="161" spans="1:22" ht="14.25">
      <c r="A161" s="63">
        <v>136</v>
      </c>
      <c r="B161" s="44" t="s">
        <v>188</v>
      </c>
      <c r="C161" s="43" t="s">
        <v>43</v>
      </c>
      <c r="D161" s="61">
        <v>3275063160.0599999</v>
      </c>
      <c r="E161" s="61">
        <v>13135768.029999999</v>
      </c>
      <c r="F161" s="61">
        <v>-136720424.88999999</v>
      </c>
      <c r="G161" s="34">
        <v>9609984.2199999988</v>
      </c>
      <c r="H161" s="35">
        <f t="shared" si="82"/>
        <v>-133194641.07999998</v>
      </c>
      <c r="I161" s="50">
        <v>3428346236.9400001</v>
      </c>
      <c r="J161" s="64">
        <f t="shared" ref="J161:J162" si="83">(I161/$I$163)</f>
        <v>0.65724596867241081</v>
      </c>
      <c r="K161" s="61">
        <v>3257082957.7600002</v>
      </c>
      <c r="L161" s="64">
        <f t="shared" ref="L161:L162" si="84">(K161/$K$163)</f>
        <v>0.63828859050467424</v>
      </c>
      <c r="M161" s="64">
        <f t="shared" ref="M161:M163" si="85">((K161-I161)/I161)</f>
        <v>-4.9955070854471907E-2</v>
      </c>
      <c r="N161" s="39">
        <f t="shared" ref="N161:N162" si="86">(G161/K161)</f>
        <v>2.9504880117051397E-3</v>
      </c>
      <c r="O161" s="40">
        <f t="shared" ref="O161:O162" si="87">H161/K161</f>
        <v>-4.0893843604033406E-2</v>
      </c>
      <c r="P161" s="65">
        <f t="shared" ref="P161:P162" si="88">K161/V161</f>
        <v>2.283725299166012</v>
      </c>
      <c r="Q161" s="65">
        <f t="shared" ref="Q161:Q162" si="89">H161/V161</f>
        <v>-9.3390305218669284E-2</v>
      </c>
      <c r="R161" s="34">
        <v>2.27</v>
      </c>
      <c r="S161" s="34">
        <v>2.29</v>
      </c>
      <c r="T161" s="34">
        <v>10026</v>
      </c>
      <c r="U161" s="61">
        <v>1441067107.6900001</v>
      </c>
      <c r="V161" s="61">
        <v>1426214859.97</v>
      </c>
    </row>
    <row r="162" spans="1:22" ht="14.25">
      <c r="A162" s="63">
        <v>137</v>
      </c>
      <c r="B162" s="44" t="s">
        <v>189</v>
      </c>
      <c r="C162" s="43" t="s">
        <v>95</v>
      </c>
      <c r="D162" s="67">
        <v>806395997.12</v>
      </c>
      <c r="E162" s="67">
        <v>5217341.83</v>
      </c>
      <c r="F162" s="67"/>
      <c r="G162" s="67">
        <v>5880787.2599999998</v>
      </c>
      <c r="H162" s="35">
        <f t="shared" si="82"/>
        <v>-663445.4299999997</v>
      </c>
      <c r="I162" s="51">
        <v>840509064.82000005</v>
      </c>
      <c r="J162" s="64">
        <f t="shared" si="83"/>
        <v>0.16113343177923342</v>
      </c>
      <c r="K162" s="67">
        <v>806378895.86000001</v>
      </c>
      <c r="L162" s="64">
        <f t="shared" si="84"/>
        <v>0.1580255877809057</v>
      </c>
      <c r="M162" s="64">
        <f t="shared" si="85"/>
        <v>-4.0606544757859589E-2</v>
      </c>
      <c r="N162" s="39">
        <f t="shared" si="86"/>
        <v>7.2928337909044143E-3</v>
      </c>
      <c r="O162" s="40">
        <f t="shared" si="87"/>
        <v>-8.2274651954083902E-4</v>
      </c>
      <c r="P162" s="65">
        <f t="shared" si="88"/>
        <v>22.094540477275224</v>
      </c>
      <c r="Q162" s="65">
        <f t="shared" si="89"/>
        <v>-1.817820627853238E-2</v>
      </c>
      <c r="R162" s="67">
        <v>22.0946</v>
      </c>
      <c r="S162" s="67">
        <v>22.276</v>
      </c>
      <c r="T162" s="67">
        <v>1501</v>
      </c>
      <c r="U162" s="67">
        <v>36554037.049999997</v>
      </c>
      <c r="V162" s="67">
        <v>36496748.899999999</v>
      </c>
    </row>
    <row r="163" spans="1:22" ht="15" customHeight="1">
      <c r="A163" s="99" t="s">
        <v>48</v>
      </c>
      <c r="B163" s="99"/>
      <c r="C163" s="99"/>
      <c r="D163" s="99"/>
      <c r="E163" s="99"/>
      <c r="F163" s="99"/>
      <c r="G163" s="99"/>
      <c r="H163" s="99"/>
      <c r="I163" s="46">
        <f>SUM(I160:I162)</f>
        <v>5216230148.7600002</v>
      </c>
      <c r="J163" s="98">
        <f>(I163/$I$183)</f>
        <v>1.9729043183209704E-3</v>
      </c>
      <c r="K163" s="74">
        <f>SUM(K160:K162)</f>
        <v>5102837503.6199999</v>
      </c>
      <c r="L163" s="98">
        <f>(K163/$K$183)</f>
        <v>1.7803958165710167E-3</v>
      </c>
      <c r="M163" s="64">
        <f t="shared" si="85"/>
        <v>-2.1738428310521533E-2</v>
      </c>
      <c r="N163" s="39"/>
      <c r="O163" s="84"/>
      <c r="P163" s="73"/>
      <c r="Q163" s="73"/>
      <c r="R163" s="74"/>
      <c r="S163" s="74"/>
      <c r="T163" s="74">
        <f>SUM(T160:T162)</f>
        <v>13033</v>
      </c>
      <c r="U163" s="74"/>
      <c r="V163" s="83"/>
    </row>
    <row r="164" spans="1:22" ht="8.1" customHeight="1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</row>
    <row r="165" spans="1:22">
      <c r="A165" s="102" t="s">
        <v>190</v>
      </c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</row>
    <row r="166" spans="1:22" ht="12.95" customHeight="1">
      <c r="A166" s="103" t="s">
        <v>191</v>
      </c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</row>
    <row r="167" spans="1:22" ht="15" customHeight="1">
      <c r="A167" s="63">
        <v>138</v>
      </c>
      <c r="B167" s="44" t="s">
        <v>192</v>
      </c>
      <c r="C167" s="43" t="s">
        <v>118</v>
      </c>
      <c r="D167" s="85">
        <v>3849476829.3800001</v>
      </c>
      <c r="E167" s="38">
        <v>38609219.600000001</v>
      </c>
      <c r="F167" s="38"/>
      <c r="G167" s="61">
        <v>11998161.32</v>
      </c>
      <c r="H167" s="35">
        <f t="shared" ref="H167:H168" si="90">(E167+F167)-G167</f>
        <v>26611058.280000001</v>
      </c>
      <c r="I167" s="49">
        <v>1006384419.47</v>
      </c>
      <c r="J167" s="64">
        <f>(I167/$I$182)</f>
        <v>2.1518272544002914E-2</v>
      </c>
      <c r="K167" s="38">
        <v>4008643325.6700001</v>
      </c>
      <c r="L167" s="64">
        <f>(K167/$K$182)</f>
        <v>8.1654125818691956E-2</v>
      </c>
      <c r="M167" s="86">
        <f>((K167-I167)/I167)</f>
        <v>2.9832128241622646</v>
      </c>
      <c r="N167" s="39">
        <f>(G167/K167)</f>
        <v>2.9930728042497122E-3</v>
      </c>
      <c r="O167" s="40">
        <f>H167/K167</f>
        <v>6.6384200633645201E-3</v>
      </c>
      <c r="P167" s="65">
        <f>K167/V167</f>
        <v>1.9234245349675549</v>
      </c>
      <c r="Q167" s="65">
        <f>H167/V167</f>
        <v>1.2768500023296188E-2</v>
      </c>
      <c r="R167" s="38">
        <v>1.89</v>
      </c>
      <c r="S167" s="38">
        <v>1.92</v>
      </c>
      <c r="T167" s="38">
        <v>14957</v>
      </c>
      <c r="U167" s="38">
        <v>2033453267.23</v>
      </c>
      <c r="V167" s="34">
        <v>2084117808</v>
      </c>
    </row>
    <row r="168" spans="1:22" ht="14.25">
      <c r="A168" s="63">
        <v>139</v>
      </c>
      <c r="B168" s="43" t="s">
        <v>193</v>
      </c>
      <c r="C168" s="43" t="s">
        <v>43</v>
      </c>
      <c r="D168" s="61">
        <v>664426157.07000005</v>
      </c>
      <c r="E168" s="61">
        <v>2162083.89</v>
      </c>
      <c r="F168" s="61"/>
      <c r="G168" s="61">
        <v>1803837.65</v>
      </c>
      <c r="H168" s="35">
        <f t="shared" si="90"/>
        <v>358246.24000000022</v>
      </c>
      <c r="I168" s="50">
        <v>825984441.75999999</v>
      </c>
      <c r="J168" s="64">
        <f>(I168/$I$182)</f>
        <v>1.7661003082955231E-2</v>
      </c>
      <c r="K168" s="61">
        <v>777546061.73000002</v>
      </c>
      <c r="L168" s="64">
        <f>(K168/$K$182)</f>
        <v>1.5838237227982419E-2</v>
      </c>
      <c r="M168" s="86">
        <f>((K168-I168)/I168)</f>
        <v>-5.8643211156360182E-2</v>
      </c>
      <c r="N168" s="39">
        <f>(G168/K168)</f>
        <v>2.319910985063128E-3</v>
      </c>
      <c r="O168" s="40">
        <f>H168/K168</f>
        <v>4.6073957239641954E-4</v>
      </c>
      <c r="P168" s="65">
        <f>K168/V168</f>
        <v>430.91330320702707</v>
      </c>
      <c r="Q168" s="65">
        <f>H168/V168</f>
        <v>0.19853881105953433</v>
      </c>
      <c r="R168" s="34">
        <v>428.21</v>
      </c>
      <c r="S168" s="34">
        <v>432.76</v>
      </c>
      <c r="T168" s="61">
        <v>800</v>
      </c>
      <c r="U168" s="61">
        <v>1759956.87</v>
      </c>
      <c r="V168" s="61">
        <v>1804414.15</v>
      </c>
    </row>
    <row r="169" spans="1:22" ht="6.95" customHeight="1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</row>
    <row r="170" spans="1:22" ht="13.5">
      <c r="A170" s="103" t="s">
        <v>145</v>
      </c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</row>
    <row r="171" spans="1:22" ht="14.25">
      <c r="A171" s="63">
        <v>140</v>
      </c>
      <c r="B171" s="44" t="s">
        <v>194</v>
      </c>
      <c r="C171" s="43" t="s">
        <v>195</v>
      </c>
      <c r="D171" s="62">
        <v>263925808</v>
      </c>
      <c r="E171" s="34">
        <v>3687460</v>
      </c>
      <c r="F171" s="34"/>
      <c r="G171" s="35">
        <v>899637</v>
      </c>
      <c r="H171" s="35">
        <f t="shared" ref="H171:H181" si="91">(E171+F171)-G171</f>
        <v>2787823</v>
      </c>
      <c r="I171" s="48">
        <v>410742326</v>
      </c>
      <c r="J171" s="64">
        <f t="shared" ref="J171:J181" si="92">(I171/$I$182)</f>
        <v>8.7823948237199089E-3</v>
      </c>
      <c r="K171" s="34">
        <v>401172971</v>
      </c>
      <c r="L171" s="64">
        <f t="shared" ref="L171:L181" si="93">(K171/$K$182)</f>
        <v>8.1716993974806727E-3</v>
      </c>
      <c r="M171" s="64">
        <f t="shared" ref="M171:M182" si="94">((K171-I171)/I171)</f>
        <v>-2.3297708549276708E-2</v>
      </c>
      <c r="N171" s="39">
        <f t="shared" ref="N171" si="95">(G171/K171)</f>
        <v>2.2425164829960589E-3</v>
      </c>
      <c r="O171" s="40">
        <f t="shared" ref="O171" si="96">H171/K171</f>
        <v>6.9491795348296283E-3</v>
      </c>
      <c r="P171" s="65">
        <f t="shared" ref="P171" si="97">K171/V171</f>
        <v>1039.7580585382796</v>
      </c>
      <c r="Q171" s="65">
        <f t="shared" ref="Q171" si="98">H171/V171</f>
        <v>7.2254654215683987</v>
      </c>
      <c r="R171" s="34">
        <v>1039.76</v>
      </c>
      <c r="S171" s="34">
        <v>1039.76</v>
      </c>
      <c r="T171" s="34">
        <v>21</v>
      </c>
      <c r="U171" s="34">
        <v>397733</v>
      </c>
      <c r="V171" s="34">
        <v>385833</v>
      </c>
    </row>
    <row r="172" spans="1:22" ht="15" customHeight="1">
      <c r="A172" s="63">
        <v>141</v>
      </c>
      <c r="B172" s="44" t="s">
        <v>196</v>
      </c>
      <c r="C172" s="37" t="s">
        <v>60</v>
      </c>
      <c r="D172" s="34">
        <v>42293035.979999997</v>
      </c>
      <c r="E172" s="34">
        <v>934834.57</v>
      </c>
      <c r="F172" s="34"/>
      <c r="G172" s="34">
        <v>190571.31</v>
      </c>
      <c r="H172" s="35">
        <f t="shared" si="91"/>
        <v>744263.26</v>
      </c>
      <c r="I172" s="50">
        <v>106571625.53</v>
      </c>
      <c r="J172" s="64">
        <f t="shared" si="92"/>
        <v>2.2786891760701784E-3</v>
      </c>
      <c r="K172" s="61">
        <v>103876812.67</v>
      </c>
      <c r="L172" s="64">
        <f t="shared" si="93"/>
        <v>2.1159204354962683E-3</v>
      </c>
      <c r="M172" s="64">
        <f t="shared" si="94"/>
        <v>-2.5286401015262805E-2</v>
      </c>
      <c r="N172" s="39">
        <f t="shared" ref="N172:N181" si="99">(G172/K172)</f>
        <v>1.8345895017535293E-3</v>
      </c>
      <c r="O172" s="40">
        <f t="shared" ref="O172:O181" si="100">H172/K172</f>
        <v>7.1648642355287241E-3</v>
      </c>
      <c r="P172" s="65">
        <f t="shared" ref="P172:P181" si="101">K172/V172</f>
        <v>110.56676537582997</v>
      </c>
      <c r="Q172" s="65">
        <f t="shared" ref="Q172:Q181" si="102">H172/V172</f>
        <v>0.79219586287937971</v>
      </c>
      <c r="R172" s="34">
        <v>110.93</v>
      </c>
      <c r="S172" s="34">
        <v>110.93</v>
      </c>
      <c r="T172" s="34">
        <v>67</v>
      </c>
      <c r="U172" s="34">
        <v>975873</v>
      </c>
      <c r="V172" s="34">
        <v>939494</v>
      </c>
    </row>
    <row r="173" spans="1:22" ht="15" customHeight="1">
      <c r="A173" s="63">
        <v>142</v>
      </c>
      <c r="B173" s="44" t="s">
        <v>197</v>
      </c>
      <c r="C173" s="37" t="s">
        <v>170</v>
      </c>
      <c r="D173" s="34">
        <v>37595414.32</v>
      </c>
      <c r="E173" s="34">
        <v>557922.74</v>
      </c>
      <c r="F173" s="34"/>
      <c r="G173" s="34">
        <v>234155.67</v>
      </c>
      <c r="H173" s="35">
        <f t="shared" si="91"/>
        <v>323767.06999999995</v>
      </c>
      <c r="I173" s="48">
        <v>55340253.25</v>
      </c>
      <c r="J173" s="64">
        <f t="shared" si="92"/>
        <v>1.1832721463581255E-3</v>
      </c>
      <c r="K173" s="34">
        <v>55838226.68</v>
      </c>
      <c r="L173" s="64">
        <f t="shared" si="93"/>
        <v>1.1373976720813158E-3</v>
      </c>
      <c r="M173" s="64">
        <f t="shared" si="94"/>
        <v>8.9983944914455143E-3</v>
      </c>
      <c r="N173" s="39">
        <f t="shared" si="99"/>
        <v>4.1934653717051028E-3</v>
      </c>
      <c r="O173" s="40">
        <f t="shared" si="100"/>
        <v>5.7983050188083075E-3</v>
      </c>
      <c r="P173" s="65">
        <f t="shared" si="101"/>
        <v>101.37199052330595</v>
      </c>
      <c r="Q173" s="65">
        <f t="shared" si="102"/>
        <v>0.58778572141787311</v>
      </c>
      <c r="R173" s="34">
        <v>100.61</v>
      </c>
      <c r="S173" s="34">
        <v>101.37</v>
      </c>
      <c r="T173" s="34">
        <v>12</v>
      </c>
      <c r="U173" s="34">
        <v>552698</v>
      </c>
      <c r="V173" s="34">
        <v>550825</v>
      </c>
    </row>
    <row r="174" spans="1:22" ht="15" customHeight="1">
      <c r="A174" s="63">
        <v>143</v>
      </c>
      <c r="B174" s="43" t="s">
        <v>198</v>
      </c>
      <c r="C174" s="43" t="s">
        <v>73</v>
      </c>
      <c r="D174" s="61">
        <v>10011543705.49</v>
      </c>
      <c r="E174" s="61">
        <v>112892203.06999999</v>
      </c>
      <c r="F174" s="61"/>
      <c r="G174" s="61">
        <v>15789327.609999999</v>
      </c>
      <c r="H174" s="35">
        <f t="shared" si="91"/>
        <v>97102875.459999993</v>
      </c>
      <c r="I174" s="51">
        <v>10304767805.879999</v>
      </c>
      <c r="J174" s="64">
        <f t="shared" si="92"/>
        <v>0.22033409685174757</v>
      </c>
      <c r="K174" s="67">
        <v>9971316862.3099995</v>
      </c>
      <c r="L174" s="64">
        <f t="shared" si="93"/>
        <v>0.20311090199500878</v>
      </c>
      <c r="M174" s="64">
        <f t="shared" si="94"/>
        <v>-3.2358899283468509E-2</v>
      </c>
      <c r="N174" s="39">
        <f t="shared" si="99"/>
        <v>1.5834746631792596E-3</v>
      </c>
      <c r="O174" s="40">
        <f t="shared" si="100"/>
        <v>9.7382198159837348E-3</v>
      </c>
      <c r="P174" s="65">
        <f t="shared" si="101"/>
        <v>136.48164929063719</v>
      </c>
      <c r="Q174" s="65">
        <f t="shared" si="102"/>
        <v>1.3290883016402257</v>
      </c>
      <c r="R174" s="34">
        <v>136.47999999999999</v>
      </c>
      <c r="S174" s="34">
        <v>136.47999999999999</v>
      </c>
      <c r="T174" s="34">
        <v>675</v>
      </c>
      <c r="U174" s="67">
        <v>76263558.290000007</v>
      </c>
      <c r="V174" s="67">
        <v>73059762.349999994</v>
      </c>
    </row>
    <row r="175" spans="1:22" ht="15" customHeight="1">
      <c r="A175" s="63">
        <v>144</v>
      </c>
      <c r="B175" s="43" t="s">
        <v>225</v>
      </c>
      <c r="C175" s="43" t="s">
        <v>58</v>
      </c>
      <c r="D175" s="61">
        <v>246690754.09999999</v>
      </c>
      <c r="E175" s="61">
        <v>2875305.57</v>
      </c>
      <c r="F175" s="61"/>
      <c r="G175" s="61">
        <v>715083.51</v>
      </c>
      <c r="H175" s="35">
        <f>(E175+F175)-G175</f>
        <v>2160222.0599999996</v>
      </c>
      <c r="I175" s="51">
        <v>242901095.62</v>
      </c>
      <c r="J175" s="64">
        <f t="shared" si="92"/>
        <v>5.1936535141717602E-3</v>
      </c>
      <c r="K175" s="67">
        <v>247833674.03</v>
      </c>
      <c r="L175" s="64">
        <f t="shared" si="93"/>
        <v>5.0482520786435843E-3</v>
      </c>
      <c r="M175" s="64">
        <f t="shared" si="94"/>
        <v>2.0306941792130218E-2</v>
      </c>
      <c r="N175" s="39">
        <f t="shared" si="99"/>
        <v>2.8853363563235558E-3</v>
      </c>
      <c r="O175" s="40">
        <f t="shared" si="100"/>
        <v>8.7164186564030327E-3</v>
      </c>
      <c r="P175" s="65">
        <f t="shared" si="101"/>
        <v>1048.8470937509735</v>
      </c>
      <c r="Q175" s="65">
        <f t="shared" si="102"/>
        <v>9.1421903756850842</v>
      </c>
      <c r="R175" s="34">
        <v>1048.8499999999999</v>
      </c>
      <c r="S175" s="34">
        <v>1048.8499999999999</v>
      </c>
      <c r="T175" s="34">
        <v>18</v>
      </c>
      <c r="U175" s="67">
        <v>233716.76</v>
      </c>
      <c r="V175" s="67">
        <v>236291.52</v>
      </c>
    </row>
    <row r="176" spans="1:22" ht="15" customHeight="1">
      <c r="A176" s="63">
        <v>145</v>
      </c>
      <c r="B176" s="44" t="s">
        <v>117</v>
      </c>
      <c r="C176" s="43" t="s">
        <v>118</v>
      </c>
      <c r="D176" s="34">
        <v>17754610508.470001</v>
      </c>
      <c r="E176" s="34">
        <v>210158980.13999999</v>
      </c>
      <c r="F176" s="34"/>
      <c r="G176" s="34">
        <v>50432205.990000002</v>
      </c>
      <c r="H176" s="35">
        <f>(E176+F176)-G176</f>
        <v>159726774.14999998</v>
      </c>
      <c r="I176" s="48">
        <v>19338774051.099998</v>
      </c>
      <c r="J176" s="64">
        <f t="shared" si="92"/>
        <v>0.41349707194156932</v>
      </c>
      <c r="K176" s="34">
        <v>18780121746.119999</v>
      </c>
      <c r="L176" s="64">
        <f t="shared" si="93"/>
        <v>0.38254199722090071</v>
      </c>
      <c r="M176" s="64">
        <f t="shared" si="94"/>
        <v>-2.8887679410485853E-2</v>
      </c>
      <c r="N176" s="39">
        <f t="shared" si="99"/>
        <v>2.6854035704225064E-3</v>
      </c>
      <c r="O176" s="40">
        <f t="shared" si="100"/>
        <v>8.5050979066735692E-3</v>
      </c>
      <c r="P176" s="65">
        <f t="shared" si="101"/>
        <v>1213.8908707947749</v>
      </c>
      <c r="Q176" s="65">
        <f t="shared" si="102"/>
        <v>10.324260704126795</v>
      </c>
      <c r="R176" s="35">
        <v>1213.8900000000001</v>
      </c>
      <c r="S176" s="35">
        <v>1213.8900000000001</v>
      </c>
      <c r="T176" s="34">
        <v>7726</v>
      </c>
      <c r="U176" s="61">
        <v>16064182.949999999</v>
      </c>
      <c r="V176" s="34">
        <v>15471013.25</v>
      </c>
    </row>
    <row r="177" spans="1:22" ht="15" customHeight="1">
      <c r="A177" s="63">
        <v>146</v>
      </c>
      <c r="B177" s="87" t="s">
        <v>226</v>
      </c>
      <c r="C177" s="88" t="s">
        <v>227</v>
      </c>
      <c r="D177" s="61">
        <v>271371116.11000001</v>
      </c>
      <c r="E177" s="61">
        <v>3954461.3</v>
      </c>
      <c r="F177" s="61">
        <v>57448266.469999999</v>
      </c>
      <c r="G177" s="61">
        <v>608714.14</v>
      </c>
      <c r="H177" s="35">
        <f t="shared" si="91"/>
        <v>60794013.629999995</v>
      </c>
      <c r="I177" s="48">
        <v>380263751.30000001</v>
      </c>
      <c r="J177" s="64">
        <f t="shared" si="92"/>
        <v>8.130709181077762E-3</v>
      </c>
      <c r="K177" s="67">
        <v>422504667.66000003</v>
      </c>
      <c r="L177" s="64">
        <f t="shared" si="93"/>
        <v>8.6062157416632E-3</v>
      </c>
      <c r="M177" s="64">
        <f t="shared" si="94"/>
        <v>0.11108320531628862</v>
      </c>
      <c r="N177" s="39">
        <f t="shared" si="99"/>
        <v>1.4407276098777858E-3</v>
      </c>
      <c r="O177" s="40">
        <f t="shared" si="100"/>
        <v>0.1438895668696433</v>
      </c>
      <c r="P177" s="65">
        <f t="shared" si="101"/>
        <v>115.00745215830632</v>
      </c>
      <c r="Q177" s="65">
        <f t="shared" si="102"/>
        <v>16.548372477839923</v>
      </c>
      <c r="R177" s="34">
        <v>114.68</v>
      </c>
      <c r="S177" s="34">
        <v>115.18</v>
      </c>
      <c r="T177" s="34">
        <v>153</v>
      </c>
      <c r="U177" s="67">
        <v>3557765.07</v>
      </c>
      <c r="V177" s="67">
        <v>3673715.57</v>
      </c>
    </row>
    <row r="178" spans="1:22" ht="15" customHeight="1">
      <c r="A178" s="63">
        <v>147</v>
      </c>
      <c r="B178" s="87" t="s">
        <v>228</v>
      </c>
      <c r="C178" s="88" t="s">
        <v>227</v>
      </c>
      <c r="D178" s="61">
        <v>126498152.08</v>
      </c>
      <c r="E178" s="61">
        <v>0</v>
      </c>
      <c r="F178" s="61">
        <v>1348720.8</v>
      </c>
      <c r="G178" s="61">
        <v>211213.69</v>
      </c>
      <c r="H178" s="35">
        <f t="shared" si="91"/>
        <v>1137507.1100000001</v>
      </c>
      <c r="I178" s="48">
        <v>135406731.72</v>
      </c>
      <c r="J178" s="64">
        <f t="shared" si="92"/>
        <v>2.895234565513364E-3</v>
      </c>
      <c r="K178" s="67">
        <v>135406731.72</v>
      </c>
      <c r="L178" s="64">
        <f t="shared" si="93"/>
        <v>2.7581696375331105E-3</v>
      </c>
      <c r="M178" s="64">
        <f t="shared" si="94"/>
        <v>0</v>
      </c>
      <c r="N178" s="39">
        <f t="shared" si="99"/>
        <v>1.5598463039249552E-3</v>
      </c>
      <c r="O178" s="40">
        <f t="shared" si="100"/>
        <v>8.4006688260683179E-3</v>
      </c>
      <c r="P178" s="65">
        <f t="shared" si="101"/>
        <v>96.804545532438894</v>
      </c>
      <c r="Q178" s="65">
        <f t="shared" si="102"/>
        <v>0.81322292787607053</v>
      </c>
      <c r="R178" s="34">
        <v>100.82</v>
      </c>
      <c r="S178" s="34">
        <v>100.82</v>
      </c>
      <c r="T178" s="34">
        <v>56</v>
      </c>
      <c r="U178" s="67">
        <v>1351066.19</v>
      </c>
      <c r="V178" s="67">
        <v>1398764.19</v>
      </c>
    </row>
    <row r="179" spans="1:22" ht="14.25">
      <c r="A179" s="63">
        <v>148</v>
      </c>
      <c r="B179" s="43" t="s">
        <v>199</v>
      </c>
      <c r="C179" s="43" t="s">
        <v>224</v>
      </c>
      <c r="D179" s="34">
        <v>773270022.14999998</v>
      </c>
      <c r="E179" s="61">
        <v>11008309.279999999</v>
      </c>
      <c r="F179" s="61"/>
      <c r="G179" s="34">
        <v>1978943.03</v>
      </c>
      <c r="H179" s="35">
        <f t="shared" si="91"/>
        <v>9029366.25</v>
      </c>
      <c r="I179" s="48">
        <v>917782725.15999997</v>
      </c>
      <c r="J179" s="64">
        <f t="shared" si="92"/>
        <v>1.9623812167691566E-2</v>
      </c>
      <c r="K179" s="34">
        <v>1032471806.6799999</v>
      </c>
      <c r="L179" s="64">
        <f t="shared" si="93"/>
        <v>2.1030951361283853E-2</v>
      </c>
      <c r="M179" s="64">
        <f t="shared" si="94"/>
        <v>0.12496321664804257</v>
      </c>
      <c r="N179" s="39">
        <f t="shared" si="99"/>
        <v>1.9167041823286758E-3</v>
      </c>
      <c r="O179" s="40">
        <f t="shared" si="100"/>
        <v>8.7453877109096925E-3</v>
      </c>
      <c r="P179" s="65">
        <f t="shared" si="101"/>
        <v>104.03049911720279</v>
      </c>
      <c r="Q179" s="65">
        <f t="shared" si="102"/>
        <v>0.90978704853938708</v>
      </c>
      <c r="R179" s="34">
        <v>104.03</v>
      </c>
      <c r="S179" s="34">
        <v>104.03</v>
      </c>
      <c r="T179" s="61">
        <v>543</v>
      </c>
      <c r="U179" s="34">
        <v>8900843</v>
      </c>
      <c r="V179" s="34">
        <v>9924703</v>
      </c>
    </row>
    <row r="180" spans="1:22" ht="14.25">
      <c r="A180" s="63">
        <v>149</v>
      </c>
      <c r="B180" s="44" t="s">
        <v>200</v>
      </c>
      <c r="C180" s="44" t="s">
        <v>43</v>
      </c>
      <c r="D180" s="61">
        <v>8121557895.5900002</v>
      </c>
      <c r="E180" s="61">
        <v>58498984.509999998</v>
      </c>
      <c r="F180" s="61"/>
      <c r="G180" s="61">
        <v>12591434.890000001</v>
      </c>
      <c r="H180" s="35">
        <f t="shared" si="91"/>
        <v>45907549.619999997</v>
      </c>
      <c r="I180" s="50">
        <v>8004081162.4300003</v>
      </c>
      <c r="J180" s="64">
        <f t="shared" si="92"/>
        <v>0.17114136167588259</v>
      </c>
      <c r="K180" s="61">
        <v>8104543689.29</v>
      </c>
      <c r="L180" s="64">
        <f t="shared" si="93"/>
        <v>0.16508563529975923</v>
      </c>
      <c r="M180" s="64">
        <f t="shared" si="94"/>
        <v>1.2551412813197877E-2</v>
      </c>
      <c r="N180" s="39">
        <f t="shared" si="99"/>
        <v>1.5536266288056835E-3</v>
      </c>
      <c r="O180" s="40">
        <f t="shared" si="100"/>
        <v>5.6644212654027581E-3</v>
      </c>
      <c r="P180" s="65">
        <f t="shared" si="101"/>
        <v>129.74914919953545</v>
      </c>
      <c r="Q180" s="65">
        <f t="shared" si="102"/>
        <v>0.73495383989376373</v>
      </c>
      <c r="R180" s="61">
        <v>129.75</v>
      </c>
      <c r="S180" s="61">
        <v>129.75</v>
      </c>
      <c r="T180" s="34">
        <v>1139</v>
      </c>
      <c r="U180" s="61">
        <v>63770825.890000001</v>
      </c>
      <c r="V180" s="61">
        <v>62463174.049999997</v>
      </c>
    </row>
    <row r="181" spans="1:22" ht="15" customHeight="1">
      <c r="A181" s="63">
        <v>150</v>
      </c>
      <c r="B181" s="43" t="s">
        <v>201</v>
      </c>
      <c r="C181" s="43" t="s">
        <v>47</v>
      </c>
      <c r="D181" s="67">
        <v>3130813063</v>
      </c>
      <c r="E181" s="67">
        <v>49189188</v>
      </c>
      <c r="F181" s="67"/>
      <c r="G181" s="34">
        <v>8865785</v>
      </c>
      <c r="H181" s="35">
        <f t="shared" si="91"/>
        <v>40323403</v>
      </c>
      <c r="I181" s="50">
        <v>5039829098</v>
      </c>
      <c r="J181" s="64">
        <f t="shared" si="92"/>
        <v>0.10776042832923963</v>
      </c>
      <c r="K181" s="61">
        <v>5051690687</v>
      </c>
      <c r="L181" s="64">
        <f t="shared" si="93"/>
        <v>0.10290049611347477</v>
      </c>
      <c r="M181" s="64">
        <f t="shared" si="94"/>
        <v>2.3535696884458123E-3</v>
      </c>
      <c r="N181" s="39">
        <f t="shared" si="99"/>
        <v>1.7550134300215914E-3</v>
      </c>
      <c r="O181" s="40">
        <f t="shared" si="100"/>
        <v>7.9821599338550323E-3</v>
      </c>
      <c r="P181" s="65">
        <f t="shared" si="101"/>
        <v>1.1941820470058531</v>
      </c>
      <c r="Q181" s="65">
        <f t="shared" si="102"/>
        <v>9.5321520893391059E-3</v>
      </c>
      <c r="R181" s="35">
        <v>1.19</v>
      </c>
      <c r="S181" s="35">
        <v>1.19</v>
      </c>
      <c r="T181" s="34">
        <v>218</v>
      </c>
      <c r="U181" s="34">
        <v>4266722207</v>
      </c>
      <c r="V181" s="34">
        <v>4230251744</v>
      </c>
    </row>
    <row r="182" spans="1:22" ht="15" customHeight="1">
      <c r="A182" s="99" t="s">
        <v>48</v>
      </c>
      <c r="B182" s="99"/>
      <c r="C182" s="99"/>
      <c r="D182" s="99"/>
      <c r="E182" s="99"/>
      <c r="F182" s="99"/>
      <c r="G182" s="99"/>
      <c r="H182" s="99"/>
      <c r="I182" s="46">
        <f>SUM(I167:I181)</f>
        <v>46768829487.220001</v>
      </c>
      <c r="J182" s="98">
        <f>(I182/$I$183)</f>
        <v>1.7689101712678068E-2</v>
      </c>
      <c r="K182" s="74">
        <f>SUM(K167:K181)</f>
        <v>49092967262.560005</v>
      </c>
      <c r="L182" s="98">
        <f>(K182/$K$183)</f>
        <v>1.712868839646841E-2</v>
      </c>
      <c r="M182" s="64">
        <f t="shared" si="94"/>
        <v>4.9694161706037465E-2</v>
      </c>
      <c r="N182" s="39"/>
      <c r="O182" s="39"/>
      <c r="P182" s="73"/>
      <c r="Q182" s="73"/>
      <c r="R182" s="74"/>
      <c r="S182" s="74"/>
      <c r="T182" s="74">
        <f>SUM(T167:T181)</f>
        <v>26385</v>
      </c>
      <c r="U182" s="74"/>
      <c r="V182" s="74"/>
    </row>
    <row r="183" spans="1:22" ht="15" customHeight="1">
      <c r="A183" s="100" t="s">
        <v>202</v>
      </c>
      <c r="B183" s="100"/>
      <c r="C183" s="100"/>
      <c r="D183" s="100"/>
      <c r="E183" s="100"/>
      <c r="F183" s="100"/>
      <c r="G183" s="100"/>
      <c r="H183" s="100"/>
      <c r="I183" s="90">
        <f>SUM(I22,I55,I90,I120,I128,I157,I163,I182)</f>
        <v>2643934680623.1558</v>
      </c>
      <c r="J183" s="91"/>
      <c r="K183" s="92">
        <f>SUM(K22,K55,K90,K120,K128,K157,K163,K182)</f>
        <v>2866125305466.0034</v>
      </c>
      <c r="L183" s="91"/>
      <c r="M183" s="91"/>
      <c r="N183" s="93"/>
      <c r="O183" s="93"/>
      <c r="P183" s="94"/>
      <c r="Q183" s="94"/>
      <c r="R183" s="90"/>
      <c r="S183" s="90"/>
      <c r="T183" s="92">
        <f>SUM(T22,T55,T90,T120,T128,T157,T163,T182)</f>
        <v>713635</v>
      </c>
      <c r="U183" s="89"/>
      <c r="V183" s="89"/>
    </row>
    <row r="184" spans="1:22" ht="5.0999999999999996" customHeight="1">
      <c r="A184" s="7"/>
      <c r="B184" s="7"/>
      <c r="C184" s="7"/>
      <c r="D184" s="6"/>
      <c r="E184" s="6"/>
      <c r="F184" s="6"/>
      <c r="G184" s="6"/>
      <c r="H184" s="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">
      <c r="A185" s="9" t="s">
        <v>203</v>
      </c>
      <c r="B185" s="12" t="s">
        <v>216</v>
      </c>
      <c r="C185"/>
      <c r="D185" s="6"/>
      <c r="E185" s="6"/>
      <c r="F185" s="6"/>
      <c r="G185" s="6"/>
      <c r="H185" s="8"/>
      <c r="I185" s="10"/>
      <c r="J185" s="6"/>
      <c r="K185" s="10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11"/>
    </row>
  </sheetData>
  <sheetProtection password="CA3B" sheet="1" objects="1" scenarios="1"/>
  <mergeCells count="32">
    <mergeCell ref="A1:V1"/>
    <mergeCell ref="A3:V3"/>
    <mergeCell ref="A4:V4"/>
    <mergeCell ref="A22:H22"/>
    <mergeCell ref="A23:V23"/>
    <mergeCell ref="A24:V24"/>
    <mergeCell ref="A55:H55"/>
    <mergeCell ref="A56:V56"/>
    <mergeCell ref="A57:V57"/>
    <mergeCell ref="A90:H90"/>
    <mergeCell ref="A91:V91"/>
    <mergeCell ref="A92:V92"/>
    <mergeCell ref="A93:V93"/>
    <mergeCell ref="A108:V108"/>
    <mergeCell ref="A109:V109"/>
    <mergeCell ref="A120:H120"/>
    <mergeCell ref="A121:V121"/>
    <mergeCell ref="A122:V122"/>
    <mergeCell ref="A128:H128"/>
    <mergeCell ref="A129:V129"/>
    <mergeCell ref="A130:V130"/>
    <mergeCell ref="A157:H157"/>
    <mergeCell ref="A158:V158"/>
    <mergeCell ref="A159:V159"/>
    <mergeCell ref="A163:H163"/>
    <mergeCell ref="A182:H182"/>
    <mergeCell ref="A183:H183"/>
    <mergeCell ref="A164:V164"/>
    <mergeCell ref="A165:V165"/>
    <mergeCell ref="A166:V166"/>
    <mergeCell ref="A169:V169"/>
    <mergeCell ref="A170:V170"/>
  </mergeCells>
  <pageMargins left="0.7" right="0.7" top="0.75" bottom="0.75" header="0.3" footer="0.3"/>
  <pageSetup orientation="portrait" r:id="rId1"/>
  <ignoredErrors>
    <ignoredError sqref="D123:E123 G123 G126 K123 U123 I123" numberStoredAsText="1"/>
    <ignoredError sqref="J55 J22 J90 J120 J128 J157 J163 J182" formula="1"/>
    <ignoredError sqref="M9 M114 M96" evalError="1"/>
    <ignoredError sqref="T1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H5" sqref="H5"/>
    </sheetView>
  </sheetViews>
  <sheetFormatPr defaultColWidth="9" defaultRowHeight="15"/>
  <cols>
    <col min="1" max="1" width="34" customWidth="1"/>
    <col min="2" max="2" width="13.7109375" customWidth="1"/>
    <col min="3" max="3" width="15.85546875" customWidth="1"/>
  </cols>
  <sheetData>
    <row r="1" spans="1:4">
      <c r="A1" s="1"/>
      <c r="B1" s="1"/>
      <c r="C1" s="1"/>
      <c r="D1" s="1"/>
    </row>
    <row r="2" spans="1:4">
      <c r="A2" s="3"/>
      <c r="B2" s="3"/>
      <c r="C2" s="3"/>
      <c r="D2" s="3"/>
    </row>
    <row r="3" spans="1:4">
      <c r="A3" s="3"/>
      <c r="B3" s="3"/>
      <c r="C3" s="3"/>
      <c r="D3" s="3"/>
    </row>
    <row r="4" spans="1:4" ht="33" customHeight="1">
      <c r="A4" s="121" t="s">
        <v>204</v>
      </c>
      <c r="B4" s="122" t="s">
        <v>255</v>
      </c>
      <c r="C4" s="122" t="s">
        <v>256</v>
      </c>
      <c r="D4" s="1"/>
    </row>
    <row r="5" spans="1:4" ht="18.95" customHeight="1">
      <c r="A5" s="123" t="s">
        <v>17</v>
      </c>
      <c r="B5" s="124">
        <v>29.579571642289327</v>
      </c>
      <c r="C5" s="125">
        <f>'February 2024'!K22/1000000000</f>
        <v>27.968292639349997</v>
      </c>
      <c r="D5" s="1"/>
    </row>
    <row r="6" spans="1:4" ht="15.75">
      <c r="A6" s="121" t="s">
        <v>49</v>
      </c>
      <c r="B6" s="124">
        <v>954.71678990712985</v>
      </c>
      <c r="C6" s="125">
        <f>'February 2024'!K55/1000000000</f>
        <v>959.12521671342017</v>
      </c>
      <c r="D6" s="1"/>
    </row>
    <row r="7" spans="1:4" ht="15.75">
      <c r="A7" s="121" t="s">
        <v>205</v>
      </c>
      <c r="B7" s="124">
        <v>297.26469795871998</v>
      </c>
      <c r="C7" s="125">
        <f>'February 2024'!K90/1000000000</f>
        <v>290.37195049995</v>
      </c>
      <c r="D7" s="1"/>
    </row>
    <row r="8" spans="1:4" ht="15.75">
      <c r="A8" s="121" t="s">
        <v>206</v>
      </c>
      <c r="B8" s="124">
        <v>1167.7321175052934</v>
      </c>
      <c r="C8" s="125">
        <f>'February 2024'!K120/1000000000</f>
        <v>1387.5869787181832</v>
      </c>
      <c r="D8" s="1"/>
    </row>
    <row r="9" spans="1:4" ht="15.75">
      <c r="A9" s="121" t="s">
        <v>207</v>
      </c>
      <c r="B9" s="124">
        <v>97.676603718220008</v>
      </c>
      <c r="C9" s="125">
        <f>'February 2024'!K128/1000000000</f>
        <v>98.105620467190008</v>
      </c>
      <c r="D9" s="1"/>
    </row>
    <row r="10" spans="1:4" ht="15.75">
      <c r="A10" s="121" t="s">
        <v>161</v>
      </c>
      <c r="B10" s="124">
        <v>46.187915048359997</v>
      </c>
      <c r="C10" s="125">
        <f>'February 2024'!K157/1000000000</f>
        <v>48.771441661730002</v>
      </c>
      <c r="D10" s="1"/>
    </row>
    <row r="11" spans="1:4" ht="15.75">
      <c r="A11" s="121" t="s">
        <v>186</v>
      </c>
      <c r="B11" s="124">
        <v>5.2162301487600002</v>
      </c>
      <c r="C11" s="125">
        <f>'February 2024'!K163/1000000000</f>
        <v>5.10283750362</v>
      </c>
      <c r="D11" s="1"/>
    </row>
    <row r="12" spans="1:4" ht="15.75">
      <c r="A12" s="121" t="s">
        <v>208</v>
      </c>
      <c r="B12" s="124">
        <v>46.768829487220003</v>
      </c>
      <c r="C12" s="125">
        <f>'February 2024'!K182/1000000000</f>
        <v>49.092967262560002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 ht="16.5">
      <c r="A16" s="3"/>
      <c r="B16" s="14"/>
      <c r="C16" s="15"/>
      <c r="D16" s="3"/>
    </row>
    <row r="17" spans="1:4" ht="16.5">
      <c r="A17" s="16"/>
      <c r="B17" s="17"/>
      <c r="C17" s="18"/>
      <c r="D17" s="3"/>
    </row>
    <row r="18" spans="1:4" ht="16.5">
      <c r="A18" s="13"/>
      <c r="B18" s="19"/>
      <c r="C18" s="20"/>
      <c r="D18" s="3"/>
    </row>
    <row r="19" spans="1:4" ht="16.5">
      <c r="A19" s="21"/>
      <c r="B19" s="17"/>
      <c r="C19" s="22"/>
      <c r="D19" s="3"/>
    </row>
    <row r="20" spans="1:4" ht="16.5">
      <c r="A20" s="21"/>
      <c r="B20" s="19"/>
      <c r="C20" s="20"/>
      <c r="D20" s="3"/>
    </row>
    <row r="21" spans="1:4" ht="16.5">
      <c r="A21" s="21"/>
      <c r="B21" s="17"/>
      <c r="C21" s="22"/>
      <c r="D21" s="3"/>
    </row>
    <row r="22" spans="1:4" ht="16.5">
      <c r="A22" s="21"/>
      <c r="B22" s="23"/>
      <c r="C22" s="24"/>
      <c r="D22" s="3"/>
    </row>
    <row r="23" spans="1:4" ht="16.5">
      <c r="A23" s="21"/>
      <c r="B23" s="17"/>
      <c r="C23" s="22"/>
      <c r="D23" s="3"/>
    </row>
    <row r="24" spans="1:4" ht="16.5">
      <c r="A24" s="21"/>
      <c r="B24" s="17"/>
      <c r="C24" s="17"/>
      <c r="D24" s="3"/>
    </row>
    <row r="25" spans="1:4" ht="16.5">
      <c r="A25" s="21"/>
      <c r="B25" s="17"/>
      <c r="C25" s="17"/>
      <c r="D25" s="3"/>
    </row>
    <row r="26" spans="1:4" ht="16.5">
      <c r="A26" s="21"/>
      <c r="B26" s="17"/>
      <c r="C26" s="17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J8" sqref="J8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4">
      <c r="A1" s="112" t="s">
        <v>204</v>
      </c>
      <c r="B1" s="113" t="s">
        <v>256</v>
      </c>
      <c r="C1" s="1"/>
      <c r="D1" s="3"/>
    </row>
    <row r="2" spans="1:4">
      <c r="A2" s="112" t="s">
        <v>186</v>
      </c>
      <c r="B2" s="114">
        <f>'February 2024'!K163</f>
        <v>5102837503.6199999</v>
      </c>
      <c r="C2" s="1"/>
      <c r="D2" s="3"/>
    </row>
    <row r="3" spans="1:4">
      <c r="A3" s="112" t="s">
        <v>17</v>
      </c>
      <c r="B3" s="115">
        <f>'February 2024'!K22</f>
        <v>27968292639.349998</v>
      </c>
      <c r="C3" s="1"/>
      <c r="D3" s="3"/>
    </row>
    <row r="4" spans="1:4">
      <c r="A4" s="112" t="s">
        <v>161</v>
      </c>
      <c r="B4" s="116">
        <f>'February 2024'!K157</f>
        <v>48771441661.730003</v>
      </c>
      <c r="C4" s="1"/>
      <c r="D4" s="3"/>
    </row>
    <row r="5" spans="1:4">
      <c r="A5" s="112" t="s">
        <v>208</v>
      </c>
      <c r="B5" s="116">
        <f>'February 2024'!K182</f>
        <v>49092967262.560005</v>
      </c>
      <c r="C5" s="1"/>
      <c r="D5" s="3"/>
    </row>
    <row r="6" spans="1:4">
      <c r="A6" s="112" t="s">
        <v>207</v>
      </c>
      <c r="B6" s="117">
        <f>'February 2024'!K128</f>
        <v>98105620467.190002</v>
      </c>
      <c r="C6" s="1"/>
      <c r="D6" s="3"/>
    </row>
    <row r="7" spans="1:4">
      <c r="A7" s="112" t="s">
        <v>205</v>
      </c>
      <c r="B7" s="117">
        <f>'February 2024'!K90</f>
        <v>290371950499.95001</v>
      </c>
      <c r="C7" s="1"/>
      <c r="D7" s="3"/>
    </row>
    <row r="8" spans="1:4">
      <c r="A8" s="112" t="s">
        <v>49</v>
      </c>
      <c r="B8" s="116">
        <f>'February 2024'!K55</f>
        <v>959125216713.42017</v>
      </c>
      <c r="C8" s="1"/>
      <c r="D8" s="3"/>
    </row>
    <row r="9" spans="1:4">
      <c r="A9" s="112" t="s">
        <v>206</v>
      </c>
      <c r="B9" s="118">
        <f>'February 2024'!K120</f>
        <v>1387586978718.1831</v>
      </c>
      <c r="C9" s="1"/>
      <c r="D9" s="3"/>
    </row>
    <row r="10" spans="1:4">
      <c r="A10" s="1"/>
      <c r="B10" s="1"/>
      <c r="C10" s="1"/>
      <c r="D10" s="3"/>
    </row>
    <row r="11" spans="1:4" ht="16.5">
      <c r="A11" s="119"/>
      <c r="B11" s="1"/>
      <c r="C11" s="1"/>
      <c r="D11" s="3"/>
    </row>
    <row r="12" spans="1:4">
      <c r="A12" s="120"/>
      <c r="B12" s="1"/>
      <c r="C12" s="1"/>
      <c r="D12" s="3"/>
    </row>
    <row r="13" spans="1:4" ht="15" customHeight="1">
      <c r="A13" s="25"/>
      <c r="B13" s="26"/>
      <c r="C13" s="3"/>
      <c r="D13" s="3"/>
    </row>
    <row r="14" spans="1:4">
      <c r="A14" s="27"/>
      <c r="B14" s="26"/>
      <c r="C14" s="3"/>
      <c r="D14" s="3"/>
    </row>
    <row r="15" spans="1:4">
      <c r="A15" s="27"/>
      <c r="B15" s="26"/>
      <c r="C15" s="3"/>
      <c r="D15" s="3"/>
    </row>
    <row r="16" spans="1:4">
      <c r="A16" s="28"/>
      <c r="B16" s="26"/>
      <c r="C16" s="3"/>
      <c r="D16" s="3"/>
    </row>
    <row r="17" spans="1:17">
      <c r="A17" s="28"/>
      <c r="B17" s="26"/>
      <c r="C17" s="3"/>
    </row>
    <row r="18" spans="1:17">
      <c r="A18" s="27"/>
      <c r="B18" s="26"/>
      <c r="C18" s="3"/>
    </row>
    <row r="19" spans="1:17" ht="15.75">
      <c r="A19" s="29"/>
      <c r="B19" s="26"/>
      <c r="C19" s="3"/>
    </row>
    <row r="20" spans="1:17" ht="16.5">
      <c r="A20" s="30"/>
      <c r="B20" s="26"/>
      <c r="C20" s="3"/>
    </row>
    <row r="21" spans="1:17" ht="16.5">
      <c r="A21" s="21"/>
      <c r="B21" s="19"/>
      <c r="C21" s="3"/>
    </row>
    <row r="22" spans="1:17" ht="16.5">
      <c r="A22" s="3"/>
      <c r="B22" s="19"/>
      <c r="C22" s="3"/>
    </row>
    <row r="23" spans="1:17">
      <c r="A23" s="3"/>
      <c r="B23" s="3"/>
      <c r="C23" s="3"/>
    </row>
    <row r="24" spans="1:17">
      <c r="A24" s="3"/>
      <c r="B24" s="3"/>
      <c r="C24" s="3"/>
    </row>
    <row r="25" spans="1:17">
      <c r="A25" s="3"/>
      <c r="B25" s="3"/>
      <c r="C25" s="3"/>
    </row>
    <row r="26" spans="1:17">
      <c r="A26" s="3"/>
      <c r="B26" s="3"/>
      <c r="C26" s="3"/>
    </row>
    <row r="32" spans="1:17" ht="15.95" customHeight="1">
      <c r="A32" s="111" t="s">
        <v>257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2"/>
    </row>
    <row r="33" spans="1:17" ht="16.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2"/>
    </row>
  </sheetData>
  <sheetProtection password="CA3B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workbookViewId="0">
      <selection activeCell="A7" sqref="A7"/>
    </sheetView>
  </sheetViews>
  <sheetFormatPr defaultColWidth="9" defaultRowHeight="15"/>
  <cols>
    <col min="1" max="1" width="34.7109375" customWidth="1"/>
    <col min="2" max="2" width="15" customWidth="1"/>
  </cols>
  <sheetData>
    <row r="2" spans="1:3">
      <c r="A2" s="3"/>
      <c r="B2" s="3"/>
      <c r="C2" s="3"/>
    </row>
    <row r="3" spans="1:3">
      <c r="A3" s="3"/>
      <c r="B3" s="3"/>
      <c r="C3" s="3"/>
    </row>
    <row r="4" spans="1:3">
      <c r="A4" s="1"/>
      <c r="B4" s="1"/>
      <c r="C4" s="1"/>
    </row>
    <row r="5" spans="1:3">
      <c r="A5" s="95" t="s">
        <v>204</v>
      </c>
      <c r="B5" s="96" t="s">
        <v>209</v>
      </c>
      <c r="C5" s="1"/>
    </row>
    <row r="6" spans="1:3">
      <c r="A6" s="95" t="s">
        <v>17</v>
      </c>
      <c r="B6" s="97">
        <f>'February 2024'!T22</f>
        <v>49150</v>
      </c>
      <c r="C6" s="1"/>
    </row>
    <row r="7" spans="1:3">
      <c r="A7" s="95" t="s">
        <v>49</v>
      </c>
      <c r="B7" s="97">
        <f>'February 2024'!T55</f>
        <v>274694</v>
      </c>
      <c r="C7" s="1"/>
    </row>
    <row r="8" spans="1:3">
      <c r="A8" s="95" t="s">
        <v>205</v>
      </c>
      <c r="B8" s="97">
        <f>'February 2024'!T90</f>
        <v>49427</v>
      </c>
      <c r="C8" s="1"/>
    </row>
    <row r="9" spans="1:3">
      <c r="A9" s="95" t="s">
        <v>206</v>
      </c>
      <c r="B9" s="97">
        <f>'February 2024'!T120</f>
        <v>14624</v>
      </c>
      <c r="C9" s="1"/>
    </row>
    <row r="10" spans="1:3">
      <c r="A10" s="95" t="s">
        <v>207</v>
      </c>
      <c r="B10" s="97">
        <f>'February 2024'!T128</f>
        <v>217006</v>
      </c>
      <c r="C10" s="1"/>
    </row>
    <row r="11" spans="1:3">
      <c r="A11" s="95" t="s">
        <v>161</v>
      </c>
      <c r="B11" s="97">
        <f>'February 2024'!T157</f>
        <v>69316</v>
      </c>
      <c r="C11" s="1"/>
    </row>
    <row r="12" spans="1:3">
      <c r="A12" s="95" t="s">
        <v>186</v>
      </c>
      <c r="B12" s="97">
        <f>'February 2024'!T163</f>
        <v>13033</v>
      </c>
      <c r="C12" s="1"/>
    </row>
    <row r="13" spans="1:3">
      <c r="A13" s="95" t="s">
        <v>208</v>
      </c>
      <c r="B13" s="97">
        <f>'February 2024'!T182</f>
        <v>26385</v>
      </c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3"/>
      <c r="B16" s="3"/>
      <c r="C16" s="3"/>
    </row>
    <row r="17" spans="1:3">
      <c r="A17" s="3"/>
      <c r="B17" s="3"/>
      <c r="C17" s="3"/>
    </row>
    <row r="18" spans="1:3">
      <c r="A18" s="3"/>
      <c r="B18" s="3"/>
      <c r="C18" s="3"/>
    </row>
    <row r="19" spans="1:3">
      <c r="A19" s="3"/>
      <c r="B19" s="3"/>
      <c r="C19" s="3"/>
    </row>
    <row r="20" spans="1:3">
      <c r="A20" s="3"/>
      <c r="B20" s="3"/>
      <c r="C20" s="3"/>
    </row>
    <row r="21" spans="1:3">
      <c r="A21" s="3"/>
      <c r="B21" s="3"/>
      <c r="C21" s="3"/>
    </row>
    <row r="22" spans="1:3">
      <c r="A22" s="3"/>
      <c r="B22" s="3"/>
      <c r="C22" s="3"/>
    </row>
  </sheetData>
  <sheetProtection algorithmName="SHA-512" hashValue="RFoF8oPOXsQGuCULgBzk/0WxQGAA4+viIXf5H0DwRwGc3E5RnbUxSwlNz+SnKqjkdik7WfU7tRFg7QpLACR8JA==" saltValue="U0lRWTK3BakfgOHyKOOB7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February 2024</vt:lpstr>
      <vt:lpstr>NAV Comparison</vt:lpstr>
      <vt:lpstr>Market Share</vt:lpstr>
      <vt:lpstr>Unitholders</vt:lpstr>
      <vt:lpstr>'February 2024'!_Hlk160711408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2023-10-09T09:40:00Z</dcterms:created>
  <dcterms:modified xsi:type="dcterms:W3CDTF">2024-10-04T10:35:38Z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