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Monthly Mutual Funds Update 2024\"/>
    </mc:Choice>
  </mc:AlternateContent>
  <bookViews>
    <workbookView xWindow="-120" yWindow="-120" windowWidth="20730" windowHeight="11160"/>
  </bookViews>
  <sheets>
    <sheet name="January 2024" sheetId="7" r:id="rId1"/>
    <sheet name="NAV Comparison" sheetId="2" r:id="rId2"/>
    <sheet name="Market Share" sheetId="3" r:id="rId3"/>
    <sheet name="Unitholders" sheetId="6" r:id="rId4"/>
  </sheets>
  <calcPr calcId="162913"/>
</workbook>
</file>

<file path=xl/calcChain.xml><?xml version="1.0" encoding="utf-8"?>
<calcChain xmlns="http://schemas.openxmlformats.org/spreadsheetml/2006/main">
  <c r="S116" i="7" l="1"/>
  <c r="R116" i="7"/>
  <c r="K116" i="7"/>
  <c r="G116" i="7"/>
  <c r="E116" i="7"/>
  <c r="D116" i="7"/>
  <c r="M170" i="7" l="1"/>
  <c r="M171" i="7"/>
  <c r="M172" i="7"/>
  <c r="M173" i="7"/>
  <c r="M174" i="7"/>
  <c r="M175" i="7"/>
  <c r="M176" i="7"/>
  <c r="M177" i="7"/>
  <c r="M178" i="7"/>
  <c r="M179" i="7"/>
  <c r="M166" i="7"/>
  <c r="M159" i="7"/>
  <c r="M160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22" i="7"/>
  <c r="M123" i="7"/>
  <c r="M124" i="7"/>
  <c r="M125" i="7"/>
  <c r="M116" i="7"/>
  <c r="M99" i="7"/>
  <c r="M100" i="7"/>
  <c r="M104" i="7"/>
  <c r="I117" i="7"/>
  <c r="I115" i="7"/>
  <c r="I114" i="7"/>
  <c r="I110" i="7"/>
  <c r="I109" i="7"/>
  <c r="I108" i="7"/>
  <c r="I103" i="7"/>
  <c r="I102" i="7"/>
  <c r="I112" i="7"/>
  <c r="I101" i="7"/>
  <c r="I97" i="7"/>
  <c r="S112" i="7"/>
  <c r="R112" i="7"/>
  <c r="K112" i="7"/>
  <c r="G112" i="7"/>
  <c r="E112" i="7"/>
  <c r="H112" i="7" s="1"/>
  <c r="D112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112" i="7" l="1"/>
  <c r="D137" i="7"/>
  <c r="S96" i="7"/>
  <c r="R96" i="7"/>
  <c r="K96" i="7"/>
  <c r="G96" i="7"/>
  <c r="E96" i="7"/>
  <c r="H96" i="7" s="1"/>
  <c r="D96" i="7"/>
  <c r="M96" i="7" l="1"/>
  <c r="D67" i="7"/>
  <c r="P9" i="7"/>
  <c r="N9" i="7"/>
  <c r="H9" i="7"/>
  <c r="D9" i="7"/>
  <c r="Q9" i="7" l="1"/>
  <c r="O9" i="7"/>
  <c r="N170" i="7" l="1"/>
  <c r="P170" i="7"/>
  <c r="N171" i="7"/>
  <c r="P171" i="7"/>
  <c r="N172" i="7"/>
  <c r="P172" i="7"/>
  <c r="N173" i="7"/>
  <c r="P173" i="7"/>
  <c r="N174" i="7"/>
  <c r="P174" i="7"/>
  <c r="N175" i="7"/>
  <c r="P175" i="7"/>
  <c r="N176" i="7"/>
  <c r="P176" i="7"/>
  <c r="N177" i="7"/>
  <c r="P177" i="7"/>
  <c r="N178" i="7"/>
  <c r="P178" i="7"/>
  <c r="N179" i="7"/>
  <c r="P179" i="7"/>
  <c r="N166" i="7"/>
  <c r="P166" i="7"/>
  <c r="N159" i="7"/>
  <c r="P159" i="7"/>
  <c r="N160" i="7"/>
  <c r="P160" i="7"/>
  <c r="N130" i="7"/>
  <c r="P130" i="7"/>
  <c r="N131" i="7"/>
  <c r="P131" i="7"/>
  <c r="N132" i="7"/>
  <c r="P132" i="7"/>
  <c r="N133" i="7"/>
  <c r="P133" i="7"/>
  <c r="N134" i="7"/>
  <c r="P134" i="7"/>
  <c r="N135" i="7"/>
  <c r="O135" i="7"/>
  <c r="P135" i="7"/>
  <c r="Q135" i="7"/>
  <c r="N136" i="7"/>
  <c r="P136" i="7"/>
  <c r="N137" i="7"/>
  <c r="P137" i="7"/>
  <c r="N138" i="7"/>
  <c r="P138" i="7"/>
  <c r="N139" i="7"/>
  <c r="P139" i="7"/>
  <c r="N140" i="7"/>
  <c r="P140" i="7"/>
  <c r="N141" i="7"/>
  <c r="P141" i="7"/>
  <c r="N142" i="7"/>
  <c r="P142" i="7"/>
  <c r="N143" i="7"/>
  <c r="P143" i="7"/>
  <c r="N144" i="7"/>
  <c r="P144" i="7"/>
  <c r="N145" i="7"/>
  <c r="P145" i="7"/>
  <c r="N146" i="7"/>
  <c r="P146" i="7"/>
  <c r="N147" i="7"/>
  <c r="P147" i="7"/>
  <c r="N148" i="7"/>
  <c r="P148" i="7"/>
  <c r="N149" i="7"/>
  <c r="P149" i="7"/>
  <c r="N150" i="7"/>
  <c r="P150" i="7"/>
  <c r="N151" i="7"/>
  <c r="P151" i="7"/>
  <c r="N152" i="7"/>
  <c r="P152" i="7"/>
  <c r="N153" i="7"/>
  <c r="P153" i="7"/>
  <c r="N154" i="7"/>
  <c r="P154" i="7"/>
  <c r="N122" i="7"/>
  <c r="P122" i="7"/>
  <c r="N123" i="7"/>
  <c r="P123" i="7"/>
  <c r="N124" i="7"/>
  <c r="P124" i="7"/>
  <c r="N125" i="7"/>
  <c r="P125" i="7"/>
  <c r="N116" i="7"/>
  <c r="P116" i="7"/>
  <c r="N99" i="7"/>
  <c r="P99" i="7"/>
  <c r="N100" i="7"/>
  <c r="P100" i="7"/>
  <c r="N104" i="7"/>
  <c r="P104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N58" i="7"/>
  <c r="P58" i="7"/>
  <c r="N59" i="7"/>
  <c r="P59" i="7"/>
  <c r="N60" i="7"/>
  <c r="P60" i="7"/>
  <c r="N61" i="7"/>
  <c r="P61" i="7"/>
  <c r="N62" i="7"/>
  <c r="P62" i="7"/>
  <c r="N63" i="7"/>
  <c r="P63" i="7"/>
  <c r="N64" i="7"/>
  <c r="P64" i="7"/>
  <c r="N65" i="7"/>
  <c r="P65" i="7"/>
  <c r="N66" i="7"/>
  <c r="P66" i="7"/>
  <c r="N67" i="7"/>
  <c r="P67" i="7"/>
  <c r="N68" i="7"/>
  <c r="P68" i="7"/>
  <c r="N69" i="7"/>
  <c r="P69" i="7"/>
  <c r="N70" i="7"/>
  <c r="P70" i="7"/>
  <c r="N71" i="7"/>
  <c r="P71" i="7"/>
  <c r="N72" i="7"/>
  <c r="P72" i="7"/>
  <c r="N73" i="7"/>
  <c r="P73" i="7"/>
  <c r="N74" i="7"/>
  <c r="P74" i="7"/>
  <c r="N75" i="7"/>
  <c r="P75" i="7"/>
  <c r="N76" i="7"/>
  <c r="P76" i="7"/>
  <c r="N77" i="7"/>
  <c r="P77" i="7"/>
  <c r="N78" i="7"/>
  <c r="P78" i="7"/>
  <c r="N79" i="7"/>
  <c r="P79" i="7"/>
  <c r="N80" i="7"/>
  <c r="P80" i="7"/>
  <c r="N81" i="7"/>
  <c r="P81" i="7"/>
  <c r="N82" i="7"/>
  <c r="P82" i="7"/>
  <c r="N83" i="7"/>
  <c r="P83" i="7"/>
  <c r="N84" i="7"/>
  <c r="P84" i="7"/>
  <c r="N85" i="7"/>
  <c r="P85" i="7"/>
  <c r="N86" i="7"/>
  <c r="P86" i="7"/>
  <c r="N87" i="7"/>
  <c r="P87" i="7"/>
  <c r="N88" i="7"/>
  <c r="P88" i="7"/>
  <c r="N25" i="7"/>
  <c r="P25" i="7"/>
  <c r="N26" i="7"/>
  <c r="P26" i="7"/>
  <c r="N27" i="7"/>
  <c r="P27" i="7"/>
  <c r="N28" i="7"/>
  <c r="P28" i="7"/>
  <c r="N29" i="7"/>
  <c r="P29" i="7"/>
  <c r="N30" i="7"/>
  <c r="P30" i="7"/>
  <c r="N31" i="7"/>
  <c r="P31" i="7"/>
  <c r="N32" i="7"/>
  <c r="P32" i="7"/>
  <c r="N33" i="7"/>
  <c r="O33" i="7"/>
  <c r="P33" i="7"/>
  <c r="Q33" i="7"/>
  <c r="N34" i="7"/>
  <c r="P34" i="7"/>
  <c r="N35" i="7"/>
  <c r="P35" i="7"/>
  <c r="N36" i="7"/>
  <c r="P36" i="7"/>
  <c r="N37" i="7"/>
  <c r="P37" i="7"/>
  <c r="N38" i="7"/>
  <c r="P38" i="7"/>
  <c r="N39" i="7"/>
  <c r="P39" i="7"/>
  <c r="N40" i="7"/>
  <c r="P40" i="7"/>
  <c r="N41" i="7"/>
  <c r="P41" i="7"/>
  <c r="N42" i="7"/>
  <c r="P42" i="7"/>
  <c r="N43" i="7"/>
  <c r="P43" i="7"/>
  <c r="N44" i="7"/>
  <c r="P44" i="7"/>
  <c r="N45" i="7"/>
  <c r="P45" i="7"/>
  <c r="N46" i="7"/>
  <c r="P46" i="7"/>
  <c r="N47" i="7"/>
  <c r="P47" i="7"/>
  <c r="N48" i="7"/>
  <c r="P48" i="7"/>
  <c r="N49" i="7"/>
  <c r="P49" i="7"/>
  <c r="N50" i="7"/>
  <c r="P50" i="7"/>
  <c r="N51" i="7"/>
  <c r="P51" i="7"/>
  <c r="N52" i="7"/>
  <c r="P52" i="7"/>
  <c r="N53" i="7"/>
  <c r="P53" i="7"/>
  <c r="N6" i="7"/>
  <c r="P6" i="7"/>
  <c r="N7" i="7"/>
  <c r="P7" i="7"/>
  <c r="N8" i="7"/>
  <c r="P8" i="7"/>
  <c r="N10" i="7"/>
  <c r="P10" i="7"/>
  <c r="N11" i="7"/>
  <c r="P11" i="7"/>
  <c r="N12" i="7"/>
  <c r="P12" i="7"/>
  <c r="N13" i="7"/>
  <c r="P13" i="7"/>
  <c r="N14" i="7"/>
  <c r="P14" i="7"/>
  <c r="N15" i="7"/>
  <c r="P15" i="7"/>
  <c r="N16" i="7"/>
  <c r="P16" i="7"/>
  <c r="N17" i="7"/>
  <c r="P17" i="7"/>
  <c r="N18" i="7"/>
  <c r="P18" i="7"/>
  <c r="N19" i="7"/>
  <c r="P19" i="7"/>
  <c r="N20" i="7"/>
  <c r="P20" i="7"/>
  <c r="T135" i="7"/>
  <c r="S97" i="7" l="1"/>
  <c r="R97" i="7"/>
  <c r="K97" i="7"/>
  <c r="G97" i="7"/>
  <c r="N97" i="7" s="1"/>
  <c r="E97" i="7"/>
  <c r="H97" i="7" s="1"/>
  <c r="D97" i="7"/>
  <c r="P97" i="7" l="1"/>
  <c r="M97" i="7"/>
  <c r="O97" i="7"/>
  <c r="Q97" i="7"/>
  <c r="U95" i="7"/>
  <c r="K95" i="7"/>
  <c r="G95" i="7"/>
  <c r="N95" i="7" s="1"/>
  <c r="E95" i="7"/>
  <c r="H95" i="7" s="1"/>
  <c r="D95" i="7"/>
  <c r="H30" i="7"/>
  <c r="H76" i="7"/>
  <c r="H137" i="7"/>
  <c r="H130" i="7"/>
  <c r="S113" i="7"/>
  <c r="R113" i="7"/>
  <c r="K113" i="7"/>
  <c r="G113" i="7"/>
  <c r="N113" i="7" s="1"/>
  <c r="E113" i="7"/>
  <c r="D113" i="7"/>
  <c r="E153" i="7"/>
  <c r="E17" i="7"/>
  <c r="H78" i="7"/>
  <c r="P113" i="7" l="1"/>
  <c r="M113" i="7"/>
  <c r="P95" i="7"/>
  <c r="M95" i="7"/>
  <c r="O78" i="7"/>
  <c r="Q78" i="7"/>
  <c r="O130" i="7"/>
  <c r="Q130" i="7"/>
  <c r="O137" i="7"/>
  <c r="Q137" i="7"/>
  <c r="O76" i="7"/>
  <c r="Q76" i="7"/>
  <c r="O30" i="7"/>
  <c r="Q30" i="7"/>
  <c r="O95" i="7"/>
  <c r="Q95" i="7"/>
  <c r="H176" i="7"/>
  <c r="E175" i="7"/>
  <c r="H175" i="7" s="1"/>
  <c r="H173" i="7"/>
  <c r="S111" i="7"/>
  <c r="R111" i="7"/>
  <c r="K111" i="7"/>
  <c r="G111" i="7"/>
  <c r="N111" i="7" s="1"/>
  <c r="E111" i="7"/>
  <c r="D111" i="7"/>
  <c r="S93" i="7"/>
  <c r="R93" i="7"/>
  <c r="H73" i="7"/>
  <c r="P111" i="7" l="1"/>
  <c r="M111" i="7"/>
  <c r="O73" i="7"/>
  <c r="Q73" i="7"/>
  <c r="O173" i="7"/>
  <c r="Q173" i="7"/>
  <c r="O175" i="7"/>
  <c r="Q175" i="7"/>
  <c r="O176" i="7"/>
  <c r="Q176" i="7"/>
  <c r="S105" i="7"/>
  <c r="R105" i="7"/>
  <c r="K105" i="7"/>
  <c r="G105" i="7"/>
  <c r="N105" i="7" s="1"/>
  <c r="E105" i="7"/>
  <c r="D105" i="7"/>
  <c r="H170" i="7"/>
  <c r="H171" i="7"/>
  <c r="H172" i="7"/>
  <c r="H177" i="7"/>
  <c r="H178" i="7"/>
  <c r="H179" i="7"/>
  <c r="H169" i="7"/>
  <c r="H166" i="7"/>
  <c r="H165" i="7"/>
  <c r="H159" i="7"/>
  <c r="H160" i="7"/>
  <c r="H158" i="7"/>
  <c r="H131" i="7"/>
  <c r="H132" i="7"/>
  <c r="H133" i="7"/>
  <c r="H134" i="7"/>
  <c r="H136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29" i="7"/>
  <c r="H122" i="7"/>
  <c r="H123" i="7"/>
  <c r="H124" i="7"/>
  <c r="H125" i="7"/>
  <c r="H121" i="7"/>
  <c r="H116" i="7"/>
  <c r="H99" i="7"/>
  <c r="H100" i="7"/>
  <c r="H104" i="7"/>
  <c r="H105" i="7"/>
  <c r="H93" i="7"/>
  <c r="H58" i="7"/>
  <c r="H59" i="7"/>
  <c r="H60" i="7"/>
  <c r="H61" i="7"/>
  <c r="H62" i="7"/>
  <c r="H63" i="7"/>
  <c r="H64" i="7"/>
  <c r="H65" i="7"/>
  <c r="H66" i="7"/>
  <c r="H68" i="7"/>
  <c r="H69" i="7"/>
  <c r="H70" i="7"/>
  <c r="H71" i="7"/>
  <c r="H72" i="7"/>
  <c r="H74" i="7"/>
  <c r="H75" i="7"/>
  <c r="H174" i="7"/>
  <c r="H77" i="7"/>
  <c r="H79" i="7"/>
  <c r="H80" i="7"/>
  <c r="H81" i="7"/>
  <c r="H82" i="7"/>
  <c r="H83" i="7"/>
  <c r="H84" i="7"/>
  <c r="H85" i="7"/>
  <c r="H67" i="7"/>
  <c r="H86" i="7"/>
  <c r="H87" i="7"/>
  <c r="H88" i="7"/>
  <c r="H57" i="7"/>
  <c r="H25" i="7"/>
  <c r="H26" i="7"/>
  <c r="H27" i="7"/>
  <c r="H28" i="7"/>
  <c r="H29" i="7"/>
  <c r="H31" i="7"/>
  <c r="H3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24" i="7"/>
  <c r="H6" i="7"/>
  <c r="H7" i="7"/>
  <c r="H8" i="7"/>
  <c r="H10" i="7"/>
  <c r="H11" i="7"/>
  <c r="H12" i="7"/>
  <c r="H13" i="7"/>
  <c r="H14" i="7"/>
  <c r="H15" i="7"/>
  <c r="H16" i="7"/>
  <c r="H17" i="7"/>
  <c r="H18" i="7"/>
  <c r="H19" i="7"/>
  <c r="H20" i="7"/>
  <c r="H5" i="7"/>
  <c r="M121" i="7"/>
  <c r="P121" i="7"/>
  <c r="N121" i="7"/>
  <c r="T126" i="7"/>
  <c r="B10" i="6" s="1"/>
  <c r="P105" i="7" l="1"/>
  <c r="M105" i="7"/>
  <c r="O20" i="7"/>
  <c r="Q20" i="7"/>
  <c r="O19" i="7"/>
  <c r="Q19" i="7"/>
  <c r="O18" i="7"/>
  <c r="Q18" i="7"/>
  <c r="O17" i="7"/>
  <c r="Q17" i="7"/>
  <c r="O16" i="7"/>
  <c r="Q16" i="7"/>
  <c r="O15" i="7"/>
  <c r="Q15" i="7"/>
  <c r="O14" i="7"/>
  <c r="Q14" i="7"/>
  <c r="O13" i="7"/>
  <c r="Q13" i="7"/>
  <c r="O12" i="7"/>
  <c r="Q12" i="7"/>
  <c r="O11" i="7"/>
  <c r="Q11" i="7"/>
  <c r="O10" i="7"/>
  <c r="Q10" i="7"/>
  <c r="O8" i="7"/>
  <c r="Q8" i="7"/>
  <c r="O7" i="7"/>
  <c r="Q7" i="7"/>
  <c r="O6" i="7"/>
  <c r="Q6" i="7"/>
  <c r="O53" i="7"/>
  <c r="Q53" i="7"/>
  <c r="O52" i="7"/>
  <c r="Q52" i="7"/>
  <c r="O51" i="7"/>
  <c r="Q51" i="7"/>
  <c r="O50" i="7"/>
  <c r="Q50" i="7"/>
  <c r="O49" i="7"/>
  <c r="Q49" i="7"/>
  <c r="O48" i="7"/>
  <c r="Q48" i="7"/>
  <c r="O47" i="7"/>
  <c r="Q47" i="7"/>
  <c r="O46" i="7"/>
  <c r="Q46" i="7"/>
  <c r="O45" i="7"/>
  <c r="Q45" i="7"/>
  <c r="O44" i="7"/>
  <c r="Q44" i="7"/>
  <c r="O43" i="7"/>
  <c r="Q43" i="7"/>
  <c r="O42" i="7"/>
  <c r="Q42" i="7"/>
  <c r="O41" i="7"/>
  <c r="Q41" i="7"/>
  <c r="O40" i="7"/>
  <c r="Q40" i="7"/>
  <c r="O39" i="7"/>
  <c r="Q39" i="7"/>
  <c r="O38" i="7"/>
  <c r="Q38" i="7"/>
  <c r="O37" i="7"/>
  <c r="Q37" i="7"/>
  <c r="O36" i="7"/>
  <c r="Q36" i="7"/>
  <c r="O35" i="7"/>
  <c r="Q35" i="7"/>
  <c r="O34" i="7"/>
  <c r="Q34" i="7"/>
  <c r="O32" i="7"/>
  <c r="Q32" i="7"/>
  <c r="O31" i="7"/>
  <c r="Q31" i="7"/>
  <c r="O29" i="7"/>
  <c r="Q29" i="7"/>
  <c r="O28" i="7"/>
  <c r="Q28" i="7"/>
  <c r="O27" i="7"/>
  <c r="Q27" i="7"/>
  <c r="O26" i="7"/>
  <c r="Q26" i="7"/>
  <c r="O25" i="7"/>
  <c r="Q25" i="7"/>
  <c r="O88" i="7"/>
  <c r="Q88" i="7"/>
  <c r="O87" i="7"/>
  <c r="Q87" i="7"/>
  <c r="O86" i="7"/>
  <c r="Q86" i="7"/>
  <c r="O85" i="7"/>
  <c r="Q85" i="7"/>
  <c r="O84" i="7"/>
  <c r="Q84" i="7"/>
  <c r="O83" i="7"/>
  <c r="Q83" i="7"/>
  <c r="O82" i="7"/>
  <c r="Q82" i="7"/>
  <c r="O81" i="7"/>
  <c r="Q81" i="7"/>
  <c r="O80" i="7"/>
  <c r="Q80" i="7"/>
  <c r="O79" i="7"/>
  <c r="Q79" i="7"/>
  <c r="O77" i="7"/>
  <c r="Q77" i="7"/>
  <c r="O174" i="7"/>
  <c r="Q174" i="7"/>
  <c r="O75" i="7"/>
  <c r="Q75" i="7"/>
  <c r="O74" i="7"/>
  <c r="Q74" i="7"/>
  <c r="O72" i="7"/>
  <c r="Q72" i="7"/>
  <c r="O71" i="7"/>
  <c r="Q71" i="7"/>
  <c r="O70" i="7"/>
  <c r="Q70" i="7"/>
  <c r="O69" i="7"/>
  <c r="Q69" i="7"/>
  <c r="O68" i="7"/>
  <c r="Q68" i="7"/>
  <c r="O66" i="7"/>
  <c r="Q66" i="7"/>
  <c r="O65" i="7"/>
  <c r="Q65" i="7"/>
  <c r="O64" i="7"/>
  <c r="Q64" i="7"/>
  <c r="O63" i="7"/>
  <c r="Q63" i="7"/>
  <c r="O62" i="7"/>
  <c r="Q62" i="7"/>
  <c r="O61" i="7"/>
  <c r="Q61" i="7"/>
  <c r="O60" i="7"/>
  <c r="Q60" i="7"/>
  <c r="O59" i="7"/>
  <c r="Q59" i="7"/>
  <c r="O58" i="7"/>
  <c r="Q58" i="7"/>
  <c r="O105" i="7"/>
  <c r="Q105" i="7"/>
  <c r="O104" i="7"/>
  <c r="Q104" i="7"/>
  <c r="O100" i="7"/>
  <c r="Q100" i="7"/>
  <c r="O99" i="7"/>
  <c r="Q99" i="7"/>
  <c r="O116" i="7"/>
  <c r="Q116" i="7"/>
  <c r="O125" i="7"/>
  <c r="Q125" i="7"/>
  <c r="O124" i="7"/>
  <c r="Q124" i="7"/>
  <c r="O123" i="7"/>
  <c r="Q123" i="7"/>
  <c r="O122" i="7"/>
  <c r="Q122" i="7"/>
  <c r="O154" i="7"/>
  <c r="Q154" i="7"/>
  <c r="O153" i="7"/>
  <c r="Q153" i="7"/>
  <c r="O152" i="7"/>
  <c r="Q152" i="7"/>
  <c r="O151" i="7"/>
  <c r="Q151" i="7"/>
  <c r="O150" i="7"/>
  <c r="Q150" i="7"/>
  <c r="O149" i="7"/>
  <c r="Q149" i="7"/>
  <c r="O148" i="7"/>
  <c r="Q148" i="7"/>
  <c r="O147" i="7"/>
  <c r="Q147" i="7"/>
  <c r="O146" i="7"/>
  <c r="Q146" i="7"/>
  <c r="O145" i="7"/>
  <c r="Q145" i="7"/>
  <c r="O144" i="7"/>
  <c r="Q144" i="7"/>
  <c r="O143" i="7"/>
  <c r="Q143" i="7"/>
  <c r="O142" i="7"/>
  <c r="Q142" i="7"/>
  <c r="O141" i="7"/>
  <c r="Q141" i="7"/>
  <c r="O140" i="7"/>
  <c r="Q140" i="7"/>
  <c r="O139" i="7"/>
  <c r="Q139" i="7"/>
  <c r="O138" i="7"/>
  <c r="Q138" i="7"/>
  <c r="O136" i="7"/>
  <c r="Q136" i="7"/>
  <c r="O134" i="7"/>
  <c r="Q134" i="7"/>
  <c r="O133" i="7"/>
  <c r="Q133" i="7"/>
  <c r="O132" i="7"/>
  <c r="Q132" i="7"/>
  <c r="O131" i="7"/>
  <c r="Q131" i="7"/>
  <c r="O160" i="7"/>
  <c r="Q160" i="7"/>
  <c r="O159" i="7"/>
  <c r="Q159" i="7"/>
  <c r="O166" i="7"/>
  <c r="Q166" i="7"/>
  <c r="O179" i="7"/>
  <c r="Q179" i="7"/>
  <c r="O178" i="7"/>
  <c r="Q178" i="7"/>
  <c r="O177" i="7"/>
  <c r="Q177" i="7"/>
  <c r="O172" i="7"/>
  <c r="Q172" i="7"/>
  <c r="O171" i="7"/>
  <c r="Q171" i="7"/>
  <c r="O170" i="7"/>
  <c r="Q170" i="7"/>
  <c r="O67" i="7"/>
  <c r="Q67" i="7"/>
  <c r="Q121" i="7"/>
  <c r="O121" i="7"/>
  <c r="T180" i="7"/>
  <c r="B13" i="6" s="1"/>
  <c r="K180" i="7"/>
  <c r="I180" i="7"/>
  <c r="Q169" i="7"/>
  <c r="P169" i="7"/>
  <c r="O169" i="7"/>
  <c r="N169" i="7"/>
  <c r="M169" i="7"/>
  <c r="L169" i="7"/>
  <c r="J169" i="7"/>
  <c r="Q165" i="7"/>
  <c r="P165" i="7"/>
  <c r="O165" i="7"/>
  <c r="N165" i="7"/>
  <c r="M165" i="7"/>
  <c r="L165" i="7"/>
  <c r="J165" i="7"/>
  <c r="T161" i="7"/>
  <c r="B12" i="6" s="1"/>
  <c r="K161" i="7"/>
  <c r="I161" i="7"/>
  <c r="Q158" i="7"/>
  <c r="P158" i="7"/>
  <c r="O158" i="7"/>
  <c r="N158" i="7"/>
  <c r="M158" i="7"/>
  <c r="L158" i="7"/>
  <c r="J158" i="7"/>
  <c r="I155" i="7"/>
  <c r="K155" i="7"/>
  <c r="T155" i="7"/>
  <c r="B11" i="6" s="1"/>
  <c r="Q129" i="7"/>
  <c r="P129" i="7"/>
  <c r="O129" i="7"/>
  <c r="N129" i="7"/>
  <c r="M129" i="7"/>
  <c r="L129" i="7"/>
  <c r="J129" i="7"/>
  <c r="K126" i="7"/>
  <c r="I126" i="7"/>
  <c r="T118" i="7"/>
  <c r="B9" i="6" s="1"/>
  <c r="S117" i="7"/>
  <c r="R117" i="7"/>
  <c r="K117" i="7"/>
  <c r="G117" i="7"/>
  <c r="N117" i="7" s="1"/>
  <c r="E117" i="7"/>
  <c r="D117" i="7"/>
  <c r="S115" i="7"/>
  <c r="R115" i="7"/>
  <c r="K115" i="7"/>
  <c r="G115" i="7"/>
  <c r="N115" i="7" s="1"/>
  <c r="E115" i="7"/>
  <c r="H115" i="7" s="1"/>
  <c r="D115" i="7"/>
  <c r="S114" i="7"/>
  <c r="R114" i="7"/>
  <c r="K114" i="7"/>
  <c r="G114" i="7"/>
  <c r="N114" i="7" s="1"/>
  <c r="E114" i="7"/>
  <c r="D114" i="7"/>
  <c r="H113" i="7"/>
  <c r="S110" i="7"/>
  <c r="R110" i="7"/>
  <c r="K110" i="7"/>
  <c r="G110" i="7"/>
  <c r="N110" i="7" s="1"/>
  <c r="E110" i="7"/>
  <c r="H110" i="7" s="1"/>
  <c r="D110" i="7"/>
  <c r="S109" i="7"/>
  <c r="R109" i="7"/>
  <c r="K109" i="7"/>
  <c r="G109" i="7"/>
  <c r="N109" i="7" s="1"/>
  <c r="E109" i="7"/>
  <c r="D109" i="7"/>
  <c r="S108" i="7"/>
  <c r="R108" i="7"/>
  <c r="K108" i="7"/>
  <c r="G108" i="7"/>
  <c r="N108" i="7" s="1"/>
  <c r="E108" i="7"/>
  <c r="H108" i="7" s="1"/>
  <c r="D108" i="7"/>
  <c r="S103" i="7"/>
  <c r="R103" i="7"/>
  <c r="K103" i="7"/>
  <c r="G103" i="7"/>
  <c r="N103" i="7" s="1"/>
  <c r="E103" i="7"/>
  <c r="H103" i="7" s="1"/>
  <c r="D103" i="7"/>
  <c r="S102" i="7"/>
  <c r="R102" i="7"/>
  <c r="K102" i="7"/>
  <c r="G102" i="7"/>
  <c r="N102" i="7" s="1"/>
  <c r="E102" i="7"/>
  <c r="D102" i="7"/>
  <c r="S101" i="7"/>
  <c r="R101" i="7"/>
  <c r="K101" i="7"/>
  <c r="G101" i="7"/>
  <c r="N101" i="7" s="1"/>
  <c r="E101" i="7"/>
  <c r="H101" i="7" s="1"/>
  <c r="D101" i="7"/>
  <c r="S100" i="7"/>
  <c r="R100" i="7"/>
  <c r="S99" i="7"/>
  <c r="R99" i="7"/>
  <c r="S98" i="7"/>
  <c r="R98" i="7"/>
  <c r="K98" i="7"/>
  <c r="G98" i="7"/>
  <c r="N98" i="7" s="1"/>
  <c r="E98" i="7"/>
  <c r="S94" i="7"/>
  <c r="R94" i="7"/>
  <c r="K94" i="7"/>
  <c r="I118" i="7"/>
  <c r="G94" i="7"/>
  <c r="N94" i="7" s="1"/>
  <c r="E94" i="7"/>
  <c r="H94" i="7" s="1"/>
  <c r="D94" i="7"/>
  <c r="Q93" i="7"/>
  <c r="P93" i="7"/>
  <c r="O93" i="7"/>
  <c r="N93" i="7"/>
  <c r="M93" i="7"/>
  <c r="J93" i="7"/>
  <c r="T89" i="7"/>
  <c r="B8" i="6" s="1"/>
  <c r="K89" i="7"/>
  <c r="I89" i="7"/>
  <c r="L88" i="7"/>
  <c r="J87" i="7"/>
  <c r="L86" i="7"/>
  <c r="J67" i="7"/>
  <c r="L85" i="7"/>
  <c r="J84" i="7"/>
  <c r="L83" i="7"/>
  <c r="J82" i="7"/>
  <c r="L81" i="7"/>
  <c r="J80" i="7"/>
  <c r="L79" i="7"/>
  <c r="J77" i="7"/>
  <c r="J75" i="7"/>
  <c r="L74" i="7"/>
  <c r="J72" i="7"/>
  <c r="L71" i="7"/>
  <c r="J70" i="7"/>
  <c r="L69" i="7"/>
  <c r="J68" i="7"/>
  <c r="L66" i="7"/>
  <c r="L65" i="7"/>
  <c r="J65" i="7"/>
  <c r="L64" i="7"/>
  <c r="L63" i="7"/>
  <c r="J63" i="7"/>
  <c r="L62" i="7"/>
  <c r="L61" i="7"/>
  <c r="J61" i="7"/>
  <c r="L60" i="7"/>
  <c r="L59" i="7"/>
  <c r="J59" i="7"/>
  <c r="L58" i="7"/>
  <c r="Q57" i="7"/>
  <c r="P57" i="7"/>
  <c r="O57" i="7"/>
  <c r="N57" i="7"/>
  <c r="M57" i="7"/>
  <c r="L57" i="7"/>
  <c r="J57" i="7"/>
  <c r="T54" i="7"/>
  <c r="B7" i="6" s="1"/>
  <c r="I54" i="7"/>
  <c r="Q24" i="7"/>
  <c r="P24" i="7"/>
  <c r="O24" i="7"/>
  <c r="N24" i="7"/>
  <c r="M24" i="7"/>
  <c r="T21" i="7"/>
  <c r="B6" i="6" s="1"/>
  <c r="K21" i="7"/>
  <c r="I21" i="7"/>
  <c r="Q5" i="7"/>
  <c r="P5" i="7"/>
  <c r="O5" i="7"/>
  <c r="N5" i="7"/>
  <c r="M5" i="7"/>
  <c r="L5" i="7"/>
  <c r="J5" i="7"/>
  <c r="B3" i="3" l="1"/>
  <c r="C5" i="2"/>
  <c r="B7" i="3"/>
  <c r="C7" i="2"/>
  <c r="J94" i="7"/>
  <c r="J95" i="7"/>
  <c r="J96" i="7"/>
  <c r="J98" i="7"/>
  <c r="J99" i="7"/>
  <c r="J100" i="7"/>
  <c r="J104" i="7"/>
  <c r="J105" i="7"/>
  <c r="J111" i="7"/>
  <c r="J113" i="7"/>
  <c r="J116" i="7"/>
  <c r="J97" i="7"/>
  <c r="J101" i="7"/>
  <c r="J112" i="7"/>
  <c r="J102" i="7"/>
  <c r="J103" i="7"/>
  <c r="J109" i="7"/>
  <c r="J110" i="7"/>
  <c r="J114" i="7"/>
  <c r="J115" i="7"/>
  <c r="J117" i="7"/>
  <c r="P94" i="7"/>
  <c r="M94" i="7"/>
  <c r="M98" i="7"/>
  <c r="P101" i="7"/>
  <c r="M101" i="7"/>
  <c r="P102" i="7"/>
  <c r="M102" i="7"/>
  <c r="P103" i="7"/>
  <c r="M103" i="7"/>
  <c r="P109" i="7"/>
  <c r="M109" i="7"/>
  <c r="P110" i="7"/>
  <c r="M110" i="7"/>
  <c r="P114" i="7"/>
  <c r="M114" i="7"/>
  <c r="P115" i="7"/>
  <c r="M115" i="7"/>
  <c r="P117" i="7"/>
  <c r="M117" i="7"/>
  <c r="J122" i="7"/>
  <c r="J123" i="7"/>
  <c r="J124" i="7"/>
  <c r="J125" i="7"/>
  <c r="J121" i="7"/>
  <c r="L121" i="7"/>
  <c r="B6" i="3"/>
  <c r="C9" i="2"/>
  <c r="M126" i="7"/>
  <c r="L122" i="7"/>
  <c r="L123" i="7"/>
  <c r="L124" i="7"/>
  <c r="L125" i="7"/>
  <c r="B4" i="3"/>
  <c r="C10" i="2"/>
  <c r="M155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9" i="7"/>
  <c r="J160" i="7"/>
  <c r="B2" i="3"/>
  <c r="C11" i="2"/>
  <c r="M161" i="7"/>
  <c r="L159" i="7"/>
  <c r="L160" i="7"/>
  <c r="B5" i="3"/>
  <c r="C12" i="2"/>
  <c r="L170" i="7"/>
  <c r="L171" i="7"/>
  <c r="L172" i="7"/>
  <c r="L173" i="7"/>
  <c r="L174" i="7"/>
  <c r="L175" i="7"/>
  <c r="L176" i="7"/>
  <c r="L177" i="7"/>
  <c r="L178" i="7"/>
  <c r="L179" i="7"/>
  <c r="L166" i="7"/>
  <c r="M180" i="7"/>
  <c r="J170" i="7"/>
  <c r="J171" i="7"/>
  <c r="J172" i="7"/>
  <c r="J173" i="7"/>
  <c r="J174" i="7"/>
  <c r="J175" i="7"/>
  <c r="J176" i="7"/>
  <c r="J177" i="7"/>
  <c r="J178" i="7"/>
  <c r="J179" i="7"/>
  <c r="J166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M21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O94" i="7"/>
  <c r="Q94" i="7"/>
  <c r="P98" i="7"/>
  <c r="O101" i="7"/>
  <c r="Q101" i="7"/>
  <c r="O103" i="7"/>
  <c r="Q103" i="7"/>
  <c r="O110" i="7"/>
  <c r="Q110" i="7"/>
  <c r="O113" i="7"/>
  <c r="Q113" i="7"/>
  <c r="O115" i="7"/>
  <c r="Q115" i="7"/>
  <c r="L76" i="7"/>
  <c r="M89" i="7"/>
  <c r="J73" i="7"/>
  <c r="J76" i="7"/>
  <c r="L73" i="7"/>
  <c r="L78" i="7"/>
  <c r="H98" i="7"/>
  <c r="H102" i="7"/>
  <c r="H109" i="7"/>
  <c r="H111" i="7"/>
  <c r="H114" i="7"/>
  <c r="H117" i="7"/>
  <c r="K118" i="7"/>
  <c r="M108" i="7"/>
  <c r="P108" i="7"/>
  <c r="T181" i="7"/>
  <c r="J88" i="7"/>
  <c r="J86" i="7"/>
  <c r="J85" i="7"/>
  <c r="J83" i="7"/>
  <c r="J81" i="7"/>
  <c r="J79" i="7"/>
  <c r="J74" i="7"/>
  <c r="J71" i="7"/>
  <c r="J69" i="7"/>
  <c r="L93" i="7"/>
  <c r="Q108" i="7"/>
  <c r="O108" i="7"/>
  <c r="J108" i="7"/>
  <c r="L108" i="7"/>
  <c r="I181" i="7"/>
  <c r="J89" i="7" s="1"/>
  <c r="J24" i="7"/>
  <c r="J58" i="7"/>
  <c r="J60" i="7"/>
  <c r="J62" i="7"/>
  <c r="J64" i="7"/>
  <c r="J66" i="7"/>
  <c r="L87" i="7"/>
  <c r="L67" i="7"/>
  <c r="L84" i="7"/>
  <c r="L82" i="7"/>
  <c r="L80" i="7"/>
  <c r="L77" i="7"/>
  <c r="L75" i="7"/>
  <c r="L72" i="7"/>
  <c r="L70" i="7"/>
  <c r="L68" i="7"/>
  <c r="J118" i="7"/>
  <c r="J161" i="7"/>
  <c r="B9" i="3" l="1"/>
  <c r="C8" i="2"/>
  <c r="M118" i="7"/>
  <c r="L116" i="7"/>
  <c r="L99" i="7"/>
  <c r="L100" i="7"/>
  <c r="L104" i="7"/>
  <c r="L112" i="7"/>
  <c r="L96" i="7"/>
  <c r="L97" i="7"/>
  <c r="L113" i="7"/>
  <c r="L95" i="7"/>
  <c r="L111" i="7"/>
  <c r="L105" i="7"/>
  <c r="L94" i="7"/>
  <c r="L98" i="7"/>
  <c r="L101" i="7"/>
  <c r="L102" i="7"/>
  <c r="L103" i="7"/>
  <c r="L109" i="7"/>
  <c r="L110" i="7"/>
  <c r="L114" i="7"/>
  <c r="L115" i="7"/>
  <c r="L117" i="7"/>
  <c r="O117" i="7"/>
  <c r="Q117" i="7"/>
  <c r="O114" i="7"/>
  <c r="Q114" i="7"/>
  <c r="O111" i="7"/>
  <c r="Q111" i="7"/>
  <c r="O109" i="7"/>
  <c r="Q109" i="7"/>
  <c r="O102" i="7"/>
  <c r="Q102" i="7"/>
  <c r="O98" i="7"/>
  <c r="Q98" i="7"/>
  <c r="K54" i="7"/>
  <c r="L24" i="7"/>
  <c r="K181" i="7"/>
  <c r="L89" i="7" s="1"/>
  <c r="L126" i="7"/>
  <c r="L161" i="7"/>
  <c r="L54" i="7"/>
  <c r="J180" i="7"/>
  <c r="J126" i="7"/>
  <c r="J21" i="7"/>
  <c r="J155" i="7"/>
  <c r="J54" i="7"/>
  <c r="L155" i="7" l="1"/>
  <c r="L118" i="7"/>
  <c r="L21" i="7"/>
  <c r="L180" i="7"/>
  <c r="B8" i="3"/>
  <c r="C6" i="2"/>
  <c r="M5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</calcChain>
</file>

<file path=xl/sharedStrings.xml><?xml version="1.0" encoding="utf-8"?>
<sst xmlns="http://schemas.openxmlformats.org/spreadsheetml/2006/main" count="382" uniqueCount="256">
  <si>
    <t>S/N</t>
  </si>
  <si>
    <t>FUND</t>
  </si>
  <si>
    <t>FUND MANAGER</t>
  </si>
  <si>
    <t>TOTAL VALUE OF INVESTMENT (N)</t>
  </si>
  <si>
    <t>TOTAL INCOME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</si>
  <si>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</si>
  <si>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</si>
  <si>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</si>
  <si>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</si>
  <si>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</si>
  <si>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</si>
  <si>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</si>
  <si>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</si>
  <si>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</si>
  <si>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</si>
  <si>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</si>
  <si>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</si>
  <si>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</si>
  <si>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</si>
  <si>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</si>
  <si>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</si>
  <si>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</si>
  <si>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</si>
  <si>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</si>
  <si>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</si>
  <si>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</si>
  <si>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</si>
  <si>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</si>
  <si>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</si>
  <si>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</si>
  <si>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</si>
  <si>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</si>
  <si>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</si>
  <si>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</si>
  <si>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</si>
  <si>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</si>
  <si>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</si>
  <si>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</si>
  <si>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</si>
  <si>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</si>
  <si>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</si>
  <si>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</si>
  <si>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</si>
  <si>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</si>
  <si>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</si>
  <si>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</si>
  <si>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</si>
  <si>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</si>
  <si>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</si>
  <si>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</si>
  <si>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</si>
  <si>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</si>
  <si>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</si>
  <si>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</si>
  <si>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</si>
  <si>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</si>
  <si>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</si>
  <si>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</si>
  <si>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</si>
  <si>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Chapel Hill Denham Money Market Fund(Frml NGIF)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</si>
  <si>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</si>
  <si>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</si>
  <si>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</si>
  <si>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</si>
  <si>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</si>
  <si>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</si>
  <si>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</si>
  <si>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</si>
  <si>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</si>
  <si>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</si>
  <si>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</si>
  <si>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</si>
  <si>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</si>
  <si>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</si>
  <si>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</si>
  <si>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</si>
  <si>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</si>
  <si>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</si>
  <si>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</si>
  <si>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</si>
  <si>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</si>
  <si>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</si>
  <si>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</si>
  <si>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</si>
  <si>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</si>
  <si>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</si>
  <si>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</si>
  <si>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</si>
  <si>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</si>
  <si>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</si>
  <si>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</si>
  <si>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</si>
  <si>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</si>
  <si>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</si>
  <si>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</si>
  <si>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</si>
  <si>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</si>
  <si>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</si>
  <si>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</si>
  <si>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</si>
  <si>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</si>
  <si>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</si>
  <si>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</si>
  <si>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</si>
  <si>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</si>
  <si>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</si>
  <si>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</si>
  <si>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</si>
  <si>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</si>
  <si>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</si>
  <si>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</si>
  <si>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</si>
  <si>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</si>
  <si>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</si>
  <si>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</si>
  <si>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</si>
  <si>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</si>
  <si>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</si>
  <si>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</si>
  <si>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</si>
  <si>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</si>
  <si>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</si>
  <si>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</si>
  <si>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</si>
  <si>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</si>
  <si>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</si>
  <si>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</si>
  <si>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</si>
  <si>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</si>
  <si>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</si>
  <si>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</si>
  <si>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</si>
  <si>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</si>
  <si>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</si>
  <si>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</si>
  <si>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</si>
  <si>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</si>
  <si>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</si>
  <si>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</si>
  <si>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</si>
  <si>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</si>
  <si>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</si>
  <si>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</si>
  <si>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</si>
  <si>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</si>
  <si>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</si>
  <si>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</si>
  <si>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</si>
  <si>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</si>
  <si>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</si>
  <si>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</si>
  <si>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</si>
  <si>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</si>
  <si>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</si>
  <si>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</si>
  <si>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</si>
  <si>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</si>
  <si>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</si>
  <si>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</si>
  <si>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</si>
  <si>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</si>
  <si>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</si>
  <si>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</si>
  <si>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</si>
  <si>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</si>
  <si>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</si>
  <si>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</si>
  <si>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</si>
  <si>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</si>
  <si>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</si>
  <si>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</si>
  <si>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</si>
  <si>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</si>
  <si>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</si>
  <si>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</si>
  <si>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</si>
  <si>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</si>
  <si>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</si>
  <si>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</si>
  <si>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</si>
  <si>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</si>
  <si>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</si>
  <si>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</si>
  <si>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</si>
  <si>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</si>
  <si>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</si>
  <si>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</si>
  <si>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</si>
  <si>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</si>
  <si>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</si>
  <si>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</si>
  <si>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</si>
  <si>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</si>
  <si>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</si>
  <si>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</si>
  <si>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</si>
  <si>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</si>
  <si>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</si>
  <si>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</si>
  <si>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</si>
  <si>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</si>
  <si>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</si>
  <si>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</si>
  <si>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</si>
  <si>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</si>
  <si>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</si>
  <si>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</si>
  <si>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</si>
  <si>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</si>
  <si>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</si>
  <si>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</si>
  <si>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</si>
  <si>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</si>
  <si>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</si>
  <si>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UNREALIZED CAPITAL GAINS/LOSS (N)</t>
  </si>
  <si>
    <t>Housing Solution Fund</t>
  </si>
  <si>
    <t>FUNDCO Capital Managers Limited</t>
  </si>
  <si>
    <t>2,199,564,201.16</t>
  </si>
  <si>
    <t>25,511,095.39</t>
  </si>
  <si>
    <t>3,233,347.33</t>
  </si>
  <si>
    <t>2,191,878,582.38</t>
  </si>
  <si>
    <t>103.29</t>
  </si>
  <si>
    <t>Guaranty Trust Fixed Income Fund</t>
  </si>
  <si>
    <t>Utica Custodian Assured Fixed Income Fund</t>
  </si>
  <si>
    <t>Utica Capital Limited</t>
  </si>
  <si>
    <t>Coral Money Market Fund</t>
  </si>
  <si>
    <t>FSDH Halal Fund</t>
  </si>
  <si>
    <t>23,893,331.40</t>
  </si>
  <si>
    <t>Marble Halal Commodities Fund</t>
  </si>
  <si>
    <t xml:space="preserve">Marble Capital Limited </t>
  </si>
  <si>
    <t>Marble Halal Fixed Income Fund</t>
  </si>
  <si>
    <t>Norrenberger Turbo Fund (NTF)</t>
  </si>
  <si>
    <t>Norrenberger Investment &amp; Capital Mgt. Ltd.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</si>
  <si>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</si>
  <si>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</si>
  <si>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</si>
  <si>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</si>
  <si>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</si>
  <si>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Comercio Partners Dollar Fund</t>
  </si>
  <si>
    <t>Comercio Partners Asset Management Limited</t>
  </si>
  <si>
    <t>Nigeria Bond Fund</t>
  </si>
  <si>
    <t>Comercio Partners Fixed Income Fund</t>
  </si>
  <si>
    <t>Comercio Partners Money Market Fund</t>
  </si>
  <si>
    <t>Cowry Fixed Income Fund</t>
  </si>
  <si>
    <t>Cowry Equity Fund</t>
  </si>
  <si>
    <t>EDC Dollar Fund</t>
  </si>
  <si>
    <r>
      <rPr>
        <sz val="10"/>
        <color rgb="FFFFFFFF"/>
        <rFont val="Times New Roman"/>
        <family val="1"/>
      </rPr>
      <t>US$/NG</t>
    </r>
    <r>
      <rPr>
        <strike/>
        <sz val="10"/>
        <color rgb="FFFFFFFF"/>
        <rFont val="Times New Roman"/>
        <family val="1"/>
      </rPr>
      <t>N</t>
    </r>
    <r>
      <rPr>
        <sz val="10"/>
        <color rgb="FFFFFFFF"/>
        <rFont val="Times New Roman"/>
        <family val="1"/>
      </rPr>
      <t xml:space="preserve"> I&amp;E as at 31st January, 2024 = N1,357.383</t>
    </r>
  </si>
  <si>
    <t>MONTHLY UPDATE ON REGISTERED MUTUAL FUNDS AS AT 31ST JANUARY, 2024</t>
  </si>
  <si>
    <t>Cowry Eurobond Fund</t>
  </si>
  <si>
    <t>NET ASSET VALUE (N) PREVIOUS - DECEMBER</t>
  </si>
  <si>
    <t>FBN Bond Fund</t>
  </si>
  <si>
    <t xml:space="preserve">Lead Dollar Fixed Income Fund </t>
  </si>
  <si>
    <t>2,173,858,585.36</t>
  </si>
  <si>
    <t>December 2023</t>
  </si>
  <si>
    <t>January 2024</t>
  </si>
  <si>
    <t>The chart above shows that the Dollar Fund (Eurobonds and Fixed Income) has the highest share of the Aggregate Net Asset Value (NAV) at 44.15%, followed by Money Market Fund with 36.09%, Bond/Fixed Income Fund with 11.24%, Real Estate Investment Trust at 3.69%.  Next is Shari'ah Compliant Fund at 1.77%, Balanced Fund at 1.75%,  Equity Fund at 1.12%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</si>
</sst>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&quot; &quot;* #,##0.00&quot; &quot;;&quot; &quot;* \(#,##0.00\);&quot; &quot;* &quot;-&quot;??&quot; &quot;"/>
  </numFmts>
  <fonts count="6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color theme="0"/>
      <name val="Times New Roman"/>
      <family val="1"/>
    </font>
    <font>
      <sz val="10"/>
      <color indexed="8"/>
      <name val="Arial Narrow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0"/>
      <color rgb="FFFFFFFF"/>
      <name val="Times New Roman"/>
      <family val="1"/>
    </font>
    <font>
      <strike/>
      <sz val="10"/>
      <color rgb="FFFFFFFF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theme="1"/>
      <name val="Aptos"/>
      <family val="2"/>
    </font>
    <font>
      <sz val="11"/>
      <color rgb="FF9C6500"/>
      <name val="Calibri"/>
      <family val="2"/>
      <scheme val="minor"/>
    </font>
    <font>
      <sz val="8"/>
      <name val="Century Gothic"/>
      <family val="2"/>
    </font>
    <font>
      <sz val="8"/>
      <color indexed="8"/>
      <name val="Century Gothic"/>
      <family val="2"/>
    </font>
    <font>
      <b/>
      <sz val="8"/>
      <name val="Century Gothic"/>
      <family val="2"/>
    </font>
    <font>
      <sz val="8"/>
      <name val="Calibri"/>
      <family val="2"/>
      <scheme val="minor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32"/>
      <color indexed="9"/>
      <name val="Segoe UI Black"/>
      <family val="2"/>
    </font>
    <font>
      <b/>
      <sz val="8"/>
      <color theme="9"/>
      <name val="Century Gothic"/>
      <family val="2"/>
    </font>
    <font>
      <b/>
      <sz val="8"/>
      <color theme="1"/>
      <name val="Century Gothic"/>
      <family val="2"/>
    </font>
    <font>
      <b/>
      <sz val="9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2"/>
      <color theme="0"/>
      <name val="Arial Narrow"/>
      <family val="2"/>
    </font>
    <font>
      <sz val="8"/>
      <color theme="0"/>
      <name val="Century Gothic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</borders>
  <cellStyleXfs count="522">
    <xf numFmtId="0" fontId="0" fillId="0" borderId="0"/>
    <xf numFmtId="164" fontId="27" fillId="0" borderId="0" applyFont="0" applyFill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165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3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5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11" borderId="0" applyNumberFormat="0" applyBorder="0" applyAlignment="0" applyProtection="0"/>
    <xf numFmtId="17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0" fontId="1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0" fontId="14" fillId="0" borderId="0"/>
    <xf numFmtId="37" fontId="1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0" fontId="27" fillId="10" borderId="3" applyNumberFormat="0" applyFont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2" fillId="31" borderId="0" applyNumberFormat="0" applyBorder="0" applyAlignment="0" applyProtection="0"/>
    <xf numFmtId="0" fontId="33" fillId="33" borderId="7" applyNumberFormat="0" applyAlignment="0" applyProtection="0"/>
    <xf numFmtId="0" fontId="34" fillId="34" borderId="8" applyNumberFormat="0" applyAlignment="0" applyProtection="0"/>
    <xf numFmtId="0" fontId="35" fillId="34" borderId="7" applyNumberFormat="0" applyAlignment="0" applyProtection="0"/>
    <xf numFmtId="0" fontId="36" fillId="0" borderId="9" applyNumberFormat="0" applyFill="0" applyAlignment="0" applyProtection="0"/>
    <xf numFmtId="0" fontId="4" fillId="35" borderId="10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1" applyNumberFormat="0" applyFill="0" applyAlignment="0" applyProtection="0"/>
    <xf numFmtId="0" fontId="2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2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2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2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2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36" borderId="3" applyNumberFormat="0" applyFon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  <xf numFmtId="0" fontId="42" fillId="32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60" borderId="0" applyNumberFormat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right"/>
    </xf>
    <xf numFmtId="0" fontId="8" fillId="2" borderId="0" xfId="0" applyFont="1" applyFill="1" applyAlignment="1">
      <alignment wrapText="1"/>
    </xf>
    <xf numFmtId="0" fontId="3" fillId="0" borderId="0" xfId="0" applyFont="1" applyAlignment="1">
      <alignment horizontal="right"/>
    </xf>
    <xf numFmtId="4" fontId="7" fillId="2" borderId="0" xfId="0" applyNumberFormat="1" applyFont="1" applyFill="1"/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6" fillId="2" borderId="0" xfId="0" applyNumberFormat="1" applyFont="1" applyFill="1"/>
    <xf numFmtId="164" fontId="7" fillId="2" borderId="0" xfId="1" applyFont="1" applyFill="1" applyBorder="1" applyAlignment="1">
      <alignment horizontal="right" vertical="top" wrapText="1"/>
    </xf>
    <xf numFmtId="164" fontId="6" fillId="2" borderId="0" xfId="1" applyFont="1" applyFill="1" applyBorder="1" applyAlignment="1">
      <alignment horizontal="right" vertical="top" wrapText="1"/>
    </xf>
    <xf numFmtId="0" fontId="10" fillId="0" borderId="0" xfId="0" applyFont="1"/>
    <xf numFmtId="0" fontId="11" fillId="4" borderId="0" xfId="0" applyFont="1" applyFill="1"/>
    <xf numFmtId="0" fontId="11" fillId="0" borderId="0" xfId="0" applyFont="1"/>
    <xf numFmtId="0" fontId="11" fillId="2" borderId="0" xfId="0" applyFont="1" applyFill="1"/>
    <xf numFmtId="0" fontId="15" fillId="2" borderId="0" xfId="0" applyFont="1" applyFill="1"/>
    <xf numFmtId="164" fontId="11" fillId="2" borderId="0" xfId="1" applyFont="1" applyFill="1" applyBorder="1" applyAlignment="1"/>
    <xf numFmtId="0" fontId="16" fillId="9" borderId="0" xfId="0" applyFont="1" applyFill="1" applyAlignment="1">
      <alignment horizontal="right" vertical="center"/>
    </xf>
    <xf numFmtId="0" fontId="17" fillId="2" borderId="0" xfId="0" applyFont="1" applyFill="1"/>
    <xf numFmtId="172" fontId="13" fillId="2" borderId="0" xfId="0" applyNumberFormat="1" applyFont="1" applyFill="1"/>
    <xf numFmtId="174" fontId="13" fillId="2" borderId="0" xfId="0" applyNumberFormat="1" applyFont="1" applyFill="1"/>
    <xf numFmtId="164" fontId="0" fillId="0" borderId="0" xfId="1" applyFont="1"/>
    <xf numFmtId="164" fontId="43" fillId="2" borderId="2" xfId="1" applyFont="1" applyFill="1" applyBorder="1"/>
    <xf numFmtId="164" fontId="43" fillId="2" borderId="2" xfId="1" applyFont="1" applyFill="1" applyBorder="1" applyAlignment="1"/>
    <xf numFmtId="164" fontId="43" fillId="2" borderId="2" xfId="1" applyFont="1" applyFill="1" applyBorder="1" applyAlignment="1">
      <alignment horizontal="left"/>
    </xf>
    <xf numFmtId="0" fontId="25" fillId="9" borderId="0" xfId="0" applyFont="1" applyFill="1" applyAlignment="1">
      <alignment horizontal="left"/>
    </xf>
    <xf numFmtId="0" fontId="50" fillId="0" borderId="2" xfId="0" applyFont="1" applyBorder="1" applyAlignment="1">
      <alignment horizontal="right"/>
    </xf>
    <xf numFmtId="43" fontId="10" fillId="0" borderId="0" xfId="200" applyFont="1"/>
    <xf numFmtId="4" fontId="48" fillId="2" borderId="2" xfId="0" applyNumberFormat="1" applyFont="1" applyFill="1" applyBorder="1"/>
    <xf numFmtId="4" fontId="48" fillId="2" borderId="2" xfId="0" applyNumberFormat="1" applyFont="1" applyFill="1" applyBorder="1" applyAlignment="1">
      <alignment horizontal="right"/>
    </xf>
    <xf numFmtId="172" fontId="43" fillId="2" borderId="2" xfId="0" applyNumberFormat="1" applyFont="1" applyFill="1" applyBorder="1"/>
    <xf numFmtId="0" fontId="49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4" fontId="49" fillId="2" borderId="0" xfId="0" applyNumberFormat="1" applyFont="1" applyFill="1" applyAlignment="1">
      <alignment horizontal="right"/>
    </xf>
    <xf numFmtId="164" fontId="43" fillId="2" borderId="12" xfId="1" applyFont="1" applyFill="1" applyBorder="1"/>
    <xf numFmtId="164" fontId="43" fillId="2" borderId="12" xfId="1" applyFont="1" applyFill="1" applyBorder="1" applyAlignment="1"/>
    <xf numFmtId="164" fontId="43" fillId="2" borderId="12" xfId="1" applyFont="1" applyFill="1" applyBorder="1" applyAlignment="1">
      <alignment horizontal="left"/>
    </xf>
    <xf numFmtId="49" fontId="12" fillId="6" borderId="12" xfId="0" applyNumberFormat="1" applyFont="1" applyFill="1" applyBorder="1" applyAlignment="1">
      <alignment horizontal="center" vertical="top" wrapText="1"/>
    </xf>
    <xf numFmtId="164" fontId="12" fillId="6" borderId="12" xfId="1" applyFont="1" applyFill="1" applyBorder="1" applyAlignment="1">
      <alignment horizontal="center" vertical="top" wrapText="1"/>
    </xf>
    <xf numFmtId="10" fontId="43" fillId="2" borderId="12" xfId="0" applyNumberFormat="1" applyFont="1" applyFill="1" applyBorder="1" applyAlignment="1">
      <alignment horizontal="center"/>
    </xf>
    <xf numFmtId="4" fontId="43" fillId="2" borderId="12" xfId="0" applyNumberFormat="1" applyFont="1" applyFill="1" applyBorder="1" applyAlignment="1">
      <alignment wrapText="1"/>
    </xf>
    <xf numFmtId="1" fontId="43" fillId="2" borderId="12" xfId="0" applyNumberFormat="1" applyFont="1" applyFill="1" applyBorder="1" applyAlignment="1">
      <alignment horizontal="center" wrapText="1"/>
    </xf>
    <xf numFmtId="49" fontId="43" fillId="2" borderId="12" xfId="0" applyNumberFormat="1" applyFont="1" applyFill="1" applyBorder="1" applyAlignment="1">
      <alignment wrapText="1"/>
    </xf>
    <xf numFmtId="10" fontId="45" fillId="7" borderId="12" xfId="0" applyNumberFormat="1" applyFont="1" applyFill="1" applyBorder="1" applyAlignment="1">
      <alignment horizontal="center" vertical="center"/>
    </xf>
    <xf numFmtId="10" fontId="43" fillId="7" borderId="12" xfId="0" applyNumberFormat="1" applyFont="1" applyFill="1" applyBorder="1" applyAlignment="1">
      <alignment horizontal="center" vertical="center"/>
    </xf>
    <xf numFmtId="172" fontId="43" fillId="7" borderId="12" xfId="0" applyNumberFormat="1" applyFont="1" applyFill="1" applyBorder="1" applyAlignment="1">
      <alignment horizontal="right" vertical="center"/>
    </xf>
    <xf numFmtId="49" fontId="43" fillId="2" borderId="12" xfId="0" applyNumberFormat="1" applyFont="1" applyFill="1" applyBorder="1"/>
    <xf numFmtId="49" fontId="43" fillId="2" borderId="12" xfId="0" applyNumberFormat="1" applyFont="1" applyFill="1" applyBorder="1" applyAlignment="1">
      <alignment vertical="center" wrapText="1"/>
    </xf>
    <xf numFmtId="0" fontId="43" fillId="2" borderId="12" xfId="0" applyFont="1" applyFill="1" applyBorder="1" applyAlignment="1">
      <alignment wrapText="1"/>
    </xf>
    <xf numFmtId="172" fontId="45" fillId="2" borderId="12" xfId="0" applyNumberFormat="1" applyFont="1" applyFill="1" applyBorder="1" applyAlignment="1">
      <alignment horizontal="left"/>
    </xf>
    <xf numFmtId="172" fontId="45" fillId="7" borderId="12" xfId="0" applyNumberFormat="1" applyFont="1" applyFill="1" applyBorder="1" applyAlignment="1">
      <alignment horizontal="right" vertical="center"/>
    </xf>
    <xf numFmtId="172" fontId="45" fillId="2" borderId="12" xfId="0" applyNumberFormat="1" applyFont="1" applyFill="1" applyBorder="1"/>
    <xf numFmtId="164" fontId="45" fillId="2" borderId="12" xfId="1" applyFont="1" applyFill="1" applyBorder="1"/>
    <xf numFmtId="0" fontId="43" fillId="2" borderId="12" xfId="0" applyFont="1" applyFill="1" applyBorder="1" applyAlignment="1">
      <alignment horizontal="center" wrapText="1"/>
    </xf>
    <xf numFmtId="172" fontId="43" fillId="7" borderId="12" xfId="0" applyNumberFormat="1" applyFont="1" applyFill="1" applyBorder="1" applyAlignment="1">
      <alignment horizontal="center" vertical="center"/>
    </xf>
    <xf numFmtId="0" fontId="43" fillId="2" borderId="12" xfId="0" applyFont="1" applyFill="1" applyBorder="1"/>
    <xf numFmtId="49" fontId="43" fillId="2" borderId="12" xfId="0" applyNumberFormat="1" applyFont="1" applyFill="1" applyBorder="1" applyAlignment="1">
      <alignment vertical="top" wrapText="1"/>
    </xf>
    <xf numFmtId="172" fontId="45" fillId="7" borderId="12" xfId="0" applyNumberFormat="1" applyFont="1" applyFill="1" applyBorder="1" applyAlignment="1">
      <alignment horizontal="center" vertical="center"/>
    </xf>
    <xf numFmtId="164" fontId="45" fillId="2" borderId="12" xfId="1" applyFont="1" applyFill="1" applyBorder="1" applyAlignment="1"/>
    <xf numFmtId="0" fontId="43" fillId="2" borderId="12" xfId="0" applyFont="1" applyFill="1" applyBorder="1" applyAlignment="1">
      <alignment horizontal="center" vertical="top" wrapText="1"/>
    </xf>
    <xf numFmtId="49" fontId="43" fillId="2" borderId="12" xfId="0" applyNumberFormat="1" applyFont="1" applyFill="1" applyBorder="1" applyAlignment="1">
      <alignment horizontal="left" vertical="top" wrapText="1"/>
    </xf>
    <xf numFmtId="164" fontId="43" fillId="2" borderId="12" xfId="1" applyFont="1" applyFill="1" applyBorder="1" applyAlignment="1">
      <alignment horizontal="right" vertical="top" wrapText="1"/>
    </xf>
    <xf numFmtId="164" fontId="43" fillId="2" borderId="12" xfId="1" applyFont="1" applyFill="1" applyBorder="1" applyAlignment="1">
      <alignment horizontal="right"/>
    </xf>
    <xf numFmtId="164" fontId="45" fillId="2" borderId="12" xfId="1" applyFont="1" applyFill="1" applyBorder="1" applyAlignment="1">
      <alignment wrapText="1"/>
    </xf>
    <xf numFmtId="10" fontId="45" fillId="7" borderId="12" xfId="0" applyNumberFormat="1" applyFont="1" applyFill="1" applyBorder="1" applyAlignment="1">
      <alignment horizontal="right" vertical="center"/>
    </xf>
    <xf numFmtId="10" fontId="43" fillId="2" borderId="12" xfId="0" applyNumberFormat="1" applyFont="1" applyFill="1" applyBorder="1"/>
    <xf numFmtId="10" fontId="45" fillId="6" borderId="12" xfId="0" applyNumberFormat="1" applyFont="1" applyFill="1" applyBorder="1"/>
    <xf numFmtId="10" fontId="45" fillId="6" borderId="12" xfId="0" applyNumberFormat="1" applyFont="1" applyFill="1" applyBorder="1" applyAlignment="1">
      <alignment horizontal="right" vertical="center"/>
    </xf>
    <xf numFmtId="172" fontId="45" fillId="6" borderId="12" xfId="0" applyNumberFormat="1" applyFont="1" applyFill="1" applyBorder="1" applyAlignment="1">
      <alignment horizontal="right" vertical="center"/>
    </xf>
    <xf numFmtId="164" fontId="45" fillId="6" borderId="12" xfId="1" applyFont="1" applyFill="1" applyBorder="1"/>
    <xf numFmtId="164" fontId="45" fillId="2" borderId="12" xfId="1" applyFont="1" applyFill="1" applyBorder="1" applyAlignment="1">
      <alignment horizontal="left"/>
    </xf>
    <xf numFmtId="164" fontId="43" fillId="2" borderId="12" xfId="1" applyFont="1" applyFill="1" applyBorder="1" applyAlignment="1">
      <alignment horizontal="center"/>
    </xf>
    <xf numFmtId="164" fontId="43" fillId="0" borderId="12" xfId="1" applyFont="1" applyBorder="1"/>
    <xf numFmtId="164" fontId="43" fillId="0" borderId="12" xfId="1" applyFont="1" applyBorder="1" applyAlignment="1">
      <alignment horizontal="right"/>
    </xf>
    <xf numFmtId="164" fontId="43" fillId="29" borderId="12" xfId="1" applyFont="1" applyFill="1" applyBorder="1" applyAlignment="1">
      <alignment horizontal="left"/>
    </xf>
    <xf numFmtId="164" fontId="43" fillId="0" borderId="12" xfId="1" applyFont="1" applyBorder="1" applyAlignment="1"/>
    <xf numFmtId="164" fontId="43" fillId="0" borderId="12" xfId="1" applyFont="1" applyBorder="1" applyAlignment="1">
      <alignment vertical="center"/>
    </xf>
    <xf numFmtId="164" fontId="43" fillId="29" borderId="12" xfId="1" applyFont="1" applyFill="1" applyBorder="1"/>
    <xf numFmtId="164" fontId="43" fillId="0" borderId="12" xfId="1" applyFont="1" applyFill="1" applyBorder="1" applyAlignment="1"/>
    <xf numFmtId="4" fontId="43" fillId="2" borderId="12" xfId="495" applyNumberFormat="1" applyFont="1" applyFill="1" applyBorder="1" applyAlignment="1">
      <alignment wrapText="1"/>
    </xf>
    <xf numFmtId="0" fontId="43" fillId="2" borderId="12" xfId="495" applyFont="1" applyFill="1" applyBorder="1" applyAlignment="1">
      <alignment wrapText="1"/>
    </xf>
    <xf numFmtId="164" fontId="43" fillId="2" borderId="12" xfId="1" applyFont="1" applyFill="1" applyBorder="1" applyAlignment="1">
      <alignment horizontal="right" wrapText="1"/>
    </xf>
    <xf numFmtId="164" fontId="43" fillId="2" borderId="12" xfId="1" applyFont="1" applyFill="1" applyBorder="1" applyAlignment="1" applyProtection="1"/>
    <xf numFmtId="164" fontId="43" fillId="0" borderId="12" xfId="1" applyFont="1" applyBorder="1" applyAlignment="1">
      <alignment horizontal="right" vertical="center"/>
    </xf>
    <xf numFmtId="164" fontId="43" fillId="0" borderId="12" xfId="1" applyFont="1" applyFill="1" applyBorder="1" applyAlignment="1">
      <alignment horizontal="right"/>
    </xf>
    <xf numFmtId="10" fontId="52" fillId="2" borderId="12" xfId="0" applyNumberFormat="1" applyFont="1" applyFill="1" applyBorder="1" applyAlignment="1">
      <alignment horizontal="center"/>
    </xf>
    <xf numFmtId="172" fontId="44" fillId="2" borderId="2" xfId="0" applyNumberFormat="1" applyFont="1" applyFill="1" applyBorder="1"/>
    <xf numFmtId="164" fontId="44" fillId="2" borderId="2" xfId="1" applyFont="1" applyFill="1" applyBorder="1" applyAlignment="1"/>
    <xf numFmtId="10" fontId="53" fillId="7" borderId="2" xfId="0" applyNumberFormat="1" applyFont="1" applyFill="1" applyBorder="1" applyAlignment="1">
      <alignment horizontal="center" vertical="center"/>
    </xf>
    <xf numFmtId="10" fontId="44" fillId="7" borderId="2" xfId="0" applyNumberFormat="1" applyFont="1" applyFill="1" applyBorder="1" applyAlignment="1">
      <alignment horizontal="center" vertical="center"/>
    </xf>
    <xf numFmtId="172" fontId="44" fillId="7" borderId="2" xfId="0" applyNumberFormat="1" applyFont="1" applyFill="1" applyBorder="1" applyAlignment="1">
      <alignment horizontal="right" vertical="center"/>
    </xf>
    <xf numFmtId="164" fontId="44" fillId="2" borderId="2" xfId="1" applyFont="1" applyFill="1" applyBorder="1" applyAlignment="1">
      <alignment horizontal="left"/>
    </xf>
    <xf numFmtId="164" fontId="55" fillId="0" borderId="2" xfId="1" applyFont="1" applyBorder="1"/>
    <xf numFmtId="164" fontId="44" fillId="2" borderId="2" xfId="1" applyFont="1" applyFill="1" applyBorder="1"/>
    <xf numFmtId="164" fontId="44" fillId="2" borderId="2" xfId="1" applyFont="1" applyFill="1" applyBorder="1" applyAlignment="1">
      <alignment horizontal="right"/>
    </xf>
    <xf numFmtId="164" fontId="55" fillId="0" borderId="2" xfId="1" applyFont="1" applyBorder="1" applyAlignment="1"/>
    <xf numFmtId="164" fontId="56" fillId="0" borderId="2" xfId="1" applyFont="1" applyBorder="1"/>
    <xf numFmtId="164" fontId="55" fillId="0" borderId="2" xfId="1" applyFont="1" applyBorder="1" applyAlignment="1">
      <alignment horizontal="right"/>
    </xf>
    <xf numFmtId="164" fontId="55" fillId="0" borderId="2" xfId="1" applyFont="1" applyBorder="1" applyAlignment="1">
      <alignment vertical="center"/>
    </xf>
    <xf numFmtId="164" fontId="43" fillId="2" borderId="2" xfId="1" applyFont="1" applyFill="1" applyBorder="1" applyAlignment="1">
      <alignment horizontal="right"/>
    </xf>
    <xf numFmtId="49" fontId="43" fillId="2" borderId="2" xfId="0" applyNumberFormat="1" applyFont="1" applyFill="1" applyBorder="1"/>
    <xf numFmtId="164" fontId="43" fillId="2" borderId="2" xfId="1" applyFont="1" applyFill="1" applyBorder="1" applyAlignment="1">
      <alignment horizontal="right" vertical="top" wrapText="1"/>
    </xf>
    <xf numFmtId="164" fontId="56" fillId="2" borderId="2" xfId="1" applyFont="1" applyFill="1" applyBorder="1"/>
    <xf numFmtId="164" fontId="48" fillId="2" borderId="13" xfId="1" applyFont="1" applyFill="1" applyBorder="1"/>
    <xf numFmtId="0" fontId="2" fillId="2" borderId="0" xfId="0" applyFont="1" applyFill="1"/>
    <xf numFmtId="0" fontId="3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right"/>
    </xf>
    <xf numFmtId="171" fontId="2" fillId="2" borderId="0" xfId="200" applyNumberFormat="1" applyFont="1" applyFill="1"/>
    <xf numFmtId="172" fontId="12" fillId="6" borderId="12" xfId="0" applyNumberFormat="1" applyFont="1" applyFill="1" applyBorder="1"/>
    <xf numFmtId="10" fontId="12" fillId="6" borderId="12" xfId="0" applyNumberFormat="1" applyFont="1" applyFill="1" applyBorder="1"/>
    <xf numFmtId="164" fontId="12" fillId="6" borderId="12" xfId="1" applyFont="1" applyFill="1" applyBorder="1"/>
    <xf numFmtId="0" fontId="57" fillId="0" borderId="2" xfId="0" applyFont="1" applyBorder="1" applyAlignment="1">
      <alignment horizontal="right"/>
    </xf>
    <xf numFmtId="16" fontId="57" fillId="2" borderId="2" xfId="0" quotePrefix="1" applyNumberFormat="1" applyFont="1" applyFill="1" applyBorder="1" applyAlignment="1">
      <alignment horizontal="right"/>
    </xf>
    <xf numFmtId="164" fontId="58" fillId="2" borderId="2" xfId="1" applyFont="1" applyFill="1" applyBorder="1" applyAlignment="1">
      <alignment horizontal="right" vertical="top" wrapText="1"/>
    </xf>
    <xf numFmtId="164" fontId="58" fillId="2" borderId="2" xfId="1" applyFont="1" applyFill="1" applyBorder="1"/>
    <xf numFmtId="4" fontId="58" fillId="2" borderId="2" xfId="0" applyNumberFormat="1" applyFont="1" applyFill="1" applyBorder="1"/>
    <xf numFmtId="4" fontId="58" fillId="2" borderId="2" xfId="0" applyNumberFormat="1" applyFont="1" applyFill="1" applyBorder="1" applyAlignment="1">
      <alignment horizontal="right"/>
    </xf>
    <xf numFmtId="172" fontId="58" fillId="2" borderId="2" xfId="0" applyNumberFormat="1" applyFont="1" applyFill="1" applyBorder="1"/>
    <xf numFmtId="49" fontId="45" fillId="2" borderId="12" xfId="0" applyNumberFormat="1" applyFont="1" applyFill="1" applyBorder="1" applyAlignment="1">
      <alignment horizontal="right"/>
    </xf>
    <xf numFmtId="49" fontId="12" fillId="6" borderId="12" xfId="0" applyNumberFormat="1" applyFont="1" applyFill="1" applyBorder="1" applyAlignment="1">
      <alignment horizontal="right"/>
    </xf>
    <xf numFmtId="173" fontId="43" fillId="2" borderId="12" xfId="0" applyNumberFormat="1" applyFont="1" applyFill="1" applyBorder="1" applyAlignment="1">
      <alignment horizontal="center" wrapText="1"/>
    </xf>
    <xf numFmtId="49" fontId="12" fillId="2" borderId="12" xfId="0" applyNumberFormat="1" applyFont="1" applyFill="1" applyBorder="1" applyAlignment="1">
      <alignment horizontal="center" vertical="top" wrapText="1"/>
    </xf>
    <xf numFmtId="0" fontId="54" fillId="2" borderId="12" xfId="0" applyFont="1" applyFill="1" applyBorder="1" applyAlignment="1">
      <alignment horizontal="center" wrapText="1"/>
    </xf>
    <xf numFmtId="173" fontId="45" fillId="2" borderId="12" xfId="0" applyNumberFormat="1" applyFont="1" applyFill="1" applyBorder="1" applyAlignment="1">
      <alignment horizontal="center" wrapText="1"/>
    </xf>
    <xf numFmtId="49" fontId="45" fillId="2" borderId="12" xfId="0" applyNumberFormat="1" applyFont="1" applyFill="1" applyBorder="1" applyAlignment="1">
      <alignment horizontal="center" wrapText="1"/>
    </xf>
    <xf numFmtId="172" fontId="54" fillId="2" borderId="12" xfId="0" applyNumberFormat="1" applyFont="1" applyFill="1" applyBorder="1" applyAlignment="1">
      <alignment horizontal="center" wrapText="1"/>
    </xf>
    <xf numFmtId="49" fontId="51" fillId="5" borderId="12" xfId="0" applyNumberFormat="1" applyFont="1" applyFill="1" applyBorder="1" applyAlignment="1">
      <alignment horizontal="center"/>
    </xf>
    <xf numFmtId="0" fontId="51" fillId="5" borderId="12" xfId="0" applyFont="1" applyFill="1" applyBorder="1" applyAlignment="1">
      <alignment horizontal="center"/>
    </xf>
    <xf numFmtId="49" fontId="45" fillId="2" borderId="12" xfId="0" applyNumberFormat="1" applyFont="1" applyFill="1" applyBorder="1" applyAlignment="1">
      <alignment horizontal="center" vertical="top" wrapText="1"/>
    </xf>
    <xf numFmtId="173" fontId="45" fillId="2" borderId="12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center" wrapText="1"/>
    </xf>
    <xf numFmtId="16" fontId="3" fillId="2" borderId="0" xfId="0" quotePrefix="1" applyNumberFormat="1" applyFont="1" applyFill="1" applyAlignment="1">
      <alignment horizontal="right" wrapText="1"/>
    </xf>
    <xf numFmtId="0" fontId="3" fillId="0" borderId="0" xfId="0" applyFont="1" applyAlignment="1">
      <alignment horizontal="right" wrapText="1"/>
    </xf>
    <xf numFmtId="43" fontId="59" fillId="0" borderId="0" xfId="200" applyFont="1" applyBorder="1"/>
    <xf numFmtId="16" fontId="5" fillId="2" borderId="0" xfId="0" applyNumberFormat="1" applyFont="1" applyFill="1"/>
    <xf numFmtId="164" fontId="6" fillId="2" borderId="0" xfId="1" applyFont="1" applyFill="1" applyBorder="1"/>
    <xf numFmtId="164" fontId="2" fillId="0" borderId="0" xfId="1" applyFont="1" applyBorder="1"/>
    <xf numFmtId="172" fontId="60" fillId="2" borderId="0" xfId="0" applyNumberFormat="1" applyFont="1" applyFill="1"/>
  </cellXfs>
  <cellStyles count="522">
    <cellStyle name="20% - Accent1" xfId="478" builtinId="30" customBuiltin="1"/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" xfId="481" builtinId="34" customBuiltin="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" xfId="484" builtinId="38" customBuiltin="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" xfId="487" builtinId="42" customBuiltin="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" xfId="490" builtinId="46" customBuiltin="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" xfId="493" builtinId="50" customBuiltin="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" xfId="479" builtinId="31" customBuiltin="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" xfId="482" builtinId="35" customBuiltin="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" xfId="485" builtinId="39" customBuiltin="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" xfId="488" builtinId="43" customBuiltin="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" xfId="491" builtinId="47" customBuiltin="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" xfId="494" builtinId="51" customBuiltin="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2 4" xfId="510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2 4" xfId="511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2 4" xfId="512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2 4" xfId="513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2 4" xfId="51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2 4" xfId="515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Accent1" xfId="477" builtinId="29" customBuiltin="1"/>
    <cellStyle name="Accent2" xfId="480" builtinId="33" customBuiltin="1"/>
    <cellStyle name="Accent3" xfId="483" builtinId="37" customBuiltin="1"/>
    <cellStyle name="Accent4" xfId="486" builtinId="41" customBuiltin="1"/>
    <cellStyle name="Accent5" xfId="489" builtinId="45" customBuiltin="1"/>
    <cellStyle name="Accent6" xfId="492" builtinId="49" customBuiltin="1"/>
    <cellStyle name="Bad" xfId="468" builtinId="27" customBuiltin="1"/>
    <cellStyle name="Calculation" xfId="471" builtinId="22" customBuiltin="1"/>
    <cellStyle name="Check Cell" xfId="473" builtinId="23" customBuiltin="1"/>
    <cellStyle name="Comma" xfId="1" builtinId="3"/>
    <cellStyle name="Comma 10" xfId="182"/>
    <cellStyle name="Comma 10 13" xfId="183"/>
    <cellStyle name="Comma 10 13 2" xfId="498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19" xfId="496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14" xfId="502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2 3" xfId="505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2 2 2" xfId="506"/>
    <cellStyle name="Comma 3 2 3" xfId="499"/>
    <cellStyle name="Comma 3 3" xfId="230"/>
    <cellStyle name="Comma 3 4" xfId="231"/>
    <cellStyle name="Comma 3 4 3" xfId="232"/>
    <cellStyle name="Comma 3 4 4" xfId="233"/>
    <cellStyle name="Comma 3 5" xfId="516"/>
    <cellStyle name="Comma 4" xfId="234"/>
    <cellStyle name="Comma 4 2" xfId="235"/>
    <cellStyle name="Comma 4 3" xfId="236"/>
    <cellStyle name="Comma 4 4" xfId="503"/>
    <cellStyle name="Comma 5" xfId="237"/>
    <cellStyle name="Comma 5 2" xfId="517"/>
    <cellStyle name="Comma 6" xfId="238"/>
    <cellStyle name="Comma 6 2" xfId="519"/>
    <cellStyle name="Comma 7" xfId="239"/>
    <cellStyle name="Comma 8" xfId="240"/>
    <cellStyle name="Comma 8 2" xfId="241"/>
    <cellStyle name="Comma 8 3" xfId="521"/>
    <cellStyle name="Comma 9" xfId="242"/>
    <cellStyle name="Explanatory Text" xfId="475" builtinId="53" customBuiltin="1"/>
    <cellStyle name="Good" xfId="467" builtinId="26" customBuiltin="1"/>
    <cellStyle name="Heading 1" xfId="463" builtinId="16" customBuiltin="1"/>
    <cellStyle name="Heading 2" xfId="464" builtinId="17" customBuiltin="1"/>
    <cellStyle name="Heading 3" xfId="465" builtinId="18" customBuiltin="1"/>
    <cellStyle name="Heading 4" xfId="466" builtinId="19" customBuiltin="1"/>
    <cellStyle name="Input" xfId="469" builtinId="20" customBuiltin="1"/>
    <cellStyle name="Linked Cell" xfId="472" builtinId="24" customBuiltin="1"/>
    <cellStyle name="Neutral 2" xfId="243"/>
    <cellStyle name="Neutral 2 2" xfId="509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2 3" xfId="507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2 3" xfId="501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95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15" xfId="504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Output" xfId="470" builtinId="21" customBuiltin="1"/>
    <cellStyle name="Percent 2" xfId="456"/>
    <cellStyle name="Percent 2 2" xfId="457"/>
    <cellStyle name="Percent 2 2 2" xfId="458"/>
    <cellStyle name="Percent 2 2 3" xfId="500"/>
    <cellStyle name="Percent 3" xfId="459"/>
    <cellStyle name="Percent 4" xfId="460"/>
    <cellStyle name="Percent 5" xfId="518"/>
    <cellStyle name="Percent 6" xfId="520"/>
    <cellStyle name="Percent 7" xfId="497"/>
    <cellStyle name="Title 2" xfId="461"/>
    <cellStyle name="Title 2 2" xfId="508"/>
    <cellStyle name="Title 3" xfId="462"/>
    <cellStyle name="Total" xfId="476" builtinId="25" customBuiltin="1"/>
    <cellStyle name="Warning Text" xfId="474" builtinId="11" customBuiltin="1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December 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24.813480452169998</c:v>
                </c:pt>
                <c:pt idx="1">
                  <c:v>877.05464123596983</c:v>
                </c:pt>
                <c:pt idx="2">
                  <c:v>289.59781149676002</c:v>
                </c:pt>
                <c:pt idx="3">
                  <c:v>704.14775334012222</c:v>
                </c:pt>
                <c:pt idx="4">
                  <c:v>94.621673097889996</c:v>
                </c:pt>
                <c:pt idx="5">
                  <c:v>42.357057102540004</c:v>
                </c:pt>
                <c:pt idx="6">
                  <c:v>4.4074830868200001</c:v>
                </c:pt>
                <c:pt idx="7">
                  <c:v>46.592503181190004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6-45C0-9260-EBF05BC353EB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January 2024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29.579571642289327</c:v>
                </c:pt>
                <c:pt idx="1">
                  <c:v>954.71678990712985</c:v>
                </c:pt>
                <c:pt idx="2">
                  <c:v>297.26469795871998</c:v>
                </c:pt>
                <c:pt idx="3">
                  <c:v>1167.7321175052934</c:v>
                </c:pt>
                <c:pt idx="4">
                  <c:v>97.676603718220008</c:v>
                </c:pt>
                <c:pt idx="5">
                  <c:v>46.187915048359997</c:v>
                </c:pt>
                <c:pt idx="6">
                  <c:v>5.2162301487600002</c:v>
                </c:pt>
                <c:pt idx="7">
                  <c:v>46.768829487220003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6-45C0-9260-EBF05BC353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217560112984199"/>
          <c:y val="0.167450900141421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January 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93-434A-8BB7-F71B0F8FC6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93-434A-8BB7-F71B0F8FC69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93-434A-8BB7-F71B0F8FC69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93-434A-8BB7-F71B0F8FC69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93-434A-8BB7-F71B0F8FC698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93-434A-8BB7-F71B0F8FC698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93-434A-8BB7-F71B0F8FC698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93-434A-8BB7-F71B0F8FC698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93-434A-8BB7-F71B0F8FC698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93-434A-8BB7-F71B0F8FC698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93-434A-8BB7-F71B0F8FC698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93-434A-8BB7-F71B0F8FC698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93-434A-8BB7-F71B0F8FC698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93-434A-8BB7-F71B0F8FC698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93-434A-8BB7-F71B0F8FC698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93-434A-8BB7-F71B0F8FC698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5216230148.7600002</c:v>
                </c:pt>
                <c:pt idx="1">
                  <c:v>29579571642.289326</c:v>
                </c:pt>
                <c:pt idx="2" formatCode="#,##0.00">
                  <c:v>46187915048.360001</c:v>
                </c:pt>
                <c:pt idx="3" formatCode="#,##0.00">
                  <c:v>46768829487.220001</c:v>
                </c:pt>
                <c:pt idx="4" formatCode="#,##0.00">
                  <c:v>97676603718.220001</c:v>
                </c:pt>
                <c:pt idx="5" formatCode="#,##0.00">
                  <c:v>297264697958.71997</c:v>
                </c:pt>
                <c:pt idx="6" formatCode="#,##0.00">
                  <c:v>954716789907.12988</c:v>
                </c:pt>
                <c:pt idx="7" formatCode="&quot; &quot;* #,##0.00&quot; &quot;;&quot;-&quot;* #,##0.00&quot; &quot;;&quot; &quot;* &quot;-&quot;??&quot; &quot;">
                  <c:v>1167732117505.2935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93-434A-8BB7-F71B0F8FC698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48403</c:v>
                </c:pt>
                <c:pt idx="1">
                  <c:v>271783</c:v>
                </c:pt>
                <c:pt idx="2">
                  <c:v>49207</c:v>
                </c:pt>
                <c:pt idx="3">
                  <c:v>13749</c:v>
                </c:pt>
                <c:pt idx="4">
                  <c:v>217017</c:v>
                </c:pt>
                <c:pt idx="5">
                  <c:v>68275</c:v>
                </c:pt>
                <c:pt idx="6">
                  <c:v>12952</c:v>
                </c:pt>
                <c:pt idx="7">
                  <c:v>11496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C-4B86-9247-454C4FCDEA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219075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86"/>
  <sheetViews>
    <sheetView tabSelected="1" zoomScaleNormal="100" workbookViewId="0">
      <pane ySplit="2" topLeftCell="A3" activePane="bottomLeft" state="frozen"/>
      <selection pane="bottomLeft" activeCell="A3" sqref="A3:V3"/>
    </sheetView>
  </sheetViews>
  <sheetFormatPr defaultColWidth="9" defaultRowHeight="12.75"/>
  <cols>
    <col min="1" max="1" width="6.7109375" style="13" customWidth="1"/>
    <col min="2" max="2" width="53.7109375" style="13" customWidth="1"/>
    <col min="3" max="3" width="54.42578125" style="13" customWidth="1"/>
    <col min="4" max="4" width="21.5703125" style="13" customWidth="1"/>
    <col min="5" max="6" width="19.28515625" style="13" customWidth="1"/>
    <col min="7" max="7" width="19.7109375" style="13" customWidth="1"/>
    <col min="8" max="8" width="20" style="13" customWidth="1"/>
    <col min="9" max="9" width="22" style="13" customWidth="1"/>
    <col min="10" max="10" width="13" style="13" bestFit="1" customWidth="1"/>
    <col min="11" max="11" width="23" style="13" customWidth="1"/>
    <col min="12" max="12" width="14.85546875" style="13" bestFit="1" customWidth="1"/>
    <col min="13" max="13" width="11.5703125" style="13" customWidth="1"/>
    <col min="14" max="14" width="12.140625" style="13" customWidth="1"/>
    <col min="15" max="15" width="12.5703125" style="13" customWidth="1"/>
    <col min="16" max="16" width="12" style="13" customWidth="1"/>
    <col min="17" max="17" width="12.7109375" style="13" customWidth="1"/>
    <col min="18" max="19" width="14.42578125" style="13" customWidth="1"/>
    <col min="20" max="20" width="15.5703125" style="13" customWidth="1"/>
    <col min="21" max="22" width="20.140625" style="13" customWidth="1"/>
    <col min="23" max="16384" width="9" style="13"/>
  </cols>
  <sheetData>
    <row r="1" spans="1:22" ht="39.950000000000003" customHeight="1">
      <c r="A1" s="127" t="s">
        <v>247</v>
      </c>
      <c r="B1" s="127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</row>
    <row r="2" spans="1:22" ht="48" customHeight="1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F2" s="37" t="s">
        <v>214</v>
      </c>
      <c r="G2" s="37" t="s">
        <v>5</v>
      </c>
      <c r="H2" s="38" t="s">
        <v>6</v>
      </c>
      <c r="I2" s="37" t="s">
        <v>249</v>
      </c>
      <c r="J2" s="37" t="s">
        <v>7</v>
      </c>
      <c r="K2" s="37" t="s">
        <v>8</v>
      </c>
      <c r="L2" s="37" t="s">
        <v>7</v>
      </c>
      <c r="M2" s="37" t="s">
        <v>9</v>
      </c>
      <c r="N2" s="37" t="s">
        <v>10</v>
      </c>
      <c r="O2" s="37" t="s">
        <v>11</v>
      </c>
      <c r="P2" s="37" t="s">
        <v>12</v>
      </c>
      <c r="Q2" s="37" t="s">
        <v>13</v>
      </c>
      <c r="R2" s="37" t="s">
        <v>14</v>
      </c>
      <c r="S2" s="37" t="s">
        <v>15</v>
      </c>
      <c r="T2" s="37" t="s">
        <v>16</v>
      </c>
      <c r="U2" s="37" t="s">
        <v>17</v>
      </c>
      <c r="V2" s="37" t="s">
        <v>18</v>
      </c>
    </row>
    <row r="3" spans="1:22" ht="6" customHeight="1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</row>
    <row r="4" spans="1:22" ht="17.100000000000001" customHeight="1">
      <c r="A4" s="122" t="s">
        <v>19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</row>
    <row r="5" spans="1:22" ht="15" customHeight="1">
      <c r="A5" s="41">
        <v>1</v>
      </c>
      <c r="B5" s="42" t="s">
        <v>20</v>
      </c>
      <c r="C5" s="42" t="s">
        <v>21</v>
      </c>
      <c r="D5" s="34">
        <v>1029464823.65</v>
      </c>
      <c r="E5" s="34">
        <v>1840696.3</v>
      </c>
      <c r="F5" s="34">
        <v>422660164.68000001</v>
      </c>
      <c r="G5" s="34">
        <v>2083031.22</v>
      </c>
      <c r="H5" s="35">
        <f>(E5+F5)-G5</f>
        <v>422417829.75999999</v>
      </c>
      <c r="I5" s="91">
        <v>821747952.97000003</v>
      </c>
      <c r="J5" s="39">
        <f t="shared" ref="J5:J20" si="0">(I5/$I$21)</f>
        <v>3.3116996809616696E-2</v>
      </c>
      <c r="K5" s="36">
        <v>1265346487.51</v>
      </c>
      <c r="L5" s="39">
        <f t="shared" ref="L5:L20" si="1">(K5/$K$21)</f>
        <v>4.277771506673745E-2</v>
      </c>
      <c r="M5" s="39">
        <f t="shared" ref="M5:M21" si="2">((K5-I5)/I5)</f>
        <v>0.53982310869984562</v>
      </c>
      <c r="N5" s="43">
        <f t="shared" ref="N5" si="3">(G5/K5)</f>
        <v>1.6462140927889822E-3</v>
      </c>
      <c r="O5" s="44">
        <f t="shared" ref="O5" si="4">H5/K5</f>
        <v>0.33383569949386027</v>
      </c>
      <c r="P5" s="45">
        <f t="shared" ref="P5" si="5">K5/V5</f>
        <v>349.28563526230391</v>
      </c>
      <c r="Q5" s="45">
        <f t="shared" ref="Q5" si="6">H5/V5</f>
        <v>116.60401437094858</v>
      </c>
      <c r="R5" s="34">
        <v>349.28559999999999</v>
      </c>
      <c r="S5" s="34">
        <v>351.35939999999999</v>
      </c>
      <c r="T5" s="34">
        <v>1731</v>
      </c>
      <c r="U5" s="34">
        <v>2651833</v>
      </c>
      <c r="V5" s="34">
        <v>3622669.7</v>
      </c>
    </row>
    <row r="6" spans="1:22" ht="14.25">
      <c r="A6" s="41">
        <v>2</v>
      </c>
      <c r="B6" s="42" t="s">
        <v>22</v>
      </c>
      <c r="C6" s="42" t="s">
        <v>23</v>
      </c>
      <c r="D6" s="34">
        <v>639264634.5</v>
      </c>
      <c r="E6" s="34">
        <v>380879</v>
      </c>
      <c r="F6" s="34">
        <v>0</v>
      </c>
      <c r="G6" s="34">
        <v>7016551.5999999996</v>
      </c>
      <c r="H6" s="35">
        <f t="shared" ref="H6:H20" si="7">(E6+F6)-G6</f>
        <v>-6635672.5999999996</v>
      </c>
      <c r="I6" s="91">
        <v>522430018.43000001</v>
      </c>
      <c r="J6" s="39">
        <f t="shared" si="0"/>
        <v>2.1054282144619994E-2</v>
      </c>
      <c r="K6" s="36">
        <v>639393247.88999999</v>
      </c>
      <c r="L6" s="39">
        <f t="shared" si="1"/>
        <v>2.161604149046811E-2</v>
      </c>
      <c r="M6" s="39">
        <f t="shared" si="2"/>
        <v>0.22388305674221473</v>
      </c>
      <c r="N6" s="43">
        <f t="shared" ref="N6:N20" si="8">(G6/K6)</f>
        <v>1.0973765555320838E-2</v>
      </c>
      <c r="O6" s="44">
        <f t="shared" ref="O6:O20" si="9">H6/K6</f>
        <v>-1.0378077375539613E-2</v>
      </c>
      <c r="P6" s="45">
        <f t="shared" ref="P6:P20" si="10">K6/V6</f>
        <v>236.35566700615519</v>
      </c>
      <c r="Q6" s="45">
        <f t="shared" ref="Q6:Q20" si="11">H6/V6</f>
        <v>-2.4529174003371534</v>
      </c>
      <c r="R6" s="34">
        <v>246.58</v>
      </c>
      <c r="S6" s="34">
        <v>249.53</v>
      </c>
      <c r="T6" s="34">
        <v>291</v>
      </c>
      <c r="U6" s="34">
        <v>2718973.97</v>
      </c>
      <c r="V6" s="34">
        <v>2705216.49</v>
      </c>
    </row>
    <row r="7" spans="1:22" ht="14.25">
      <c r="A7" s="41">
        <v>3</v>
      </c>
      <c r="B7" s="42" t="s">
        <v>24</v>
      </c>
      <c r="C7" s="46" t="s">
        <v>25</v>
      </c>
      <c r="D7" s="34">
        <v>4049447067</v>
      </c>
      <c r="E7" s="34">
        <v>67022561.609999999</v>
      </c>
      <c r="F7" s="34">
        <v>0</v>
      </c>
      <c r="G7" s="34">
        <v>19310439.68</v>
      </c>
      <c r="H7" s="35">
        <f t="shared" si="7"/>
        <v>47712121.93</v>
      </c>
      <c r="I7" s="91">
        <v>3301522046.1799998</v>
      </c>
      <c r="J7" s="39">
        <f t="shared" si="0"/>
        <v>0.13305356548203515</v>
      </c>
      <c r="K7" s="36">
        <v>4230884601</v>
      </c>
      <c r="L7" s="39">
        <f t="shared" si="1"/>
        <v>0.1430340050952999</v>
      </c>
      <c r="M7" s="39">
        <f t="shared" si="2"/>
        <v>0.28149518368211773</v>
      </c>
      <c r="N7" s="43">
        <f t="shared" si="8"/>
        <v>4.5641612809377589E-3</v>
      </c>
      <c r="O7" s="44">
        <f t="shared" si="9"/>
        <v>1.1277103118984361E-2</v>
      </c>
      <c r="P7" s="45">
        <f t="shared" si="10"/>
        <v>38.879151946755485</v>
      </c>
      <c r="Q7" s="45">
        <f t="shared" si="11"/>
        <v>0.43844420568222314</v>
      </c>
      <c r="R7" s="34">
        <v>38.684800000000003</v>
      </c>
      <c r="S7" s="34">
        <v>39.851199999999999</v>
      </c>
      <c r="T7" s="34">
        <v>6349</v>
      </c>
      <c r="U7" s="34">
        <v>107979399</v>
      </c>
      <c r="V7" s="34">
        <v>108821422</v>
      </c>
    </row>
    <row r="8" spans="1:22" ht="14.25">
      <c r="A8" s="41">
        <v>4</v>
      </c>
      <c r="B8" s="47" t="s">
        <v>26</v>
      </c>
      <c r="C8" s="47" t="s">
        <v>27</v>
      </c>
      <c r="D8" s="72">
        <v>549542458.28999996</v>
      </c>
      <c r="E8" s="34">
        <v>1957506.48</v>
      </c>
      <c r="F8" s="34">
        <v>0</v>
      </c>
      <c r="G8" s="34">
        <v>1495510.3</v>
      </c>
      <c r="H8" s="35">
        <f t="shared" si="7"/>
        <v>461996.17999999993</v>
      </c>
      <c r="I8" s="92">
        <v>514893446.47000003</v>
      </c>
      <c r="J8" s="39">
        <f t="shared" si="0"/>
        <v>2.0750553210884665E-2</v>
      </c>
      <c r="K8" s="72">
        <v>800420405</v>
      </c>
      <c r="L8" s="39">
        <f t="shared" si="1"/>
        <v>2.7059905217006418E-2</v>
      </c>
      <c r="M8" s="39">
        <f t="shared" si="2"/>
        <v>0.55453601223226301</v>
      </c>
      <c r="N8" s="43">
        <f t="shared" si="8"/>
        <v>1.8684060159610749E-3</v>
      </c>
      <c r="O8" s="44">
        <f t="shared" si="9"/>
        <v>5.7719190704539811E-4</v>
      </c>
      <c r="P8" s="45">
        <f t="shared" si="10"/>
        <v>243.09330944057925</v>
      </c>
      <c r="Q8" s="45">
        <f t="shared" si="11"/>
        <v>0.14031149086598502</v>
      </c>
      <c r="R8" s="72">
        <v>243.0933</v>
      </c>
      <c r="S8" s="72">
        <v>243.0933</v>
      </c>
      <c r="T8" s="34">
        <v>2250</v>
      </c>
      <c r="U8" s="34">
        <v>2527098.71</v>
      </c>
      <c r="V8" s="34">
        <v>3292646.79</v>
      </c>
    </row>
    <row r="9" spans="1:22" ht="14.25">
      <c r="A9" s="41">
        <v>5</v>
      </c>
      <c r="B9" s="40" t="s">
        <v>244</v>
      </c>
      <c r="C9" s="48" t="s">
        <v>47</v>
      </c>
      <c r="D9" s="86">
        <f>59869209.15+18599256.24+14510641.83+1028943.15</f>
        <v>94008050.370000005</v>
      </c>
      <c r="E9" s="30">
        <v>422639.26</v>
      </c>
      <c r="F9" s="30"/>
      <c r="G9" s="30">
        <v>167709.85999999999</v>
      </c>
      <c r="H9" s="87">
        <f>(E9+F9)-G9</f>
        <v>254929.40000000002</v>
      </c>
      <c r="I9" s="93">
        <v>130230284.90000001</v>
      </c>
      <c r="J9" s="39">
        <f t="shared" si="0"/>
        <v>5.2483683274915614E-3</v>
      </c>
      <c r="K9" s="86">
        <v>93178568.469999999</v>
      </c>
      <c r="L9" s="39">
        <f t="shared" si="1"/>
        <v>3.1500986422935365E-3</v>
      </c>
      <c r="M9" s="39">
        <f t="shared" si="2"/>
        <v>-0.28450921733336393</v>
      </c>
      <c r="N9" s="88">
        <f>(G9/K9)</f>
        <v>1.7998759023003907E-3</v>
      </c>
      <c r="O9" s="89">
        <f>H9/K9</f>
        <v>2.7359231225158576E-3</v>
      </c>
      <c r="P9" s="90">
        <f>K9/V9</f>
        <v>158.56233867421059</v>
      </c>
      <c r="Q9" s="90">
        <f>H9/V9</f>
        <v>0.43381436873896317</v>
      </c>
      <c r="R9" s="30">
        <v>158.31780000000001</v>
      </c>
      <c r="S9" s="30">
        <v>159.1532</v>
      </c>
      <c r="T9" s="22">
        <v>80</v>
      </c>
      <c r="U9" s="22">
        <v>930797.67</v>
      </c>
      <c r="V9" s="22">
        <v>587646.28</v>
      </c>
    </row>
    <row r="10" spans="1:22" ht="14.25">
      <c r="A10" s="41">
        <v>6</v>
      </c>
      <c r="B10" s="42" t="s">
        <v>28</v>
      </c>
      <c r="C10" s="42" t="s">
        <v>29</v>
      </c>
      <c r="D10" s="73">
        <v>1202630136.6099999</v>
      </c>
      <c r="E10" s="72">
        <v>1822533.47</v>
      </c>
      <c r="F10" s="34">
        <v>0</v>
      </c>
      <c r="G10" s="73">
        <v>2023792.45</v>
      </c>
      <c r="H10" s="35">
        <f t="shared" si="7"/>
        <v>-201258.97999999998</v>
      </c>
      <c r="I10" s="94">
        <v>938068751.50999999</v>
      </c>
      <c r="J10" s="39">
        <f t="shared" si="0"/>
        <v>3.7804803454243502E-2</v>
      </c>
      <c r="K10" s="62">
        <v>1185119296.0599999</v>
      </c>
      <c r="L10" s="39">
        <f t="shared" si="1"/>
        <v>4.0065465125453621E-2</v>
      </c>
      <c r="M10" s="39">
        <f t="shared" si="2"/>
        <v>0.26336080820550212</v>
      </c>
      <c r="N10" s="43">
        <f t="shared" si="8"/>
        <v>1.7076698157967886E-3</v>
      </c>
      <c r="O10" s="44">
        <f t="shared" si="9"/>
        <v>-1.6982170543429468E-4</v>
      </c>
      <c r="P10" s="45">
        <f t="shared" si="10"/>
        <v>283.27935537845536</v>
      </c>
      <c r="Q10" s="45">
        <f t="shared" si="11"/>
        <v>-4.8106983244696928E-2</v>
      </c>
      <c r="R10" s="72">
        <v>283.27999999999997</v>
      </c>
      <c r="S10" s="72">
        <v>287.33999999999997</v>
      </c>
      <c r="T10" s="72">
        <v>1607</v>
      </c>
      <c r="U10" s="73">
        <v>3772418.39</v>
      </c>
      <c r="V10" s="73">
        <v>4183571</v>
      </c>
    </row>
    <row r="11" spans="1:22" ht="14.25">
      <c r="A11" s="41">
        <v>7</v>
      </c>
      <c r="B11" s="42" t="s">
        <v>30</v>
      </c>
      <c r="C11" s="46" t="s">
        <v>31</v>
      </c>
      <c r="D11" s="34">
        <v>330890751.10000002</v>
      </c>
      <c r="E11" s="34">
        <v>4799514.34</v>
      </c>
      <c r="F11" s="34">
        <v>11422634.65</v>
      </c>
      <c r="G11" s="34">
        <v>1100897.44</v>
      </c>
      <c r="H11" s="35">
        <f t="shared" si="7"/>
        <v>15121251.550000001</v>
      </c>
      <c r="I11" s="91">
        <v>333576421.72000003</v>
      </c>
      <c r="J11" s="39">
        <f t="shared" si="0"/>
        <v>1.3443354807198278E-2</v>
      </c>
      <c r="K11" s="36">
        <v>317053931.67000002</v>
      </c>
      <c r="L11" s="39">
        <f t="shared" si="1"/>
        <v>1.0718678941811121E-2</v>
      </c>
      <c r="M11" s="39">
        <f t="shared" si="2"/>
        <v>-4.9531348663092223E-2</v>
      </c>
      <c r="N11" s="43">
        <f t="shared" si="8"/>
        <v>3.4722718441033231E-3</v>
      </c>
      <c r="O11" s="44">
        <f t="shared" si="9"/>
        <v>4.7692994912104381E-2</v>
      </c>
      <c r="P11" s="45">
        <f t="shared" si="10"/>
        <v>159.48090084339478</v>
      </c>
      <c r="Q11" s="45">
        <f t="shared" si="11"/>
        <v>7.6061217925018498</v>
      </c>
      <c r="R11" s="34">
        <v>159.47999999999999</v>
      </c>
      <c r="S11" s="34">
        <v>163.71</v>
      </c>
      <c r="T11" s="34">
        <v>2470</v>
      </c>
      <c r="U11" s="34">
        <v>1988037</v>
      </c>
      <c r="V11" s="34">
        <v>1988037</v>
      </c>
    </row>
    <row r="12" spans="1:22" ht="14.25">
      <c r="A12" s="41">
        <v>8</v>
      </c>
      <c r="B12" s="42" t="s">
        <v>32</v>
      </c>
      <c r="C12" s="42" t="s">
        <v>33</v>
      </c>
      <c r="D12" s="34">
        <v>53871051.684</v>
      </c>
      <c r="E12" s="34">
        <v>0</v>
      </c>
      <c r="F12" s="34">
        <v>8594066.4519999996</v>
      </c>
      <c r="G12" s="34">
        <v>951985.30870000017</v>
      </c>
      <c r="H12" s="35">
        <f t="shared" si="7"/>
        <v>7642081.1432999996</v>
      </c>
      <c r="I12" s="91">
        <v>47862539.780000001</v>
      </c>
      <c r="J12" s="39">
        <f t="shared" si="0"/>
        <v>1.9288926385098994E-3</v>
      </c>
      <c r="K12" s="36">
        <v>54421440.619327635</v>
      </c>
      <c r="L12" s="39">
        <f t="shared" si="1"/>
        <v>1.8398319379825765E-3</v>
      </c>
      <c r="M12" s="39">
        <f t="shared" si="2"/>
        <v>0.13703620554771223</v>
      </c>
      <c r="N12" s="43">
        <f t="shared" si="8"/>
        <v>1.7492835505017942E-2</v>
      </c>
      <c r="O12" s="44">
        <f t="shared" si="9"/>
        <v>0.1404240875715799</v>
      </c>
      <c r="P12" s="45">
        <f t="shared" si="10"/>
        <v>201.21144116196294</v>
      </c>
      <c r="Q12" s="45">
        <f t="shared" si="11"/>
        <v>28.254933034131284</v>
      </c>
      <c r="R12" s="34">
        <v>201.18</v>
      </c>
      <c r="S12" s="34">
        <v>208.18</v>
      </c>
      <c r="T12" s="34">
        <v>7</v>
      </c>
      <c r="U12" s="34">
        <v>253000</v>
      </c>
      <c r="V12" s="34">
        <v>270468.91720000003</v>
      </c>
    </row>
    <row r="13" spans="1:22" ht="14.25">
      <c r="A13" s="41">
        <v>9</v>
      </c>
      <c r="B13" s="46" t="s">
        <v>34</v>
      </c>
      <c r="C13" s="46" t="s">
        <v>35</v>
      </c>
      <c r="D13" s="72">
        <v>550967378.32000005</v>
      </c>
      <c r="E13" s="72">
        <v>1321173.29</v>
      </c>
      <c r="F13" s="34">
        <v>0</v>
      </c>
      <c r="G13" s="72">
        <v>1354032.88</v>
      </c>
      <c r="H13" s="35">
        <f t="shared" si="7"/>
        <v>-32859.589999999851</v>
      </c>
      <c r="I13" s="92">
        <v>556113964.09000003</v>
      </c>
      <c r="J13" s="39">
        <f t="shared" si="0"/>
        <v>2.2411767876012192E-2</v>
      </c>
      <c r="K13" s="72">
        <v>537489624.05999994</v>
      </c>
      <c r="L13" s="39">
        <f t="shared" si="1"/>
        <v>1.8170973892385978E-2</v>
      </c>
      <c r="M13" s="39">
        <f t="shared" si="2"/>
        <v>-3.3490149920036849E-2</v>
      </c>
      <c r="N13" s="43">
        <f t="shared" si="8"/>
        <v>2.5191795699647762E-3</v>
      </c>
      <c r="O13" s="44">
        <f t="shared" si="9"/>
        <v>-6.1135301090634145E-5</v>
      </c>
      <c r="P13" s="45">
        <f t="shared" si="10"/>
        <v>1.7200975812677217</v>
      </c>
      <c r="Q13" s="45">
        <f t="shared" si="11"/>
        <v>-1.051586835360737E-4</v>
      </c>
      <c r="R13" s="72">
        <v>1.69</v>
      </c>
      <c r="S13" s="34">
        <v>1.75</v>
      </c>
      <c r="T13" s="34">
        <v>513</v>
      </c>
      <c r="U13" s="72">
        <v>322631500.11000001</v>
      </c>
      <c r="V13" s="72">
        <v>312476239.67000002</v>
      </c>
    </row>
    <row r="14" spans="1:22" ht="14.25">
      <c r="A14" s="41">
        <v>10</v>
      </c>
      <c r="B14" s="42" t="s">
        <v>36</v>
      </c>
      <c r="C14" s="46" t="s">
        <v>37</v>
      </c>
      <c r="D14" s="34">
        <v>1733525744.8</v>
      </c>
      <c r="E14" s="35">
        <v>3567366.99</v>
      </c>
      <c r="F14" s="34">
        <v>0</v>
      </c>
      <c r="G14" s="34">
        <v>2538511.11</v>
      </c>
      <c r="H14" s="35">
        <f t="shared" si="7"/>
        <v>1028855.8800000004</v>
      </c>
      <c r="I14" s="91">
        <v>1376394107.6700001</v>
      </c>
      <c r="J14" s="39">
        <f t="shared" si="0"/>
        <v>5.546961097711027E-2</v>
      </c>
      <c r="K14" s="36">
        <v>1728334663.5</v>
      </c>
      <c r="L14" s="39">
        <f t="shared" si="1"/>
        <v>5.8430009886587884E-2</v>
      </c>
      <c r="M14" s="39">
        <f t="shared" si="2"/>
        <v>0.25569751706201005</v>
      </c>
      <c r="N14" s="43">
        <f t="shared" si="8"/>
        <v>1.4687613247652716E-3</v>
      </c>
      <c r="O14" s="44">
        <f t="shared" si="9"/>
        <v>5.9528741841958686E-4</v>
      </c>
      <c r="P14" s="45">
        <f t="shared" si="10"/>
        <v>3.5197050767869267</v>
      </c>
      <c r="Q14" s="45">
        <f t="shared" si="11"/>
        <v>2.0952361487588033E-3</v>
      </c>
      <c r="R14" s="72">
        <v>3.48</v>
      </c>
      <c r="S14" s="34">
        <v>3.55</v>
      </c>
      <c r="T14" s="34">
        <v>3668</v>
      </c>
      <c r="U14" s="34">
        <v>491057054</v>
      </c>
      <c r="V14" s="34">
        <v>491045308</v>
      </c>
    </row>
    <row r="15" spans="1:22" ht="14.25">
      <c r="A15" s="41">
        <v>11</v>
      </c>
      <c r="B15" s="42" t="s">
        <v>38</v>
      </c>
      <c r="C15" s="42" t="s">
        <v>39</v>
      </c>
      <c r="D15" s="72">
        <v>601588340.15999997</v>
      </c>
      <c r="E15" s="72">
        <v>3327645.26</v>
      </c>
      <c r="F15" s="34">
        <v>34326558.829999998</v>
      </c>
      <c r="G15" s="72">
        <v>1023419.55</v>
      </c>
      <c r="H15" s="35">
        <f t="shared" si="7"/>
        <v>36630784.539999999</v>
      </c>
      <c r="I15" s="92">
        <v>513593810.07999998</v>
      </c>
      <c r="J15" s="39">
        <f t="shared" si="0"/>
        <v>2.0698176987706089E-2</v>
      </c>
      <c r="K15" s="74">
        <v>659787039.71000004</v>
      </c>
      <c r="L15" s="39">
        <f t="shared" si="1"/>
        <v>2.230549676949059E-2</v>
      </c>
      <c r="M15" s="39">
        <f t="shared" si="2"/>
        <v>0.28464756926729368</v>
      </c>
      <c r="N15" s="43">
        <f t="shared" si="8"/>
        <v>1.5511361824412761E-3</v>
      </c>
      <c r="O15" s="44">
        <f t="shared" si="9"/>
        <v>5.5519102885228752E-2</v>
      </c>
      <c r="P15" s="45">
        <f t="shared" si="10"/>
        <v>20.074663866890369</v>
      </c>
      <c r="Q15" s="45">
        <f t="shared" si="11"/>
        <v>1.1145273286122706</v>
      </c>
      <c r="R15" s="72">
        <v>19.89</v>
      </c>
      <c r="S15" s="72">
        <v>20.059999999999999</v>
      </c>
      <c r="T15" s="72">
        <v>315</v>
      </c>
      <c r="U15" s="72">
        <v>27965873.120000001</v>
      </c>
      <c r="V15" s="72">
        <v>32866654.41</v>
      </c>
    </row>
    <row r="16" spans="1:22" ht="14.25">
      <c r="A16" s="41">
        <v>12</v>
      </c>
      <c r="B16" s="47" t="s">
        <v>40</v>
      </c>
      <c r="C16" s="47" t="s">
        <v>41</v>
      </c>
      <c r="D16" s="34">
        <v>350685696.95999998</v>
      </c>
      <c r="E16" s="34">
        <v>1759245.73</v>
      </c>
      <c r="F16" s="34">
        <v>142306785.59</v>
      </c>
      <c r="G16" s="34">
        <v>466332.42</v>
      </c>
      <c r="H16" s="35">
        <f t="shared" si="7"/>
        <v>143599698.90000001</v>
      </c>
      <c r="I16" s="91">
        <v>299371096.61000001</v>
      </c>
      <c r="J16" s="39">
        <f t="shared" si="0"/>
        <v>1.2064857132277841E-2</v>
      </c>
      <c r="K16" s="36">
        <v>355791952.63999999</v>
      </c>
      <c r="L16" s="39">
        <f t="shared" si="1"/>
        <v>1.2028299697597084E-2</v>
      </c>
      <c r="M16" s="39">
        <f t="shared" si="2"/>
        <v>0.1884646068671792</v>
      </c>
      <c r="N16" s="43">
        <f t="shared" si="8"/>
        <v>1.3106884979825495E-3</v>
      </c>
      <c r="O16" s="44">
        <f t="shared" si="9"/>
        <v>0.40360580905352322</v>
      </c>
      <c r="P16" s="45">
        <f t="shared" si="10"/>
        <v>2.5633987274688796</v>
      </c>
      <c r="Q16" s="45">
        <f t="shared" si="11"/>
        <v>1.034602617326849</v>
      </c>
      <c r="R16" s="34">
        <v>2.39</v>
      </c>
      <c r="S16" s="34">
        <v>2.42</v>
      </c>
      <c r="T16" s="34">
        <v>17</v>
      </c>
      <c r="U16" s="34">
        <v>138796960.78</v>
      </c>
      <c r="V16" s="34">
        <v>138796960.78</v>
      </c>
    </row>
    <row r="17" spans="1:22" ht="14.25">
      <c r="A17" s="41">
        <v>13</v>
      </c>
      <c r="B17" s="42" t="s">
        <v>42</v>
      </c>
      <c r="C17" s="42" t="s">
        <v>43</v>
      </c>
      <c r="D17" s="34">
        <v>1194319387.8499999</v>
      </c>
      <c r="E17" s="34">
        <f>39378626+108288+612845</f>
        <v>40099759</v>
      </c>
      <c r="F17" s="34">
        <v>68256042.909999996</v>
      </c>
      <c r="G17" s="34">
        <v>2187560.34</v>
      </c>
      <c r="H17" s="35">
        <f t="shared" si="7"/>
        <v>106168241.56999999</v>
      </c>
      <c r="I17" s="91">
        <v>1124921294.1300001</v>
      </c>
      <c r="J17" s="39">
        <f t="shared" si="0"/>
        <v>4.5335086962039743E-2</v>
      </c>
      <c r="K17" s="36">
        <v>1190111314.8399999</v>
      </c>
      <c r="L17" s="39">
        <f t="shared" si="1"/>
        <v>4.0234230881779284E-2</v>
      </c>
      <c r="M17" s="39">
        <f t="shared" si="2"/>
        <v>5.7950739354095823E-2</v>
      </c>
      <c r="N17" s="43">
        <f t="shared" si="8"/>
        <v>1.838114059350909E-3</v>
      </c>
      <c r="O17" s="44">
        <f t="shared" si="9"/>
        <v>8.9208664976245008E-2</v>
      </c>
      <c r="P17" s="45">
        <f t="shared" si="10"/>
        <v>27.051089770327952</v>
      </c>
      <c r="Q17" s="45">
        <f t="shared" si="11"/>
        <v>2.4131916045635147</v>
      </c>
      <c r="R17" s="34">
        <v>26.71</v>
      </c>
      <c r="S17" s="34">
        <v>27.32</v>
      </c>
      <c r="T17" s="34">
        <v>8870</v>
      </c>
      <c r="U17" s="34">
        <v>41126088</v>
      </c>
      <c r="V17" s="34">
        <v>43994949</v>
      </c>
    </row>
    <row r="18" spans="1:22" ht="14.25">
      <c r="A18" s="41">
        <v>14</v>
      </c>
      <c r="B18" s="46" t="s">
        <v>44</v>
      </c>
      <c r="C18" s="42" t="s">
        <v>45</v>
      </c>
      <c r="D18" s="72">
        <v>690089080.09000003</v>
      </c>
      <c r="E18" s="72">
        <v>21121586.109999999</v>
      </c>
      <c r="F18" s="34">
        <v>0</v>
      </c>
      <c r="G18" s="72">
        <v>2549173.86</v>
      </c>
      <c r="H18" s="35">
        <f t="shared" si="7"/>
        <v>18572412.25</v>
      </c>
      <c r="I18" s="92">
        <v>551290740.16999996</v>
      </c>
      <c r="J18" s="39">
        <f t="shared" si="0"/>
        <v>2.2217388698560755E-2</v>
      </c>
      <c r="K18" s="72">
        <v>691442732.58000004</v>
      </c>
      <c r="L18" s="39">
        <f t="shared" si="1"/>
        <v>2.3375684439982156E-2</v>
      </c>
      <c r="M18" s="39">
        <f t="shared" si="2"/>
        <v>0.25422518863056148</v>
      </c>
      <c r="N18" s="43">
        <f t="shared" si="8"/>
        <v>3.6867461900831535E-3</v>
      </c>
      <c r="O18" s="44">
        <f t="shared" si="9"/>
        <v>2.6860376680365453E-2</v>
      </c>
      <c r="P18" s="45">
        <f t="shared" si="10"/>
        <v>6185.4016597571999</v>
      </c>
      <c r="Q18" s="45">
        <f t="shared" si="11"/>
        <v>166.14221850043606</v>
      </c>
      <c r="R18" s="72">
        <v>6142.6</v>
      </c>
      <c r="S18" s="72">
        <v>6214.73</v>
      </c>
      <c r="T18" s="34">
        <v>21</v>
      </c>
      <c r="U18" s="72">
        <v>101714.65</v>
      </c>
      <c r="V18" s="72">
        <v>111786.23</v>
      </c>
    </row>
    <row r="19" spans="1:22" ht="14.25">
      <c r="A19" s="41">
        <v>15</v>
      </c>
      <c r="B19" s="42" t="s">
        <v>46</v>
      </c>
      <c r="C19" s="42" t="s">
        <v>45</v>
      </c>
      <c r="D19" s="72">
        <v>12323882228.65</v>
      </c>
      <c r="E19" s="72">
        <v>194595664.81</v>
      </c>
      <c r="F19" s="34">
        <v>0</v>
      </c>
      <c r="G19" s="72">
        <v>50974111.270000003</v>
      </c>
      <c r="H19" s="35">
        <f t="shared" si="7"/>
        <v>143621553.53999999</v>
      </c>
      <c r="I19" s="92">
        <v>10704898473.459999</v>
      </c>
      <c r="J19" s="39">
        <f t="shared" si="0"/>
        <v>0.43141462940253633</v>
      </c>
      <c r="K19" s="72">
        <v>12406372478.74</v>
      </c>
      <c r="L19" s="39">
        <f t="shared" si="1"/>
        <v>0.41942366944228682</v>
      </c>
      <c r="M19" s="39">
        <f t="shared" si="2"/>
        <v>0.15894349764253826</v>
      </c>
      <c r="N19" s="43">
        <f t="shared" si="8"/>
        <v>4.1087039227099657E-3</v>
      </c>
      <c r="O19" s="44">
        <f t="shared" si="9"/>
        <v>1.1576434109657354E-2</v>
      </c>
      <c r="P19" s="45">
        <f t="shared" si="10"/>
        <v>20682.624960648176</v>
      </c>
      <c r="Q19" s="45">
        <f t="shared" si="11"/>
        <v>239.43104507169815</v>
      </c>
      <c r="R19" s="72">
        <v>20540.580000000002</v>
      </c>
      <c r="S19" s="72">
        <v>20779.98</v>
      </c>
      <c r="T19" s="72">
        <v>17338</v>
      </c>
      <c r="U19" s="72">
        <v>581766.67000000004</v>
      </c>
      <c r="V19" s="72">
        <v>599845.16</v>
      </c>
    </row>
    <row r="20" spans="1:22" ht="14.25">
      <c r="A20" s="41">
        <v>16</v>
      </c>
      <c r="B20" s="42" t="s">
        <v>48</v>
      </c>
      <c r="C20" s="42" t="s">
        <v>49</v>
      </c>
      <c r="D20" s="72">
        <v>2820330547</v>
      </c>
      <c r="E20" s="72">
        <v>72793602</v>
      </c>
      <c r="F20" s="34">
        <v>0</v>
      </c>
      <c r="G20" s="75">
        <v>2985040</v>
      </c>
      <c r="H20" s="35">
        <f t="shared" si="7"/>
        <v>69808562</v>
      </c>
      <c r="I20" s="95">
        <v>3076565504</v>
      </c>
      <c r="J20" s="39">
        <f t="shared" si="0"/>
        <v>0.1239876650891571</v>
      </c>
      <c r="K20" s="75">
        <v>3424423858</v>
      </c>
      <c r="L20" s="39">
        <f t="shared" si="1"/>
        <v>0.11576989347283749</v>
      </c>
      <c r="M20" s="39">
        <f t="shared" si="2"/>
        <v>0.11306710471391933</v>
      </c>
      <c r="N20" s="43">
        <f t="shared" si="8"/>
        <v>8.716911585072831E-4</v>
      </c>
      <c r="O20" s="44">
        <f t="shared" si="9"/>
        <v>2.0385491076671501E-2</v>
      </c>
      <c r="P20" s="45">
        <f t="shared" si="10"/>
        <v>1.6481319466338575</v>
      </c>
      <c r="Q20" s="45">
        <f t="shared" si="11"/>
        <v>3.3597979091281732E-2</v>
      </c>
      <c r="R20" s="72">
        <v>1.65</v>
      </c>
      <c r="S20" s="72">
        <v>1.65</v>
      </c>
      <c r="T20" s="72">
        <v>2876</v>
      </c>
      <c r="U20" s="76">
        <v>2012771206</v>
      </c>
      <c r="V20" s="76">
        <v>2077760743</v>
      </c>
    </row>
    <row r="21" spans="1:22" ht="14.25">
      <c r="A21" s="119" t="s">
        <v>50</v>
      </c>
      <c r="B21" s="119"/>
      <c r="C21" s="119"/>
      <c r="D21" s="119"/>
      <c r="E21" s="119"/>
      <c r="F21" s="119"/>
      <c r="G21" s="119"/>
      <c r="H21" s="119"/>
      <c r="I21" s="49">
        <f>SUM(I5:I20)</f>
        <v>24813480452.169998</v>
      </c>
      <c r="J21" s="85">
        <f>(I21/$I$181)</f>
        <v>1.1908989693243693E-2</v>
      </c>
      <c r="K21" s="70">
        <f>SUM(K5:K20)</f>
        <v>29579571642.289326</v>
      </c>
      <c r="L21" s="85">
        <f>(K21/$K$181)</f>
        <v>1.1182599344297941E-2</v>
      </c>
      <c r="M21" s="39">
        <f t="shared" si="2"/>
        <v>0.19207668989871679</v>
      </c>
      <c r="N21" s="43"/>
      <c r="O21" s="43"/>
      <c r="P21" s="50"/>
      <c r="Q21" s="50"/>
      <c r="R21" s="52"/>
      <c r="S21" s="52"/>
      <c r="T21" s="52">
        <f>SUM(T5:T20)</f>
        <v>48403</v>
      </c>
      <c r="U21" s="52"/>
      <c r="V21" s="52"/>
    </row>
    <row r="22" spans="1:22" ht="6" customHeight="1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</row>
    <row r="23" spans="1:22">
      <c r="A23" s="122" t="s">
        <v>51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</row>
    <row r="24" spans="1:22" ht="12.95" customHeight="1">
      <c r="A24" s="53">
        <v>17</v>
      </c>
      <c r="B24" s="42" t="s">
        <v>52</v>
      </c>
      <c r="C24" s="42" t="s">
        <v>21</v>
      </c>
      <c r="D24" s="72">
        <v>948639549.55999994</v>
      </c>
      <c r="E24" s="72">
        <v>10381641.619999999</v>
      </c>
      <c r="F24" s="34">
        <v>0</v>
      </c>
      <c r="G24" s="72">
        <v>2056653.33</v>
      </c>
      <c r="H24" s="35">
        <f t="shared" ref="H24:H53" si="12">(E24+F24)-G24</f>
        <v>8324988.2899999991</v>
      </c>
      <c r="I24" s="93">
        <v>970366935.99000001</v>
      </c>
      <c r="J24" s="39">
        <f t="shared" ref="J24:J53" si="13">(I24/$I$54)</f>
        <v>1.1063927951199617E-3</v>
      </c>
      <c r="K24" s="77">
        <v>937480161.20000005</v>
      </c>
      <c r="L24" s="39">
        <f t="shared" ref="L24:L53" si="14">(K24/$K$54)</f>
        <v>9.8194582007004759E-4</v>
      </c>
      <c r="M24" s="39">
        <f t="shared" ref="M24:M54" si="15">((K24-I24)/I24)</f>
        <v>-3.3891071068335402E-2</v>
      </c>
      <c r="N24" s="43">
        <f t="shared" ref="N24" si="16">(G24/K24)</f>
        <v>2.1938099760611765E-3</v>
      </c>
      <c r="O24" s="44">
        <f t="shared" ref="O24" si="17">H24/K24</f>
        <v>8.8801754261591936E-3</v>
      </c>
      <c r="P24" s="54">
        <f t="shared" ref="P24" si="18">K24/V24</f>
        <v>101.26627774552192</v>
      </c>
      <c r="Q24" s="54">
        <f t="shared" ref="Q24" si="19">H24/V24</f>
        <v>0.89926231113439525</v>
      </c>
      <c r="R24" s="34">
        <v>100</v>
      </c>
      <c r="S24" s="34">
        <v>100</v>
      </c>
      <c r="T24" s="34">
        <v>756</v>
      </c>
      <c r="U24" s="78">
        <v>9594425</v>
      </c>
      <c r="V24" s="72">
        <v>9257575</v>
      </c>
    </row>
    <row r="25" spans="1:22" ht="15" customHeight="1">
      <c r="A25" s="53">
        <v>18</v>
      </c>
      <c r="B25" s="42" t="s">
        <v>53</v>
      </c>
      <c r="C25" s="42" t="s">
        <v>54</v>
      </c>
      <c r="D25" s="34">
        <v>4841185646.9399996</v>
      </c>
      <c r="E25" s="34">
        <v>64601668.850000001</v>
      </c>
      <c r="F25" s="34">
        <v>0</v>
      </c>
      <c r="G25" s="34">
        <v>8077379.9900000002</v>
      </c>
      <c r="H25" s="35">
        <f t="shared" si="12"/>
        <v>56524288.859999999</v>
      </c>
      <c r="I25" s="93">
        <v>4691213681.96</v>
      </c>
      <c r="J25" s="39">
        <f t="shared" si="13"/>
        <v>5.3488271555681083E-3</v>
      </c>
      <c r="K25" s="34">
        <v>4814912317.2600002</v>
      </c>
      <c r="L25" s="39">
        <f t="shared" si="14"/>
        <v>5.0432886151801845E-3</v>
      </c>
      <c r="M25" s="39">
        <f t="shared" si="15"/>
        <v>2.6368151972203196E-2</v>
      </c>
      <c r="N25" s="43">
        <f t="shared" ref="N25:N53" si="20">(G25/K25)</f>
        <v>1.6775757184705198E-3</v>
      </c>
      <c r="O25" s="44">
        <f t="shared" ref="O25:O53" si="21">H25/K25</f>
        <v>1.1739422264737318E-2</v>
      </c>
      <c r="P25" s="54">
        <f t="shared" ref="P25:P53" si="22">K25/V25</f>
        <v>101.2197822723339</v>
      </c>
      <c r="Q25" s="54">
        <f t="shared" ref="Q25:Q53" si="23">H25/V25</f>
        <v>1.1882617656397003</v>
      </c>
      <c r="R25" s="34">
        <v>100</v>
      </c>
      <c r="S25" s="34">
        <v>100</v>
      </c>
      <c r="T25" s="34">
        <v>1310</v>
      </c>
      <c r="U25" s="34">
        <v>45485624.479999997</v>
      </c>
      <c r="V25" s="34">
        <v>47568886.329999998</v>
      </c>
    </row>
    <row r="26" spans="1:22" ht="14.25">
      <c r="A26" s="53">
        <v>19</v>
      </c>
      <c r="B26" s="42" t="s">
        <v>55</v>
      </c>
      <c r="C26" s="42" t="s">
        <v>23</v>
      </c>
      <c r="D26" s="34">
        <v>339864891.77999997</v>
      </c>
      <c r="E26" s="34">
        <v>12824121.84</v>
      </c>
      <c r="F26" s="34">
        <v>0</v>
      </c>
      <c r="G26" s="34">
        <v>546090.1</v>
      </c>
      <c r="H26" s="35">
        <f t="shared" si="12"/>
        <v>12278031.74</v>
      </c>
      <c r="I26" s="93">
        <v>389158239.45999998</v>
      </c>
      <c r="J26" s="39">
        <f t="shared" si="13"/>
        <v>4.4371037009916203E-4</v>
      </c>
      <c r="K26" s="34">
        <v>346250667.81</v>
      </c>
      <c r="L26" s="39">
        <f t="shared" si="14"/>
        <v>3.6267369702766154E-4</v>
      </c>
      <c r="M26" s="39">
        <f t="shared" si="15"/>
        <v>-0.11025738966631921</v>
      </c>
      <c r="N26" s="43">
        <f t="shared" si="20"/>
        <v>1.5771524816225306E-3</v>
      </c>
      <c r="O26" s="44">
        <f t="shared" si="21"/>
        <v>3.5459951074339559E-2</v>
      </c>
      <c r="P26" s="54">
        <f t="shared" si="22"/>
        <v>83.345690009512822</v>
      </c>
      <c r="Q26" s="54">
        <f t="shared" si="23"/>
        <v>2.9554340899943963</v>
      </c>
      <c r="R26" s="34">
        <v>100</v>
      </c>
      <c r="S26" s="34">
        <v>100</v>
      </c>
      <c r="T26" s="34">
        <v>954</v>
      </c>
      <c r="U26" s="34">
        <v>3774366.87</v>
      </c>
      <c r="V26" s="34">
        <v>4154392</v>
      </c>
    </row>
    <row r="27" spans="1:22" ht="14.25">
      <c r="A27" s="53">
        <v>20</v>
      </c>
      <c r="B27" s="42" t="s">
        <v>56</v>
      </c>
      <c r="C27" s="46" t="s">
        <v>57</v>
      </c>
      <c r="D27" s="72">
        <v>30380499720.52</v>
      </c>
      <c r="E27" s="72">
        <v>807805786.92999995</v>
      </c>
      <c r="F27" s="34">
        <v>0</v>
      </c>
      <c r="G27" s="72">
        <v>187404417.74000001</v>
      </c>
      <c r="H27" s="35">
        <f t="shared" si="12"/>
        <v>620401369.18999994</v>
      </c>
      <c r="I27" s="92">
        <v>80281536164.710007</v>
      </c>
      <c r="J27" s="39">
        <f t="shared" si="13"/>
        <v>9.153538718132205E-2</v>
      </c>
      <c r="K27" s="72">
        <v>85230035790</v>
      </c>
      <c r="L27" s="39">
        <f t="shared" si="14"/>
        <v>8.9272585012661984E-2</v>
      </c>
      <c r="M27" s="39">
        <f t="shared" si="15"/>
        <v>6.1639324079915209E-2</v>
      </c>
      <c r="N27" s="43">
        <f t="shared" si="20"/>
        <v>2.1988072162934381E-3</v>
      </c>
      <c r="O27" s="44">
        <f t="shared" si="21"/>
        <v>7.27914007590727E-3</v>
      </c>
      <c r="P27" s="54">
        <f t="shared" si="22"/>
        <v>1</v>
      </c>
      <c r="Q27" s="54">
        <f t="shared" si="23"/>
        <v>7.27914007590727E-3</v>
      </c>
      <c r="R27" s="34">
        <v>1</v>
      </c>
      <c r="S27" s="34">
        <v>1</v>
      </c>
      <c r="T27" s="34">
        <v>55620</v>
      </c>
      <c r="U27" s="72">
        <v>80281536165</v>
      </c>
      <c r="V27" s="72">
        <v>85230035790</v>
      </c>
    </row>
    <row r="28" spans="1:22" ht="15" customHeight="1">
      <c r="A28" s="53">
        <v>21</v>
      </c>
      <c r="B28" s="42" t="s">
        <v>58</v>
      </c>
      <c r="C28" s="42" t="s">
        <v>27</v>
      </c>
      <c r="D28" s="34">
        <v>13825009622.77</v>
      </c>
      <c r="E28" s="34">
        <v>530532039.76999998</v>
      </c>
      <c r="F28" s="34">
        <v>0</v>
      </c>
      <c r="G28" s="34">
        <v>69810629.260000005</v>
      </c>
      <c r="H28" s="35">
        <f t="shared" si="12"/>
        <v>460721410.50999999</v>
      </c>
      <c r="I28" s="93">
        <v>46066702144.110001</v>
      </c>
      <c r="J28" s="39">
        <f t="shared" si="13"/>
        <v>5.2524324002426487E-2</v>
      </c>
      <c r="K28" s="72">
        <v>49163751544.550003</v>
      </c>
      <c r="L28" s="39">
        <f t="shared" si="14"/>
        <v>5.149563940247915E-2</v>
      </c>
      <c r="M28" s="39">
        <f t="shared" si="15"/>
        <v>6.7229674717142418E-2</v>
      </c>
      <c r="N28" s="43">
        <f t="shared" si="20"/>
        <v>1.4199613956786988E-3</v>
      </c>
      <c r="O28" s="44">
        <f t="shared" si="21"/>
        <v>9.3711605814400627E-3</v>
      </c>
      <c r="P28" s="54">
        <f t="shared" si="22"/>
        <v>1.0094457473973999</v>
      </c>
      <c r="Q28" s="54">
        <f t="shared" si="23"/>
        <v>9.4596781971128165E-3</v>
      </c>
      <c r="R28" s="34">
        <v>1</v>
      </c>
      <c r="S28" s="34">
        <v>1</v>
      </c>
      <c r="T28" s="34">
        <v>26375</v>
      </c>
      <c r="U28" s="34">
        <v>45135561785.269997</v>
      </c>
      <c r="V28" s="34">
        <v>48703708615.650002</v>
      </c>
    </row>
    <row r="29" spans="1:22" ht="14.25">
      <c r="A29" s="53">
        <v>22</v>
      </c>
      <c r="B29" s="46" t="s">
        <v>59</v>
      </c>
      <c r="C29" s="46" t="s">
        <v>43</v>
      </c>
      <c r="D29" s="34">
        <v>7781443816.04</v>
      </c>
      <c r="E29" s="34">
        <v>88898633.599999994</v>
      </c>
      <c r="F29" s="34">
        <v>0</v>
      </c>
      <c r="G29" s="34">
        <v>12327182.949999999</v>
      </c>
      <c r="H29" s="35">
        <f t="shared" si="12"/>
        <v>76571450.649999991</v>
      </c>
      <c r="I29" s="93">
        <v>7309186134.9499998</v>
      </c>
      <c r="J29" s="39">
        <f t="shared" si="13"/>
        <v>8.3337865069041655E-3</v>
      </c>
      <c r="K29" s="34">
        <v>7657097450.3699999</v>
      </c>
      <c r="L29" s="39">
        <f t="shared" si="14"/>
        <v>8.0202815445561022E-3</v>
      </c>
      <c r="M29" s="39">
        <f t="shared" si="15"/>
        <v>4.7599186694180423E-2</v>
      </c>
      <c r="N29" s="43">
        <f t="shared" si="20"/>
        <v>1.6099028424150898E-3</v>
      </c>
      <c r="O29" s="44">
        <f t="shared" si="21"/>
        <v>1.0000062183654195E-2</v>
      </c>
      <c r="P29" s="54">
        <f t="shared" si="22"/>
        <v>100.00000000483212</v>
      </c>
      <c r="Q29" s="54">
        <f t="shared" si="23"/>
        <v>1.000006218413741</v>
      </c>
      <c r="R29" s="34">
        <v>100</v>
      </c>
      <c r="S29" s="34">
        <v>100</v>
      </c>
      <c r="T29" s="34">
        <v>2866</v>
      </c>
      <c r="U29" s="72">
        <v>70881878.159999996</v>
      </c>
      <c r="V29" s="34">
        <v>76570974.5</v>
      </c>
    </row>
    <row r="30" spans="1:22" ht="14.25">
      <c r="A30" s="53">
        <v>23</v>
      </c>
      <c r="B30" s="40" t="s">
        <v>242</v>
      </c>
      <c r="C30" s="48" t="s">
        <v>239</v>
      </c>
      <c r="D30" s="34">
        <v>133134858.64</v>
      </c>
      <c r="E30" s="34">
        <v>2378952.8199999998</v>
      </c>
      <c r="F30" s="34">
        <v>0</v>
      </c>
      <c r="G30" s="34">
        <v>150301.88</v>
      </c>
      <c r="H30" s="35">
        <f t="shared" si="12"/>
        <v>2228650.94</v>
      </c>
      <c r="I30" s="34">
        <v>0</v>
      </c>
      <c r="J30" s="39">
        <f t="shared" si="13"/>
        <v>0</v>
      </c>
      <c r="K30" s="34">
        <v>132984556.76000001</v>
      </c>
      <c r="L30" s="39">
        <f t="shared" si="14"/>
        <v>1.3929215256907348E-4</v>
      </c>
      <c r="M30" s="39" t="e">
        <f t="shared" si="15"/>
        <v>#DIV/0!</v>
      </c>
      <c r="N30" s="43">
        <f t="shared" si="20"/>
        <v>1.130220558401025E-3</v>
      </c>
      <c r="O30" s="44">
        <f t="shared" si="21"/>
        <v>1.6758719916795246E-2</v>
      </c>
      <c r="P30" s="54">
        <f t="shared" si="22"/>
        <v>1.022476271957381</v>
      </c>
      <c r="Q30" s="54">
        <f t="shared" si="23"/>
        <v>1.7135393463302714E-2</v>
      </c>
      <c r="R30" s="34">
        <v>1</v>
      </c>
      <c r="S30" s="34">
        <v>1</v>
      </c>
      <c r="T30" s="34">
        <v>24</v>
      </c>
      <c r="U30" s="72">
        <v>134691107.75</v>
      </c>
      <c r="V30" s="34">
        <v>130061264.41</v>
      </c>
    </row>
    <row r="31" spans="1:22" ht="14.25">
      <c r="A31" s="53">
        <v>24</v>
      </c>
      <c r="B31" s="42" t="s">
        <v>225</v>
      </c>
      <c r="C31" s="42" t="s">
        <v>60</v>
      </c>
      <c r="D31" s="72">
        <v>14696006597.52</v>
      </c>
      <c r="E31" s="34">
        <v>168162990.09</v>
      </c>
      <c r="F31" s="34">
        <v>0</v>
      </c>
      <c r="G31" s="34">
        <v>24290883.120000001</v>
      </c>
      <c r="H31" s="35">
        <f t="shared" si="12"/>
        <v>143872106.97</v>
      </c>
      <c r="I31" s="93">
        <v>13543352926.41</v>
      </c>
      <c r="J31" s="39">
        <f t="shared" si="13"/>
        <v>1.544185765589739E-2</v>
      </c>
      <c r="K31" s="34">
        <v>14451456946.67</v>
      </c>
      <c r="L31" s="39">
        <f t="shared" si="14"/>
        <v>1.513690457677587E-2</v>
      </c>
      <c r="M31" s="39">
        <f t="shared" si="15"/>
        <v>6.705163966370295E-2</v>
      </c>
      <c r="N31" s="43">
        <f t="shared" si="20"/>
        <v>1.6808604979857943E-3</v>
      </c>
      <c r="O31" s="44">
        <f t="shared" si="21"/>
        <v>9.95554340997791E-3</v>
      </c>
      <c r="P31" s="54">
        <f t="shared" si="22"/>
        <v>99.9999999977165</v>
      </c>
      <c r="Q31" s="54">
        <f t="shared" si="23"/>
        <v>0.99555434097505735</v>
      </c>
      <c r="R31" s="34">
        <v>100</v>
      </c>
      <c r="S31" s="34">
        <v>100</v>
      </c>
      <c r="T31" s="34">
        <v>1936</v>
      </c>
      <c r="U31" s="34">
        <v>135433529.25999999</v>
      </c>
      <c r="V31" s="34">
        <v>144514569.47</v>
      </c>
    </row>
    <row r="32" spans="1:22" ht="14.25">
      <c r="A32" s="53">
        <v>25</v>
      </c>
      <c r="B32" s="42" t="s">
        <v>61</v>
      </c>
      <c r="C32" s="42" t="s">
        <v>62</v>
      </c>
      <c r="D32" s="34">
        <v>2515822740.8899999</v>
      </c>
      <c r="E32" s="72">
        <v>59208692.549999997</v>
      </c>
      <c r="F32" s="34">
        <v>0</v>
      </c>
      <c r="G32" s="34">
        <v>7951601.6699999999</v>
      </c>
      <c r="H32" s="35">
        <f t="shared" si="12"/>
        <v>51257090.879999995</v>
      </c>
      <c r="I32" s="92">
        <v>5968222500</v>
      </c>
      <c r="J32" s="39">
        <f t="shared" si="13"/>
        <v>6.8048468355283026E-3</v>
      </c>
      <c r="K32" s="72">
        <v>6138812026.0500002</v>
      </c>
      <c r="L32" s="39">
        <f t="shared" si="14"/>
        <v>6.4299822637948513E-3</v>
      </c>
      <c r="M32" s="39">
        <f t="shared" si="15"/>
        <v>2.8582970231086424E-2</v>
      </c>
      <c r="N32" s="43">
        <f t="shared" si="20"/>
        <v>1.2952997479410415E-3</v>
      </c>
      <c r="O32" s="44">
        <f t="shared" si="21"/>
        <v>8.3496759083827518E-3</v>
      </c>
      <c r="P32" s="54">
        <f t="shared" si="22"/>
        <v>99.610425570868458</v>
      </c>
      <c r="Q32" s="54">
        <f t="shared" si="23"/>
        <v>0.83171477061283361</v>
      </c>
      <c r="R32" s="34">
        <v>100</v>
      </c>
      <c r="S32" s="34">
        <v>100</v>
      </c>
      <c r="T32" s="34">
        <v>5775</v>
      </c>
      <c r="U32" s="34">
        <v>59762225</v>
      </c>
      <c r="V32" s="34">
        <v>61628208</v>
      </c>
    </row>
    <row r="33" spans="1:22" ht="14.25">
      <c r="A33" s="53">
        <v>26</v>
      </c>
      <c r="B33" s="42" t="s">
        <v>63</v>
      </c>
      <c r="C33" s="46" t="s">
        <v>64</v>
      </c>
      <c r="D33" s="34">
        <v>39263942.280000001</v>
      </c>
      <c r="E33" s="34">
        <v>275433.01</v>
      </c>
      <c r="F33" s="34">
        <v>0</v>
      </c>
      <c r="G33" s="22">
        <v>41437.480000000003</v>
      </c>
      <c r="H33" s="23">
        <v>233995.53</v>
      </c>
      <c r="I33" s="22">
        <v>39203248.560000002</v>
      </c>
      <c r="J33" s="39">
        <f t="shared" si="13"/>
        <v>4.4698752753595477E-5</v>
      </c>
      <c r="K33" s="22">
        <v>39203248.560000002</v>
      </c>
      <c r="L33" s="39">
        <f t="shared" si="14"/>
        <v>4.1062699404096054E-5</v>
      </c>
      <c r="M33" s="39">
        <f t="shared" si="15"/>
        <v>0</v>
      </c>
      <c r="N33" s="43">
        <f t="shared" si="20"/>
        <v>1.056990977076314E-3</v>
      </c>
      <c r="O33" s="44">
        <f t="shared" si="21"/>
        <v>5.9687790832403404E-3</v>
      </c>
      <c r="P33" s="54">
        <f t="shared" si="22"/>
        <v>101.87107246798604</v>
      </c>
      <c r="Q33" s="54">
        <f t="shared" si="23"/>
        <v>0.608045926534176</v>
      </c>
      <c r="R33" s="22">
        <v>10</v>
      </c>
      <c r="S33" s="22">
        <v>10</v>
      </c>
      <c r="T33" s="22">
        <v>86</v>
      </c>
      <c r="U33" s="22">
        <v>384832</v>
      </c>
      <c r="V33" s="22">
        <v>384832</v>
      </c>
    </row>
    <row r="34" spans="1:22" ht="14.25">
      <c r="A34" s="53">
        <v>27</v>
      </c>
      <c r="B34" s="42" t="s">
        <v>65</v>
      </c>
      <c r="C34" s="42" t="s">
        <v>66</v>
      </c>
      <c r="D34" s="73">
        <v>5479158755.04</v>
      </c>
      <c r="E34" s="73">
        <v>57912396.780000001</v>
      </c>
      <c r="F34" s="34">
        <v>0</v>
      </c>
      <c r="G34" s="72">
        <v>6981857.4699999997</v>
      </c>
      <c r="H34" s="35">
        <f t="shared" si="12"/>
        <v>50930539.310000002</v>
      </c>
      <c r="I34" s="94">
        <v>5557195402.4099998</v>
      </c>
      <c r="J34" s="39">
        <f t="shared" si="13"/>
        <v>6.3362020347770406E-3</v>
      </c>
      <c r="K34" s="62">
        <v>5517574035.0500002</v>
      </c>
      <c r="L34" s="39">
        <f t="shared" si="14"/>
        <v>5.7792783088969476E-3</v>
      </c>
      <c r="M34" s="39">
        <f t="shared" si="15"/>
        <v>-7.1297416216131214E-3</v>
      </c>
      <c r="N34" s="43">
        <f t="shared" si="20"/>
        <v>1.2653853714781609E-3</v>
      </c>
      <c r="O34" s="44">
        <f t="shared" si="21"/>
        <v>9.230603701276565E-3</v>
      </c>
      <c r="P34" s="54">
        <f t="shared" si="22"/>
        <v>1.0037580504558288</v>
      </c>
      <c r="Q34" s="54">
        <f t="shared" si="23"/>
        <v>9.265292775723721E-3</v>
      </c>
      <c r="R34" s="34">
        <v>1</v>
      </c>
      <c r="S34" s="34">
        <v>1</v>
      </c>
      <c r="T34" s="72">
        <v>2114</v>
      </c>
      <c r="U34" s="72">
        <v>5449887786.3900003</v>
      </c>
      <c r="V34" s="72">
        <v>5496916346.0699997</v>
      </c>
    </row>
    <row r="35" spans="1:22" ht="14.25">
      <c r="A35" s="53">
        <v>28</v>
      </c>
      <c r="B35" s="42" t="s">
        <v>67</v>
      </c>
      <c r="C35" s="42" t="s">
        <v>68</v>
      </c>
      <c r="D35" s="34">
        <v>4600413707.1499996</v>
      </c>
      <c r="E35" s="34">
        <v>148541704.40000001</v>
      </c>
      <c r="F35" s="34">
        <v>0</v>
      </c>
      <c r="G35" s="34">
        <v>21895338.420000002</v>
      </c>
      <c r="H35" s="35">
        <f t="shared" si="12"/>
        <v>126646365.98</v>
      </c>
      <c r="I35" s="96">
        <v>13854437727.219999</v>
      </c>
      <c r="J35" s="39">
        <f t="shared" si="13"/>
        <v>1.5796550267034606E-2</v>
      </c>
      <c r="K35" s="72">
        <v>14267369318.219999</v>
      </c>
      <c r="L35" s="39">
        <f t="shared" si="14"/>
        <v>1.4944085480687794E-2</v>
      </c>
      <c r="M35" s="39">
        <f t="shared" si="15"/>
        <v>2.9805005380240571E-2</v>
      </c>
      <c r="N35" s="43">
        <f t="shared" si="20"/>
        <v>1.5346443995137059E-3</v>
      </c>
      <c r="O35" s="44">
        <f t="shared" si="21"/>
        <v>8.8766445414900381E-3</v>
      </c>
      <c r="P35" s="54">
        <f t="shared" si="22"/>
        <v>100.00000012770398</v>
      </c>
      <c r="Q35" s="54">
        <f t="shared" si="23"/>
        <v>0.88766445528258675</v>
      </c>
      <c r="R35" s="34">
        <v>100</v>
      </c>
      <c r="S35" s="34">
        <v>100</v>
      </c>
      <c r="T35" s="34">
        <v>5376</v>
      </c>
      <c r="U35" s="34">
        <v>138544377</v>
      </c>
      <c r="V35" s="34">
        <v>142673693</v>
      </c>
    </row>
    <row r="36" spans="1:22" ht="14.25">
      <c r="A36" s="53">
        <v>29</v>
      </c>
      <c r="B36" s="42" t="s">
        <v>69</v>
      </c>
      <c r="C36" s="42" t="s">
        <v>68</v>
      </c>
      <c r="D36" s="34">
        <v>406080316.94</v>
      </c>
      <c r="E36" s="34">
        <v>13710056.49</v>
      </c>
      <c r="F36" s="34">
        <v>0</v>
      </c>
      <c r="G36" s="34">
        <v>1341111.3500000001</v>
      </c>
      <c r="H36" s="35">
        <f t="shared" si="12"/>
        <v>12368945.140000001</v>
      </c>
      <c r="I36" s="93">
        <v>1314882226.04</v>
      </c>
      <c r="J36" s="39">
        <f t="shared" si="13"/>
        <v>1.4992021753479706E-3</v>
      </c>
      <c r="K36" s="34">
        <v>1228300804.27</v>
      </c>
      <c r="L36" s="39">
        <f t="shared" si="14"/>
        <v>1.2865603886462319E-3</v>
      </c>
      <c r="M36" s="39">
        <f t="shared" si="15"/>
        <v>-6.5847282787261652E-2</v>
      </c>
      <c r="N36" s="43">
        <f t="shared" si="20"/>
        <v>1.0918427679423733E-3</v>
      </c>
      <c r="O36" s="44">
        <f t="shared" si="21"/>
        <v>1.0069964211536175E-2</v>
      </c>
      <c r="P36" s="54">
        <f t="shared" si="22"/>
        <v>999431.08565500402</v>
      </c>
      <c r="Q36" s="54">
        <f t="shared" si="23"/>
        <v>10064.235264442637</v>
      </c>
      <c r="R36" s="34">
        <v>1000000</v>
      </c>
      <c r="S36" s="34">
        <v>1000000</v>
      </c>
      <c r="T36" s="34">
        <v>20</v>
      </c>
      <c r="U36" s="34">
        <v>1327</v>
      </c>
      <c r="V36" s="34">
        <v>1229</v>
      </c>
    </row>
    <row r="37" spans="1:22" ht="14.25">
      <c r="A37" s="53">
        <v>30</v>
      </c>
      <c r="B37" s="46" t="s">
        <v>70</v>
      </c>
      <c r="C37" s="46" t="s">
        <v>71</v>
      </c>
      <c r="D37" s="72">
        <v>3698707720.98</v>
      </c>
      <c r="E37" s="72">
        <v>47574994.719999999</v>
      </c>
      <c r="F37" s="34">
        <v>0</v>
      </c>
      <c r="G37" s="73">
        <v>6260935.1500000004</v>
      </c>
      <c r="H37" s="35">
        <f t="shared" si="12"/>
        <v>41314059.57</v>
      </c>
      <c r="I37" s="97">
        <v>3603857288.9099998</v>
      </c>
      <c r="J37" s="39">
        <f t="shared" si="13"/>
        <v>4.1090453427523555E-3</v>
      </c>
      <c r="K37" s="73">
        <v>3839168121.5500002</v>
      </c>
      <c r="L37" s="39">
        <f t="shared" si="14"/>
        <v>4.0212638576550596E-3</v>
      </c>
      <c r="M37" s="39">
        <f t="shared" si="15"/>
        <v>6.5294159500741772E-2</v>
      </c>
      <c r="N37" s="43">
        <f t="shared" si="20"/>
        <v>1.6308051514743907E-3</v>
      </c>
      <c r="O37" s="44">
        <f t="shared" si="21"/>
        <v>1.0761200932591652E-2</v>
      </c>
      <c r="P37" s="54">
        <f t="shared" si="22"/>
        <v>1.0429337944545916</v>
      </c>
      <c r="Q37" s="54">
        <f t="shared" si="23"/>
        <v>1.12232201215161E-2</v>
      </c>
      <c r="R37" s="34">
        <v>1</v>
      </c>
      <c r="S37" s="34">
        <v>1</v>
      </c>
      <c r="T37" s="72">
        <v>436</v>
      </c>
      <c r="U37" s="72">
        <v>3507260135.9200001</v>
      </c>
      <c r="V37" s="72">
        <v>3681123520.9400001</v>
      </c>
    </row>
    <row r="38" spans="1:22" ht="14.25">
      <c r="A38" s="53">
        <v>31</v>
      </c>
      <c r="B38" s="42" t="s">
        <v>72</v>
      </c>
      <c r="C38" s="42" t="s">
        <v>73</v>
      </c>
      <c r="D38" s="73">
        <v>192524395.38</v>
      </c>
      <c r="E38" s="73">
        <v>1654084.53</v>
      </c>
      <c r="F38" s="34">
        <v>0</v>
      </c>
      <c r="G38" s="73">
        <v>662042.39</v>
      </c>
      <c r="H38" s="35">
        <f t="shared" si="12"/>
        <v>992042.14</v>
      </c>
      <c r="I38" s="94">
        <v>289213686.41000003</v>
      </c>
      <c r="J38" s="39">
        <f t="shared" si="13"/>
        <v>3.2975560793160164E-4</v>
      </c>
      <c r="K38" s="62">
        <v>292507416.14999998</v>
      </c>
      <c r="L38" s="39">
        <f t="shared" si="14"/>
        <v>3.0638134705733376E-4</v>
      </c>
      <c r="M38" s="39">
        <f t="shared" si="15"/>
        <v>1.1388568020016303E-2</v>
      </c>
      <c r="N38" s="43">
        <f t="shared" si="20"/>
        <v>2.2633354009065527E-3</v>
      </c>
      <c r="O38" s="44">
        <f t="shared" si="21"/>
        <v>3.3915110702399196E-3</v>
      </c>
      <c r="P38" s="54">
        <f t="shared" si="22"/>
        <v>1.0328042776023194</v>
      </c>
      <c r="Q38" s="54">
        <f t="shared" si="23"/>
        <v>3.5027671408794092E-3</v>
      </c>
      <c r="R38" s="34">
        <v>1</v>
      </c>
      <c r="S38" s="34">
        <v>1</v>
      </c>
      <c r="T38" s="72">
        <v>442</v>
      </c>
      <c r="U38" s="72">
        <v>282873742</v>
      </c>
      <c r="V38" s="72">
        <v>283216697</v>
      </c>
    </row>
    <row r="39" spans="1:22" ht="14.25">
      <c r="A39" s="53">
        <v>32</v>
      </c>
      <c r="B39" s="42" t="s">
        <v>74</v>
      </c>
      <c r="C39" s="42" t="s">
        <v>75</v>
      </c>
      <c r="D39" s="72">
        <v>213392770308.26999</v>
      </c>
      <c r="E39" s="72">
        <v>2547076333.2199998</v>
      </c>
      <c r="F39" s="34">
        <v>0</v>
      </c>
      <c r="G39" s="72">
        <v>289715771.81999999</v>
      </c>
      <c r="H39" s="35">
        <f t="shared" si="12"/>
        <v>2257360561.3999996</v>
      </c>
      <c r="I39" s="94">
        <v>197527468785.39001</v>
      </c>
      <c r="J39" s="39">
        <f t="shared" si="13"/>
        <v>0.22521683313485327</v>
      </c>
      <c r="K39" s="72">
        <v>210835668938.45001</v>
      </c>
      <c r="L39" s="39">
        <f t="shared" si="14"/>
        <v>0.22083582395042939</v>
      </c>
      <c r="M39" s="39">
        <f t="shared" si="15"/>
        <v>6.7373921383658872E-2</v>
      </c>
      <c r="N39" s="43">
        <f t="shared" si="20"/>
        <v>1.374130730718898E-3</v>
      </c>
      <c r="O39" s="44">
        <f t="shared" si="21"/>
        <v>1.0706729903747922E-2</v>
      </c>
      <c r="P39" s="54">
        <f t="shared" si="22"/>
        <v>100.03116723745406</v>
      </c>
      <c r="Q39" s="54">
        <f t="shared" si="23"/>
        <v>1.0710066895680588</v>
      </c>
      <c r="R39" s="34">
        <v>100</v>
      </c>
      <c r="S39" s="34">
        <v>100</v>
      </c>
      <c r="T39" s="72">
        <v>26016</v>
      </c>
      <c r="U39" s="73">
        <v>1974597070.72</v>
      </c>
      <c r="V39" s="72">
        <v>2107699777.5899999</v>
      </c>
    </row>
    <row r="40" spans="1:22" ht="15.75" customHeight="1">
      <c r="A40" s="53">
        <v>33</v>
      </c>
      <c r="B40" s="42" t="s">
        <v>76</v>
      </c>
      <c r="C40" s="42" t="s">
        <v>77</v>
      </c>
      <c r="D40" s="34">
        <v>694986280.48000002</v>
      </c>
      <c r="E40" s="34">
        <v>7329442.3499999996</v>
      </c>
      <c r="F40" s="34">
        <v>0</v>
      </c>
      <c r="G40" s="34">
        <v>1829508.65</v>
      </c>
      <c r="H40" s="35">
        <f t="shared" si="12"/>
        <v>5499933.6999999993</v>
      </c>
      <c r="I40" s="93">
        <v>708543964.04999995</v>
      </c>
      <c r="J40" s="39">
        <f t="shared" si="13"/>
        <v>8.0786752698953858E-4</v>
      </c>
      <c r="K40" s="34">
        <v>686660827.90999997</v>
      </c>
      <c r="L40" s="39">
        <f t="shared" si="14"/>
        <v>7.1922986499147552E-4</v>
      </c>
      <c r="M40" s="39">
        <f t="shared" si="15"/>
        <v>-3.0884655364103494E-2</v>
      </c>
      <c r="N40" s="43">
        <f t="shared" si="20"/>
        <v>2.6643556405693087E-3</v>
      </c>
      <c r="O40" s="44">
        <f t="shared" si="21"/>
        <v>8.009680291127471E-3</v>
      </c>
      <c r="P40" s="54">
        <f t="shared" si="22"/>
        <v>9.7800666670559728</v>
      </c>
      <c r="Q40" s="54">
        <f t="shared" si="23"/>
        <v>7.8335207229030965E-2</v>
      </c>
      <c r="R40" s="34">
        <v>10</v>
      </c>
      <c r="S40" s="34">
        <v>10</v>
      </c>
      <c r="T40" s="34">
        <v>361</v>
      </c>
      <c r="U40" s="34">
        <v>71419285</v>
      </c>
      <c r="V40" s="34">
        <v>70210240</v>
      </c>
    </row>
    <row r="41" spans="1:22" ht="14.25">
      <c r="A41" s="53">
        <v>34</v>
      </c>
      <c r="B41" s="42" t="s">
        <v>78</v>
      </c>
      <c r="C41" s="42" t="s">
        <v>79</v>
      </c>
      <c r="D41" s="34">
        <v>1179270555.23</v>
      </c>
      <c r="E41" s="34">
        <v>25462657.149999999</v>
      </c>
      <c r="F41" s="34">
        <v>0</v>
      </c>
      <c r="G41" s="34">
        <v>5555773.5199999996</v>
      </c>
      <c r="H41" s="35">
        <f t="shared" si="12"/>
        <v>19906883.629999999</v>
      </c>
      <c r="I41" s="93">
        <v>2904010895.1100001</v>
      </c>
      <c r="J41" s="39">
        <f t="shared" si="13"/>
        <v>3.311094609815401E-3</v>
      </c>
      <c r="K41" s="34">
        <v>3133880581.23</v>
      </c>
      <c r="L41" s="39">
        <f t="shared" si="14"/>
        <v>3.2825237959152771E-3</v>
      </c>
      <c r="M41" s="39">
        <f t="shared" si="15"/>
        <v>7.9155931028727325E-2</v>
      </c>
      <c r="N41" s="43">
        <f t="shared" si="20"/>
        <v>1.772809580963498E-3</v>
      </c>
      <c r="O41" s="44">
        <f t="shared" si="21"/>
        <v>6.3521513069865771E-3</v>
      </c>
      <c r="P41" s="54">
        <f t="shared" si="22"/>
        <v>106.47309486991433</v>
      </c>
      <c r="Q41" s="54">
        <f t="shared" si="23"/>
        <v>0.67633320873683211</v>
      </c>
      <c r="R41" s="34">
        <v>100</v>
      </c>
      <c r="S41" s="34">
        <v>100</v>
      </c>
      <c r="T41" s="34">
        <v>1351</v>
      </c>
      <c r="U41" s="72">
        <v>27692542.190000001</v>
      </c>
      <c r="V41" s="72">
        <v>29433544.550000001</v>
      </c>
    </row>
    <row r="42" spans="1:22" ht="14.25">
      <c r="A42" s="53">
        <v>35</v>
      </c>
      <c r="B42" s="46" t="s">
        <v>80</v>
      </c>
      <c r="C42" s="46" t="s">
        <v>35</v>
      </c>
      <c r="D42" s="72">
        <v>21932171783.450001</v>
      </c>
      <c r="E42" s="72">
        <v>224352754.37</v>
      </c>
      <c r="F42" s="34">
        <v>0</v>
      </c>
      <c r="G42" s="72">
        <v>31121854.780000001</v>
      </c>
      <c r="H42" s="35">
        <f t="shared" si="12"/>
        <v>193230899.59</v>
      </c>
      <c r="I42" s="92">
        <v>19656802369.240002</v>
      </c>
      <c r="J42" s="39">
        <f t="shared" si="13"/>
        <v>2.2412289320468206E-2</v>
      </c>
      <c r="K42" s="72">
        <v>21771958693.459999</v>
      </c>
      <c r="L42" s="39">
        <f t="shared" si="14"/>
        <v>2.2804625333527305E-2</v>
      </c>
      <c r="M42" s="39">
        <f t="shared" si="15"/>
        <v>0.10760429313416231</v>
      </c>
      <c r="N42" s="43">
        <f t="shared" si="20"/>
        <v>1.4294467125435335E-3</v>
      </c>
      <c r="O42" s="44">
        <f t="shared" si="21"/>
        <v>8.8752189139530164E-3</v>
      </c>
      <c r="P42" s="54">
        <f t="shared" si="22"/>
        <v>100.0000000021128</v>
      </c>
      <c r="Q42" s="54">
        <f t="shared" si="23"/>
        <v>0.88752189141405324</v>
      </c>
      <c r="R42" s="34">
        <v>100</v>
      </c>
      <c r="S42" s="34">
        <v>100</v>
      </c>
      <c r="T42" s="34">
        <v>11358</v>
      </c>
      <c r="U42" s="72">
        <v>196568023.69</v>
      </c>
      <c r="V42" s="72">
        <v>217719586.93000001</v>
      </c>
    </row>
    <row r="43" spans="1:22" ht="14.25">
      <c r="A43" s="53">
        <v>36</v>
      </c>
      <c r="B43" s="42" t="s">
        <v>81</v>
      </c>
      <c r="C43" s="42" t="s">
        <v>37</v>
      </c>
      <c r="D43" s="34">
        <v>3376390618.3499999</v>
      </c>
      <c r="E43" s="34">
        <v>27516018.460000001</v>
      </c>
      <c r="F43" s="34">
        <v>0</v>
      </c>
      <c r="G43" s="34">
        <v>3810900.4</v>
      </c>
      <c r="H43" s="35">
        <f t="shared" si="12"/>
        <v>23705118.060000002</v>
      </c>
      <c r="I43" s="93">
        <v>3071223941.29</v>
      </c>
      <c r="J43" s="39">
        <f t="shared" si="13"/>
        <v>3.5017475501434503E-3</v>
      </c>
      <c r="K43" s="34">
        <v>3364817084.98</v>
      </c>
      <c r="L43" s="39">
        <f t="shared" si="14"/>
        <v>3.5244138581739123E-3</v>
      </c>
      <c r="M43" s="39">
        <f t="shared" si="15"/>
        <v>9.5594834275315899E-2</v>
      </c>
      <c r="N43" s="43">
        <f t="shared" si="20"/>
        <v>1.1325728275130449E-3</v>
      </c>
      <c r="O43" s="44">
        <f t="shared" si="21"/>
        <v>7.0449945602736683E-3</v>
      </c>
      <c r="P43" s="54">
        <f t="shared" si="22"/>
        <v>0.97529021031381968</v>
      </c>
      <c r="Q43" s="54">
        <f t="shared" si="23"/>
        <v>6.8709142263490217E-3</v>
      </c>
      <c r="R43" s="34">
        <v>1</v>
      </c>
      <c r="S43" s="34">
        <v>1</v>
      </c>
      <c r="T43" s="34">
        <v>826</v>
      </c>
      <c r="U43" s="34">
        <v>3156260227</v>
      </c>
      <c r="V43" s="34">
        <v>3450067528</v>
      </c>
    </row>
    <row r="44" spans="1:22" ht="14.25">
      <c r="A44" s="53">
        <v>37</v>
      </c>
      <c r="B44" s="42" t="s">
        <v>82</v>
      </c>
      <c r="C44" s="42" t="s">
        <v>39</v>
      </c>
      <c r="D44" s="34">
        <v>4055103014.3699999</v>
      </c>
      <c r="E44" s="34">
        <v>40148450.420000002</v>
      </c>
      <c r="F44" s="34">
        <v>0</v>
      </c>
      <c r="G44" s="34">
        <v>5974948.0999999996</v>
      </c>
      <c r="H44" s="35">
        <f t="shared" si="12"/>
        <v>34173502.32</v>
      </c>
      <c r="I44" s="96">
        <v>3793709277.4099998</v>
      </c>
      <c r="J44" s="39">
        <f t="shared" si="13"/>
        <v>4.3255107481830314E-3</v>
      </c>
      <c r="K44" s="72">
        <v>4167425824.54</v>
      </c>
      <c r="L44" s="39">
        <f t="shared" si="14"/>
        <v>4.3650911648316004E-3</v>
      </c>
      <c r="M44" s="39">
        <f t="shared" si="15"/>
        <v>9.8509537711635051E-2</v>
      </c>
      <c r="N44" s="43">
        <f t="shared" si="20"/>
        <v>1.4337263220898513E-3</v>
      </c>
      <c r="O44" s="44">
        <f t="shared" si="21"/>
        <v>8.200146507411939E-3</v>
      </c>
      <c r="P44" s="54">
        <f t="shared" si="22"/>
        <v>10.308750954418374</v>
      </c>
      <c r="Q44" s="54">
        <f t="shared" si="23"/>
        <v>8.4533268134653311E-2</v>
      </c>
      <c r="R44" s="34">
        <v>10</v>
      </c>
      <c r="S44" s="34">
        <v>10</v>
      </c>
      <c r="T44" s="34">
        <v>1871</v>
      </c>
      <c r="U44" s="34">
        <v>379371267.58999997</v>
      </c>
      <c r="V44" s="34">
        <v>404260985.93000001</v>
      </c>
    </row>
    <row r="45" spans="1:22" ht="14.1" customHeight="1">
      <c r="A45" s="53">
        <v>38</v>
      </c>
      <c r="B45" s="42" t="s">
        <v>83</v>
      </c>
      <c r="C45" s="42" t="s">
        <v>84</v>
      </c>
      <c r="D45" s="34">
        <v>2917392540</v>
      </c>
      <c r="E45" s="34">
        <v>52179891</v>
      </c>
      <c r="F45" s="34">
        <v>0</v>
      </c>
      <c r="G45" s="34">
        <v>5799148</v>
      </c>
      <c r="H45" s="35">
        <f t="shared" si="12"/>
        <v>46380743</v>
      </c>
      <c r="I45" s="96">
        <v>4753180305</v>
      </c>
      <c r="J45" s="39">
        <f t="shared" si="13"/>
        <v>5.4194802484616991E-3</v>
      </c>
      <c r="K45" s="71">
        <v>4197880331</v>
      </c>
      <c r="L45" s="39">
        <f t="shared" si="14"/>
        <v>4.3969901602006487E-3</v>
      </c>
      <c r="M45" s="39">
        <f t="shared" si="15"/>
        <v>-0.11682703755543732</v>
      </c>
      <c r="N45" s="43">
        <f t="shared" si="20"/>
        <v>1.3814467166143713E-3</v>
      </c>
      <c r="O45" s="44">
        <f t="shared" si="21"/>
        <v>1.1048610094359548E-2</v>
      </c>
      <c r="P45" s="54">
        <f t="shared" si="22"/>
        <v>100.00000073846793</v>
      </c>
      <c r="Q45" s="54">
        <f t="shared" si="23"/>
        <v>1.1048610175949991</v>
      </c>
      <c r="R45" s="34">
        <v>100</v>
      </c>
      <c r="S45" s="34">
        <v>100</v>
      </c>
      <c r="T45" s="34">
        <v>2037</v>
      </c>
      <c r="U45" s="72">
        <v>47531803</v>
      </c>
      <c r="V45" s="72">
        <v>41978803</v>
      </c>
    </row>
    <row r="46" spans="1:22" ht="14.25">
      <c r="A46" s="53">
        <v>39</v>
      </c>
      <c r="B46" s="42" t="s">
        <v>85</v>
      </c>
      <c r="C46" s="46" t="s">
        <v>86</v>
      </c>
      <c r="D46" s="34">
        <v>152152831.81</v>
      </c>
      <c r="E46" s="34">
        <v>1630640.48</v>
      </c>
      <c r="F46" s="34">
        <v>0</v>
      </c>
      <c r="G46" s="34">
        <v>167331.37</v>
      </c>
      <c r="H46" s="35">
        <f t="shared" si="12"/>
        <v>1463309.1099999999</v>
      </c>
      <c r="I46" s="93">
        <v>150584828.63</v>
      </c>
      <c r="J46" s="39">
        <f t="shared" si="13"/>
        <v>1.7169378229136517E-4</v>
      </c>
      <c r="K46" s="72">
        <v>158378518.53999999</v>
      </c>
      <c r="L46" s="39">
        <f t="shared" si="14"/>
        <v>1.6589057636181957E-4</v>
      </c>
      <c r="M46" s="39">
        <f t="shared" si="15"/>
        <v>5.1756142905669267E-2</v>
      </c>
      <c r="N46" s="43">
        <f t="shared" si="20"/>
        <v>1.0565281929805328E-3</v>
      </c>
      <c r="O46" s="44">
        <f t="shared" si="21"/>
        <v>9.2393155554768448E-3</v>
      </c>
      <c r="P46" s="54">
        <f t="shared" si="22"/>
        <v>0.85830798848829026</v>
      </c>
      <c r="Q46" s="54">
        <f t="shared" si="23"/>
        <v>7.9301783494299012E-3</v>
      </c>
      <c r="R46" s="34">
        <v>1</v>
      </c>
      <c r="S46" s="34">
        <v>1</v>
      </c>
      <c r="T46" s="34">
        <v>22</v>
      </c>
      <c r="U46" s="34">
        <v>189996408</v>
      </c>
      <c r="V46" s="72">
        <v>184524111</v>
      </c>
    </row>
    <row r="47" spans="1:22" ht="15" customHeight="1">
      <c r="A47" s="53">
        <v>40</v>
      </c>
      <c r="B47" s="46" t="s">
        <v>87</v>
      </c>
      <c r="C47" s="46" t="s">
        <v>41</v>
      </c>
      <c r="D47" s="34">
        <v>751286243.05999994</v>
      </c>
      <c r="E47" s="34">
        <v>18244723.289999999</v>
      </c>
      <c r="F47" s="34">
        <v>0</v>
      </c>
      <c r="G47" s="34">
        <v>836391.4</v>
      </c>
      <c r="H47" s="35">
        <f t="shared" si="12"/>
        <v>17408331.890000001</v>
      </c>
      <c r="I47" s="93">
        <v>618762846.63999999</v>
      </c>
      <c r="J47" s="39">
        <f t="shared" si="13"/>
        <v>7.0550090900610494E-4</v>
      </c>
      <c r="K47" s="34">
        <v>781925045.34000003</v>
      </c>
      <c r="L47" s="39">
        <f t="shared" si="14"/>
        <v>8.190125633132123E-4</v>
      </c>
      <c r="M47" s="39">
        <f t="shared" si="15"/>
        <v>0.26369100792977768</v>
      </c>
      <c r="N47" s="43">
        <f t="shared" si="20"/>
        <v>1.0696567464932867E-3</v>
      </c>
      <c r="O47" s="44">
        <f t="shared" si="21"/>
        <v>2.2263427925409952E-2</v>
      </c>
      <c r="P47" s="54">
        <f t="shared" si="22"/>
        <v>10.778346450797653</v>
      </c>
      <c r="Q47" s="54">
        <f t="shared" si="23"/>
        <v>0.23996293936243171</v>
      </c>
      <c r="R47" s="34">
        <v>10</v>
      </c>
      <c r="S47" s="34">
        <v>10</v>
      </c>
      <c r="T47" s="34">
        <v>644</v>
      </c>
      <c r="U47" s="34">
        <v>65961542.700000003</v>
      </c>
      <c r="V47" s="34">
        <v>72545918.700000003</v>
      </c>
    </row>
    <row r="48" spans="1:22" ht="14.25">
      <c r="A48" s="53">
        <v>41</v>
      </c>
      <c r="B48" s="42" t="s">
        <v>88</v>
      </c>
      <c r="C48" s="42" t="s">
        <v>45</v>
      </c>
      <c r="D48" s="72">
        <v>422886013900.45001</v>
      </c>
      <c r="E48" s="72">
        <v>4418608058.5200005</v>
      </c>
      <c r="F48" s="34">
        <v>0</v>
      </c>
      <c r="G48" s="72">
        <v>671982809.80999994</v>
      </c>
      <c r="H48" s="35">
        <f t="shared" si="12"/>
        <v>3746625248.7100005</v>
      </c>
      <c r="I48" s="92">
        <v>384308079529.19</v>
      </c>
      <c r="J48" s="39">
        <f t="shared" si="13"/>
        <v>0.43818031563872956</v>
      </c>
      <c r="K48" s="72">
        <v>428206864396.21997</v>
      </c>
      <c r="L48" s="39">
        <f t="shared" si="14"/>
        <v>0.44851716123885682</v>
      </c>
      <c r="M48" s="39">
        <f t="shared" si="15"/>
        <v>0.11422810813868317</v>
      </c>
      <c r="N48" s="43">
        <f t="shared" si="20"/>
        <v>1.5692948097819702E-3</v>
      </c>
      <c r="O48" s="44">
        <f t="shared" si="21"/>
        <v>8.7495683984254082E-3</v>
      </c>
      <c r="P48" s="54">
        <f t="shared" si="22"/>
        <v>0.9999999999939515</v>
      </c>
      <c r="Q48" s="54">
        <f t="shared" si="23"/>
        <v>8.749568398372487E-3</v>
      </c>
      <c r="R48" s="34">
        <v>100</v>
      </c>
      <c r="S48" s="34">
        <v>100</v>
      </c>
      <c r="T48" s="72">
        <v>113288</v>
      </c>
      <c r="U48" s="72">
        <v>384308079529.19</v>
      </c>
      <c r="V48" s="72">
        <v>428206864398.81</v>
      </c>
    </row>
    <row r="49" spans="1:22" ht="14.25">
      <c r="A49" s="53">
        <v>42</v>
      </c>
      <c r="B49" s="42" t="s">
        <v>89</v>
      </c>
      <c r="C49" s="42" t="s">
        <v>90</v>
      </c>
      <c r="D49" s="72">
        <v>3038725377.0799999</v>
      </c>
      <c r="E49" s="72">
        <v>38364290.990000002</v>
      </c>
      <c r="F49" s="34">
        <v>0</v>
      </c>
      <c r="G49" s="72">
        <v>4146549.97</v>
      </c>
      <c r="H49" s="35">
        <f t="shared" si="12"/>
        <v>34217741.020000003</v>
      </c>
      <c r="I49" s="93">
        <v>2813975772.71</v>
      </c>
      <c r="J49" s="39">
        <f t="shared" si="13"/>
        <v>3.2084383804690513E-3</v>
      </c>
      <c r="K49" s="34">
        <v>3038921735.6900001</v>
      </c>
      <c r="L49" s="39">
        <f t="shared" si="14"/>
        <v>3.1830609535898192E-3</v>
      </c>
      <c r="M49" s="39">
        <f t="shared" si="15"/>
        <v>7.9938841393565288E-2</v>
      </c>
      <c r="N49" s="43">
        <f t="shared" si="20"/>
        <v>1.3644806713189368E-3</v>
      </c>
      <c r="O49" s="44">
        <f t="shared" si="21"/>
        <v>1.1259829635668692E-2</v>
      </c>
      <c r="P49" s="54">
        <f t="shared" si="22"/>
        <v>1.0069264829531941</v>
      </c>
      <c r="Q49" s="54">
        <f t="shared" si="23"/>
        <v>1.1337820653696021E-2</v>
      </c>
      <c r="R49" s="34">
        <v>1</v>
      </c>
      <c r="S49" s="34">
        <v>1</v>
      </c>
      <c r="T49" s="72">
        <v>337</v>
      </c>
      <c r="U49" s="72">
        <v>2725257125.98</v>
      </c>
      <c r="V49" s="72">
        <v>3018017489</v>
      </c>
    </row>
    <row r="50" spans="1:22" ht="14.25">
      <c r="A50" s="53">
        <v>43</v>
      </c>
      <c r="B50" s="42" t="s">
        <v>91</v>
      </c>
      <c r="C50" s="42" t="s">
        <v>49</v>
      </c>
      <c r="D50" s="72">
        <v>18699867797</v>
      </c>
      <c r="E50" s="72">
        <v>461466602</v>
      </c>
      <c r="F50" s="34">
        <v>0</v>
      </c>
      <c r="G50" s="72">
        <v>54613764</v>
      </c>
      <c r="H50" s="35">
        <f t="shared" si="12"/>
        <v>406852838</v>
      </c>
      <c r="I50" s="98">
        <v>42413567476</v>
      </c>
      <c r="J50" s="39">
        <f t="shared" si="13"/>
        <v>4.8359093586494928E-2</v>
      </c>
      <c r="K50" s="76">
        <v>47475899484</v>
      </c>
      <c r="L50" s="39">
        <f t="shared" si="14"/>
        <v>4.9727730763610242E-2</v>
      </c>
      <c r="M50" s="39">
        <f t="shared" si="15"/>
        <v>0.11935643024757477</v>
      </c>
      <c r="N50" s="43">
        <f t="shared" si="20"/>
        <v>1.1503471149273445E-3</v>
      </c>
      <c r="O50" s="44">
        <f t="shared" si="21"/>
        <v>8.5696709787902968E-3</v>
      </c>
      <c r="P50" s="54">
        <f t="shared" si="22"/>
        <v>1.0101515117691942</v>
      </c>
      <c r="Q50" s="54">
        <f t="shared" si="23"/>
        <v>8.6566660945896073E-3</v>
      </c>
      <c r="R50" s="34">
        <v>1</v>
      </c>
      <c r="S50" s="34">
        <v>1</v>
      </c>
      <c r="T50" s="72">
        <v>6052</v>
      </c>
      <c r="U50" s="76">
        <v>42436773742</v>
      </c>
      <c r="V50" s="76">
        <v>46998790707</v>
      </c>
    </row>
    <row r="51" spans="1:22" ht="14.25">
      <c r="A51" s="53">
        <v>44</v>
      </c>
      <c r="B51" s="56" t="s">
        <v>92</v>
      </c>
      <c r="C51" s="42" t="s">
        <v>93</v>
      </c>
      <c r="D51" s="62">
        <v>1067558500.24</v>
      </c>
      <c r="E51" s="62">
        <v>14037913.859999999</v>
      </c>
      <c r="F51" s="34">
        <v>0</v>
      </c>
      <c r="G51" s="62">
        <v>1880629.51</v>
      </c>
      <c r="H51" s="35">
        <f t="shared" si="12"/>
        <v>12157284.35</v>
      </c>
      <c r="I51" s="94">
        <v>1807008653.54</v>
      </c>
      <c r="J51" s="39">
        <f t="shared" si="13"/>
        <v>2.0603147952030824E-3</v>
      </c>
      <c r="K51" s="72">
        <v>1474762906.75</v>
      </c>
      <c r="L51" s="39">
        <f t="shared" si="14"/>
        <v>1.5447124449266862E-3</v>
      </c>
      <c r="M51" s="39">
        <f t="shared" si="15"/>
        <v>-0.18386505573125933</v>
      </c>
      <c r="N51" s="43">
        <f t="shared" si="20"/>
        <v>1.2752080360797968E-3</v>
      </c>
      <c r="O51" s="44">
        <f t="shared" si="21"/>
        <v>8.2435517562558878E-3</v>
      </c>
      <c r="P51" s="54">
        <f t="shared" si="22"/>
        <v>1.0073605957776846</v>
      </c>
      <c r="Q51" s="54">
        <f t="shared" si="23"/>
        <v>8.304229208506108E-3</v>
      </c>
      <c r="R51" s="34">
        <v>1</v>
      </c>
      <c r="S51" s="34">
        <v>1</v>
      </c>
      <c r="T51" s="72">
        <v>73</v>
      </c>
      <c r="U51" s="84">
        <v>1803011447.6099999</v>
      </c>
      <c r="V51" s="72">
        <v>1463987089.5599999</v>
      </c>
    </row>
    <row r="52" spans="1:22" ht="14.25">
      <c r="A52" s="53">
        <v>45</v>
      </c>
      <c r="B52" s="42" t="s">
        <v>94</v>
      </c>
      <c r="C52" s="42" t="s">
        <v>95</v>
      </c>
      <c r="D52" s="72">
        <v>1101277382.8900001</v>
      </c>
      <c r="E52" s="72">
        <v>10043120.68</v>
      </c>
      <c r="F52" s="34">
        <v>0</v>
      </c>
      <c r="G52" s="72">
        <v>1768144.91</v>
      </c>
      <c r="H52" s="35">
        <f t="shared" si="12"/>
        <v>8274975.7699999996</v>
      </c>
      <c r="I52" s="92">
        <v>1033451224.9400001</v>
      </c>
      <c r="J52" s="39">
        <f t="shared" si="13"/>
        <v>1.178320228125846E-3</v>
      </c>
      <c r="K52" s="72">
        <v>1100130986.1199999</v>
      </c>
      <c r="L52" s="39">
        <f t="shared" si="14"/>
        <v>1.1523113427459625E-3</v>
      </c>
      <c r="M52" s="39">
        <f t="shared" si="15"/>
        <v>6.4521439977848122E-2</v>
      </c>
      <c r="N52" s="43">
        <f t="shared" si="20"/>
        <v>1.6072130794497362E-3</v>
      </c>
      <c r="O52" s="44">
        <f t="shared" si="21"/>
        <v>7.5218095612274516E-3</v>
      </c>
      <c r="P52" s="54">
        <f t="shared" si="22"/>
        <v>1.0076384561010241</v>
      </c>
      <c r="Q52" s="54">
        <f t="shared" si="23"/>
        <v>7.5792645733611507E-3</v>
      </c>
      <c r="R52" s="34">
        <v>1</v>
      </c>
      <c r="S52" s="34">
        <v>1</v>
      </c>
      <c r="T52" s="34">
        <v>208</v>
      </c>
      <c r="U52" s="72">
        <v>1011658117.8</v>
      </c>
      <c r="V52" s="72">
        <v>1091791385.55</v>
      </c>
    </row>
    <row r="53" spans="1:22" ht="14.25">
      <c r="A53" s="53">
        <v>46</v>
      </c>
      <c r="B53" s="42" t="s">
        <v>96</v>
      </c>
      <c r="C53" s="42" t="s">
        <v>97</v>
      </c>
      <c r="D53" s="34">
        <v>28965939173.360001</v>
      </c>
      <c r="E53" s="62">
        <v>294365122.92000002</v>
      </c>
      <c r="F53" s="34">
        <v>0</v>
      </c>
      <c r="G53" s="62">
        <v>33957912.969999999</v>
      </c>
      <c r="H53" s="35">
        <f t="shared" si="12"/>
        <v>260407209.95000002</v>
      </c>
      <c r="I53" s="94">
        <v>27615743059.689999</v>
      </c>
      <c r="J53" s="39">
        <f t="shared" si="13"/>
        <v>3.1486912857302853E-2</v>
      </c>
      <c r="K53" s="62">
        <v>30264710148.43</v>
      </c>
      <c r="L53" s="39">
        <f t="shared" si="14"/>
        <v>3.1700196821063557E-2</v>
      </c>
      <c r="M53" s="39">
        <f t="shared" si="15"/>
        <v>9.592235425331111E-2</v>
      </c>
      <c r="N53" s="43">
        <f t="shared" si="20"/>
        <v>1.1220300080013021E-3</v>
      </c>
      <c r="O53" s="44">
        <f t="shared" si="21"/>
        <v>8.6043186494389346E-3</v>
      </c>
      <c r="P53" s="54">
        <f t="shared" si="22"/>
        <v>1.0088882026532355</v>
      </c>
      <c r="Q53" s="54">
        <f t="shared" si="23"/>
        <v>8.6807955772881615E-3</v>
      </c>
      <c r="R53" s="34">
        <v>1</v>
      </c>
      <c r="S53" s="34">
        <v>1</v>
      </c>
      <c r="T53" s="34">
        <v>3249</v>
      </c>
      <c r="U53" s="62">
        <v>26989138343.02</v>
      </c>
      <c r="V53" s="62">
        <v>29998081124.189999</v>
      </c>
    </row>
    <row r="54" spans="1:22" ht="15" customHeight="1">
      <c r="A54" s="119" t="s">
        <v>50</v>
      </c>
      <c r="B54" s="119"/>
      <c r="C54" s="119"/>
      <c r="D54" s="119"/>
      <c r="E54" s="119"/>
      <c r="F54" s="119"/>
      <c r="G54" s="119"/>
      <c r="H54" s="119"/>
      <c r="I54" s="52">
        <f>SUM(I24:I53)</f>
        <v>877054641235.96985</v>
      </c>
      <c r="J54" s="85">
        <f>(I54/$I$181)</f>
        <v>0.4209338832181958</v>
      </c>
      <c r="K54" s="52">
        <f>SUM(K24:K53)</f>
        <v>954716789907.12988</v>
      </c>
      <c r="L54" s="85">
        <f>(K54/$K$181)</f>
        <v>0.36093204722214883</v>
      </c>
      <c r="M54" s="39">
        <f t="shared" si="15"/>
        <v>8.8548814429299835E-2</v>
      </c>
      <c r="N54" s="43"/>
      <c r="O54" s="43"/>
      <c r="P54" s="57"/>
      <c r="Q54" s="57"/>
      <c r="R54" s="52"/>
      <c r="S54" s="52"/>
      <c r="T54" s="52">
        <f>SUM(T24:T53)</f>
        <v>271783</v>
      </c>
      <c r="U54" s="52"/>
      <c r="V54" s="52"/>
    </row>
    <row r="55" spans="1:22" ht="6.95" customHeight="1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</row>
    <row r="56" spans="1:22">
      <c r="A56" s="122" t="s">
        <v>98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</row>
    <row r="57" spans="1:22" ht="14.25">
      <c r="A57" s="53">
        <v>47</v>
      </c>
      <c r="B57" s="42" t="s">
        <v>99</v>
      </c>
      <c r="C57" s="42" t="s">
        <v>23</v>
      </c>
      <c r="D57" s="34">
        <v>464263258.48000002</v>
      </c>
      <c r="E57" s="34">
        <v>5186513.99</v>
      </c>
      <c r="F57" s="34">
        <v>0</v>
      </c>
      <c r="G57" s="34">
        <v>706555.76</v>
      </c>
      <c r="H57" s="35">
        <f t="shared" ref="H57:H88" si="24">(E57+F57)-G57</f>
        <v>4479958.2300000004</v>
      </c>
      <c r="I57" s="93">
        <v>469630378.38</v>
      </c>
      <c r="J57" s="39">
        <f t="shared" ref="J57:J77" si="25">(I57/$I$89)</f>
        <v>1.6216641139404956E-3</v>
      </c>
      <c r="K57" s="34">
        <v>470468082.32999998</v>
      </c>
      <c r="L57" s="39">
        <f t="shared" ref="L57:L88" si="26">(K57/$K$89)</f>
        <v>1.5826570916783805E-3</v>
      </c>
      <c r="M57" s="39">
        <f t="shared" ref="M57:M89" si="27">((K57-I57)/I57)</f>
        <v>1.7837516237549746E-3</v>
      </c>
      <c r="N57" s="43">
        <f t="shared" ref="N57" si="28">(G57/K57)</f>
        <v>1.5018144408453225E-3</v>
      </c>
      <c r="O57" s="44">
        <f t="shared" ref="O57" si="29">H57/K57</f>
        <v>9.522342531321025E-3</v>
      </c>
      <c r="P57" s="54">
        <f t="shared" ref="P57" si="30">K57/V57</f>
        <v>1.274600804448367</v>
      </c>
      <c r="Q57" s="54">
        <f t="shared" ref="Q57" si="31">H57/V57</f>
        <v>1.2137185450654678E-2</v>
      </c>
      <c r="R57" s="34">
        <v>1.28</v>
      </c>
      <c r="S57" s="34">
        <v>1.28</v>
      </c>
      <c r="T57" s="72">
        <v>304</v>
      </c>
      <c r="U57" s="34">
        <v>366102430.06</v>
      </c>
      <c r="V57" s="34">
        <v>369110140.75</v>
      </c>
    </row>
    <row r="58" spans="1:22" ht="12.95" customHeight="1">
      <c r="A58" s="53">
        <v>48</v>
      </c>
      <c r="B58" s="42" t="s">
        <v>100</v>
      </c>
      <c r="C58" s="46" t="s">
        <v>25</v>
      </c>
      <c r="D58" s="34">
        <v>1211643285.4400001</v>
      </c>
      <c r="E58" s="34">
        <v>21097496.629999999</v>
      </c>
      <c r="F58" s="34">
        <v>0</v>
      </c>
      <c r="G58" s="34">
        <v>2427837.6800000002</v>
      </c>
      <c r="H58" s="35">
        <f t="shared" si="24"/>
        <v>18669658.949999999</v>
      </c>
      <c r="I58" s="93">
        <v>1342570610.4300001</v>
      </c>
      <c r="J58" s="39">
        <f t="shared" si="25"/>
        <v>4.6359832744972953E-3</v>
      </c>
      <c r="K58" s="34">
        <v>1359663823</v>
      </c>
      <c r="L58" s="39">
        <f t="shared" si="26"/>
        <v>4.5739162178914747E-3</v>
      </c>
      <c r="M58" s="39">
        <f t="shared" si="27"/>
        <v>1.2731704714231231E-2</v>
      </c>
      <c r="N58" s="43">
        <f t="shared" ref="N58:N88" si="32">(G58/K58)</f>
        <v>1.7856161493236995E-3</v>
      </c>
      <c r="O58" s="44">
        <f t="shared" ref="O58:O88" si="33">H58/K58</f>
        <v>1.3731084577073432E-2</v>
      </c>
      <c r="P58" s="54">
        <f t="shared" ref="P58:P88" si="34">K58/V58</f>
        <v>1.0982320749893943</v>
      </c>
      <c r="Q58" s="54">
        <f t="shared" ref="Q58:Q88" si="35">H58/V58</f>
        <v>1.5079917506934225E-2</v>
      </c>
      <c r="R58" s="34">
        <v>1.0982000000000001</v>
      </c>
      <c r="S58" s="34">
        <v>1.0982000000000001</v>
      </c>
      <c r="T58" s="34">
        <v>577</v>
      </c>
      <c r="U58" s="34">
        <v>1158071741</v>
      </c>
      <c r="V58" s="72">
        <v>1238047817</v>
      </c>
    </row>
    <row r="59" spans="1:22" ht="15" customHeight="1">
      <c r="A59" s="53">
        <v>49</v>
      </c>
      <c r="B59" s="42" t="s">
        <v>101</v>
      </c>
      <c r="C59" s="42" t="s">
        <v>102</v>
      </c>
      <c r="D59" s="34">
        <v>872031684.52999997</v>
      </c>
      <c r="E59" s="34">
        <v>9782990.3699999992</v>
      </c>
      <c r="F59" s="34">
        <v>0</v>
      </c>
      <c r="G59" s="34">
        <v>2005094.77</v>
      </c>
      <c r="H59" s="35">
        <f t="shared" si="24"/>
        <v>7777895.5999999996</v>
      </c>
      <c r="I59" s="93">
        <v>980561735.39999998</v>
      </c>
      <c r="J59" s="39">
        <f t="shared" si="25"/>
        <v>3.3859431821395875E-3</v>
      </c>
      <c r="K59" s="34">
        <v>982994209</v>
      </c>
      <c r="L59" s="39">
        <f t="shared" si="26"/>
        <v>3.3067976646742785E-3</v>
      </c>
      <c r="M59" s="39">
        <f t="shared" si="27"/>
        <v>2.480693986093335E-3</v>
      </c>
      <c r="N59" s="43">
        <f t="shared" si="32"/>
        <v>2.0397828915388861E-3</v>
      </c>
      <c r="O59" s="44">
        <f t="shared" si="33"/>
        <v>7.9124531241261866E-3</v>
      </c>
      <c r="P59" s="54">
        <f t="shared" si="34"/>
        <v>1.0103265696473638</v>
      </c>
      <c r="Q59" s="54">
        <f t="shared" si="35"/>
        <v>7.994161622393978E-3</v>
      </c>
      <c r="R59" s="34">
        <v>1.0103</v>
      </c>
      <c r="S59" s="34">
        <v>1.0103</v>
      </c>
      <c r="T59" s="34">
        <v>146</v>
      </c>
      <c r="U59" s="34">
        <v>917078804</v>
      </c>
      <c r="V59" s="34">
        <v>972947004</v>
      </c>
    </row>
    <row r="60" spans="1:22" ht="14.25">
      <c r="A60" s="53">
        <v>50</v>
      </c>
      <c r="B60" s="42" t="s">
        <v>103</v>
      </c>
      <c r="C60" s="46" t="s">
        <v>104</v>
      </c>
      <c r="D60" s="62">
        <v>243467979.80000001</v>
      </c>
      <c r="E60" s="62">
        <v>3371967.41</v>
      </c>
      <c r="F60" s="34">
        <v>0</v>
      </c>
      <c r="G60" s="62">
        <v>446227.55</v>
      </c>
      <c r="H60" s="35">
        <f t="shared" si="24"/>
        <v>2925739.8600000003</v>
      </c>
      <c r="I60" s="94">
        <v>264663470.90000001</v>
      </c>
      <c r="J60" s="39">
        <f t="shared" si="25"/>
        <v>9.1390010695215843E-4</v>
      </c>
      <c r="K60" s="62">
        <v>272121766.12</v>
      </c>
      <c r="L60" s="39">
        <f t="shared" si="26"/>
        <v>9.1541904568092551E-4</v>
      </c>
      <c r="M60" s="39">
        <f t="shared" si="27"/>
        <v>2.818029701884333E-2</v>
      </c>
      <c r="N60" s="43">
        <f t="shared" si="32"/>
        <v>1.6398083709453178E-3</v>
      </c>
      <c r="O60" s="44">
        <f t="shared" si="33"/>
        <v>1.0751583387525901E-2</v>
      </c>
      <c r="P60" s="54">
        <f t="shared" si="34"/>
        <v>1156.832742932449</v>
      </c>
      <c r="Q60" s="54">
        <f t="shared" si="35"/>
        <v>12.437783701058541</v>
      </c>
      <c r="R60" s="34">
        <v>1156.83</v>
      </c>
      <c r="S60" s="34">
        <v>1156.83</v>
      </c>
      <c r="T60" s="34">
        <v>114</v>
      </c>
      <c r="U60" s="34">
        <v>236710</v>
      </c>
      <c r="V60" s="34">
        <v>235230</v>
      </c>
    </row>
    <row r="61" spans="1:22" ht="14.25">
      <c r="A61" s="53">
        <v>51</v>
      </c>
      <c r="B61" s="42" t="s">
        <v>105</v>
      </c>
      <c r="C61" s="46" t="s">
        <v>106</v>
      </c>
      <c r="D61" s="34">
        <v>1381156222.4300001</v>
      </c>
      <c r="E61" s="34">
        <v>12008331.82</v>
      </c>
      <c r="F61" s="34">
        <v>0</v>
      </c>
      <c r="G61" s="34">
        <v>2034592.26</v>
      </c>
      <c r="H61" s="35">
        <f t="shared" si="24"/>
        <v>9973739.5600000005</v>
      </c>
      <c r="I61" s="93">
        <v>1426655971.5</v>
      </c>
      <c r="J61" s="39">
        <f t="shared" si="25"/>
        <v>4.9263354723796358E-3</v>
      </c>
      <c r="K61" s="34">
        <v>1607193828.1400001</v>
      </c>
      <c r="L61" s="39">
        <f t="shared" si="26"/>
        <v>5.4066084509072285E-3</v>
      </c>
      <c r="M61" s="39">
        <f t="shared" si="27"/>
        <v>0.12654617528441761</v>
      </c>
      <c r="N61" s="43">
        <f t="shared" si="32"/>
        <v>1.2659283680516785E-3</v>
      </c>
      <c r="O61" s="44">
        <f t="shared" si="33"/>
        <v>6.2056855777890682E-3</v>
      </c>
      <c r="P61" s="54">
        <f t="shared" si="34"/>
        <v>1.0234442221136848</v>
      </c>
      <c r="Q61" s="54">
        <f t="shared" si="35"/>
        <v>6.3511730488424456E-3</v>
      </c>
      <c r="R61" s="35">
        <v>1.0235000000000001</v>
      </c>
      <c r="S61" s="72">
        <v>1.0235000000000001</v>
      </c>
      <c r="T61" s="34">
        <v>817</v>
      </c>
      <c r="U61" s="34">
        <v>1355767278.3599999</v>
      </c>
      <c r="V61" s="34">
        <v>1570377548.0999999</v>
      </c>
    </row>
    <row r="62" spans="1:22" ht="14.25">
      <c r="A62" s="53">
        <v>52</v>
      </c>
      <c r="B62" s="42" t="s">
        <v>107</v>
      </c>
      <c r="C62" s="42" t="s">
        <v>108</v>
      </c>
      <c r="D62" s="34">
        <v>407415329.63999999</v>
      </c>
      <c r="E62" s="34">
        <v>3672331.77</v>
      </c>
      <c r="F62" s="34">
        <v>0</v>
      </c>
      <c r="G62" s="34">
        <v>828424.79</v>
      </c>
      <c r="H62" s="35">
        <f t="shared" si="24"/>
        <v>2843906.98</v>
      </c>
      <c r="I62" s="93">
        <v>394978771.92000002</v>
      </c>
      <c r="J62" s="39">
        <f t="shared" si="25"/>
        <v>1.3638872817394168E-3</v>
      </c>
      <c r="K62" s="34">
        <v>397268030.68000001</v>
      </c>
      <c r="L62" s="39">
        <f t="shared" si="26"/>
        <v>1.3364117347535399E-3</v>
      </c>
      <c r="M62" s="39">
        <f t="shared" si="27"/>
        <v>5.7959032807557128E-3</v>
      </c>
      <c r="N62" s="43">
        <f t="shared" si="32"/>
        <v>2.0853044444124865E-3</v>
      </c>
      <c r="O62" s="44">
        <f t="shared" si="33"/>
        <v>7.1586605525043399E-3</v>
      </c>
      <c r="P62" s="54">
        <f t="shared" si="34"/>
        <v>2.253721867938443</v>
      </c>
      <c r="Q62" s="54">
        <f t="shared" si="35"/>
        <v>1.6133629832327329E-2</v>
      </c>
      <c r="R62" s="34">
        <v>2.2562000000000002</v>
      </c>
      <c r="S62" s="34">
        <v>2.2562000000000002</v>
      </c>
      <c r="T62" s="34">
        <v>1399</v>
      </c>
      <c r="U62" s="34">
        <v>176562436.25</v>
      </c>
      <c r="V62" s="34">
        <v>176271986.5</v>
      </c>
    </row>
    <row r="63" spans="1:22" ht="14.25">
      <c r="A63" s="53">
        <v>53</v>
      </c>
      <c r="B63" s="40" t="s">
        <v>241</v>
      </c>
      <c r="C63" s="48" t="s">
        <v>239</v>
      </c>
      <c r="D63" s="34">
        <v>134716455.21000001</v>
      </c>
      <c r="E63" s="34">
        <v>5805993.21</v>
      </c>
      <c r="F63" s="34">
        <v>0</v>
      </c>
      <c r="G63" s="34">
        <v>339059.62</v>
      </c>
      <c r="H63" s="35">
        <f t="shared" si="24"/>
        <v>5466933.5899999999</v>
      </c>
      <c r="I63" s="34">
        <v>0</v>
      </c>
      <c r="J63" s="39">
        <f t="shared" si="25"/>
        <v>0</v>
      </c>
      <c r="K63" s="34">
        <v>134377395.59</v>
      </c>
      <c r="L63" s="39">
        <f t="shared" si="26"/>
        <v>4.5204626217897048E-4</v>
      </c>
      <c r="M63" s="39" t="e">
        <f t="shared" si="27"/>
        <v>#DIV/0!</v>
      </c>
      <c r="N63" s="43">
        <f t="shared" si="32"/>
        <v>2.523189398866664E-3</v>
      </c>
      <c r="O63" s="44">
        <f t="shared" si="33"/>
        <v>4.0683431658998709E-2</v>
      </c>
      <c r="P63" s="54">
        <f t="shared" si="34"/>
        <v>10.824144279150861</v>
      </c>
      <c r="Q63" s="54">
        <f t="shared" si="35"/>
        <v>0.4403633340479759</v>
      </c>
      <c r="R63" s="34">
        <v>10.66</v>
      </c>
      <c r="S63" s="34">
        <v>10.66</v>
      </c>
      <c r="T63" s="34">
        <v>29</v>
      </c>
      <c r="U63" s="34">
        <v>12411823.939999999</v>
      </c>
      <c r="V63" s="34">
        <v>12414597.6</v>
      </c>
    </row>
    <row r="64" spans="1:22" ht="14.25">
      <c r="A64" s="53">
        <v>54</v>
      </c>
      <c r="B64" s="46" t="s">
        <v>109</v>
      </c>
      <c r="C64" s="42" t="s">
        <v>60</v>
      </c>
      <c r="D64" s="34">
        <v>2631223178.5999999</v>
      </c>
      <c r="E64" s="34">
        <v>22256407.289999999</v>
      </c>
      <c r="F64" s="34">
        <v>0</v>
      </c>
      <c r="G64" s="34">
        <v>4601433.84</v>
      </c>
      <c r="H64" s="35">
        <f t="shared" si="24"/>
        <v>17654973.449999999</v>
      </c>
      <c r="I64" s="93">
        <v>2585838639.1100001</v>
      </c>
      <c r="J64" s="39">
        <f t="shared" si="25"/>
        <v>8.9290683025031424E-3</v>
      </c>
      <c r="K64" s="34">
        <v>2595099133.5</v>
      </c>
      <c r="L64" s="39">
        <f t="shared" si="26"/>
        <v>8.7299270694442561E-3</v>
      </c>
      <c r="M64" s="39">
        <f t="shared" si="27"/>
        <v>3.5812344397433728E-3</v>
      </c>
      <c r="N64" s="43">
        <f t="shared" si="32"/>
        <v>1.7731244947833897E-3</v>
      </c>
      <c r="O64" s="44">
        <f t="shared" si="33"/>
        <v>6.8031980829143914E-3</v>
      </c>
      <c r="P64" s="54">
        <f t="shared" si="34"/>
        <v>4025.9909497319077</v>
      </c>
      <c r="Q64" s="54">
        <f t="shared" si="35"/>
        <v>27.389613911046805</v>
      </c>
      <c r="R64" s="34">
        <v>4025.99</v>
      </c>
      <c r="S64" s="34">
        <v>4025.99</v>
      </c>
      <c r="T64" s="34">
        <v>1052</v>
      </c>
      <c r="U64" s="34">
        <v>646930.98</v>
      </c>
      <c r="V64" s="34">
        <v>644586.43000000005</v>
      </c>
    </row>
    <row r="65" spans="1:22" ht="14.25">
      <c r="A65" s="53">
        <v>55</v>
      </c>
      <c r="B65" s="42" t="s">
        <v>110</v>
      </c>
      <c r="C65" s="42" t="s">
        <v>62</v>
      </c>
      <c r="D65" s="34">
        <v>295243531.35000002</v>
      </c>
      <c r="E65" s="34">
        <v>3461938.27</v>
      </c>
      <c r="F65" s="34">
        <v>0</v>
      </c>
      <c r="G65" s="34">
        <v>720383.97</v>
      </c>
      <c r="H65" s="35">
        <f t="shared" si="24"/>
        <v>2741554.3</v>
      </c>
      <c r="I65" s="96">
        <v>344789391.41000003</v>
      </c>
      <c r="J65" s="39">
        <f t="shared" si="25"/>
        <v>1.1905801001326195E-3</v>
      </c>
      <c r="K65" s="72">
        <v>350886707.77999997</v>
      </c>
      <c r="L65" s="39">
        <f t="shared" si="26"/>
        <v>1.1803847217294746E-3</v>
      </c>
      <c r="M65" s="39">
        <f t="shared" si="27"/>
        <v>1.7684176259209299E-2</v>
      </c>
      <c r="N65" s="43">
        <f t="shared" si="32"/>
        <v>2.0530386418959722E-3</v>
      </c>
      <c r="O65" s="44">
        <f t="shared" si="33"/>
        <v>7.8132178826189908E-3</v>
      </c>
      <c r="P65" s="54">
        <f t="shared" si="34"/>
        <v>108.04808854181901</v>
      </c>
      <c r="Q65" s="54">
        <f t="shared" si="35"/>
        <v>0.8442032575777404</v>
      </c>
      <c r="R65" s="34">
        <v>108.43</v>
      </c>
      <c r="S65" s="34">
        <v>108.43</v>
      </c>
      <c r="T65" s="34">
        <v>123</v>
      </c>
      <c r="U65" s="34">
        <v>3157836</v>
      </c>
      <c r="V65" s="34">
        <v>3247505</v>
      </c>
    </row>
    <row r="66" spans="1:22" ht="14.25">
      <c r="A66" s="53">
        <v>56</v>
      </c>
      <c r="B66" s="46" t="s">
        <v>111</v>
      </c>
      <c r="C66" s="46" t="s">
        <v>66</v>
      </c>
      <c r="D66" s="62">
        <v>328091740.54000002</v>
      </c>
      <c r="E66" s="72">
        <v>2989216.11</v>
      </c>
      <c r="F66" s="34">
        <v>0</v>
      </c>
      <c r="G66" s="72">
        <v>151658.69</v>
      </c>
      <c r="H66" s="35">
        <f t="shared" si="24"/>
        <v>2837557.42</v>
      </c>
      <c r="I66" s="94">
        <v>329255648.47000003</v>
      </c>
      <c r="J66" s="39">
        <f t="shared" si="25"/>
        <v>1.1369410796589659E-3</v>
      </c>
      <c r="K66" s="62">
        <v>324329810.32999998</v>
      </c>
      <c r="L66" s="39">
        <f t="shared" si="26"/>
        <v>1.0910471796924854E-3</v>
      </c>
      <c r="M66" s="39">
        <f t="shared" si="27"/>
        <v>-1.4960527367987919E-2</v>
      </c>
      <c r="N66" s="43">
        <f t="shared" si="32"/>
        <v>4.6760638451855504E-4</v>
      </c>
      <c r="O66" s="44">
        <f t="shared" si="33"/>
        <v>8.7489873876004012E-3</v>
      </c>
      <c r="P66" s="54">
        <f t="shared" si="34"/>
        <v>1.3731563565280089</v>
      </c>
      <c r="Q66" s="54">
        <f t="shared" si="35"/>
        <v>1.2013727644466869E-2</v>
      </c>
      <c r="R66" s="72">
        <v>1.3732</v>
      </c>
      <c r="S66" s="72">
        <v>1.3732</v>
      </c>
      <c r="T66" s="72">
        <v>313</v>
      </c>
      <c r="U66" s="84">
        <v>232828219.90000001</v>
      </c>
      <c r="V66" s="73">
        <v>236192920.63</v>
      </c>
    </row>
    <row r="67" spans="1:22" ht="14.25">
      <c r="A67" s="53">
        <v>57</v>
      </c>
      <c r="B67" s="42" t="s">
        <v>243</v>
      </c>
      <c r="C67" s="42" t="s">
        <v>47</v>
      </c>
      <c r="D67" s="34">
        <f>54331050.47+9278618.39+9322070.82</f>
        <v>72931739.680000007</v>
      </c>
      <c r="E67" s="34">
        <v>790726.16</v>
      </c>
      <c r="F67" s="34">
        <v>0</v>
      </c>
      <c r="G67" s="34">
        <v>111405.32</v>
      </c>
      <c r="H67" s="35">
        <f>(E67+F67)-G67</f>
        <v>679320.84000000008</v>
      </c>
      <c r="I67" s="93">
        <v>357877214.31999999</v>
      </c>
      <c r="J67" s="39">
        <f t="shared" si="25"/>
        <v>1.2357732003233867E-3</v>
      </c>
      <c r="K67" s="34">
        <v>74638991.900000006</v>
      </c>
      <c r="L67" s="39">
        <f t="shared" si="26"/>
        <v>2.5108595945814207E-4</v>
      </c>
      <c r="M67" s="39">
        <f t="shared" si="27"/>
        <v>-0.79143966446195502</v>
      </c>
      <c r="N67" s="43">
        <f t="shared" si="32"/>
        <v>1.4925887550740085E-3</v>
      </c>
      <c r="O67" s="44">
        <f t="shared" si="33"/>
        <v>9.1014203529187817E-3</v>
      </c>
      <c r="P67" s="54">
        <f t="shared" si="34"/>
        <v>113.40160894200174</v>
      </c>
      <c r="Q67" s="54">
        <f t="shared" si="35"/>
        <v>1.0321157116784712</v>
      </c>
      <c r="R67" s="34">
        <v>113.4016</v>
      </c>
      <c r="S67" s="34">
        <v>113.4016</v>
      </c>
      <c r="T67" s="34">
        <v>90</v>
      </c>
      <c r="U67" s="34">
        <v>642127.1</v>
      </c>
      <c r="V67" s="34">
        <v>658182.82999999996</v>
      </c>
    </row>
    <row r="68" spans="1:22" ht="14.25">
      <c r="A68" s="53">
        <v>58</v>
      </c>
      <c r="B68" s="42" t="s">
        <v>112</v>
      </c>
      <c r="C68" s="42" t="s">
        <v>113</v>
      </c>
      <c r="D68" s="34">
        <v>820648840.16999996</v>
      </c>
      <c r="E68" s="34">
        <v>16052541.710000001</v>
      </c>
      <c r="F68" s="34">
        <v>0</v>
      </c>
      <c r="G68" s="34">
        <v>15540616.41</v>
      </c>
      <c r="H68" s="35">
        <f t="shared" si="24"/>
        <v>511925.30000000075</v>
      </c>
      <c r="I68" s="93">
        <v>1090482747.9000001</v>
      </c>
      <c r="J68" s="39">
        <f t="shared" si="25"/>
        <v>3.7655075577537655E-3</v>
      </c>
      <c r="K68" s="35">
        <v>1203643472.78</v>
      </c>
      <c r="L68" s="39">
        <f t="shared" si="26"/>
        <v>4.0490629430446042E-3</v>
      </c>
      <c r="M68" s="39">
        <f t="shared" si="27"/>
        <v>0.10377121976291641</v>
      </c>
      <c r="N68" s="43">
        <f t="shared" si="32"/>
        <v>1.2911311996821245E-2</v>
      </c>
      <c r="O68" s="44">
        <f t="shared" si="33"/>
        <v>4.2531306950689511E-4</v>
      </c>
      <c r="P68" s="54">
        <f t="shared" si="34"/>
        <v>1074.2837171505282</v>
      </c>
      <c r="Q68" s="54">
        <f t="shared" si="35"/>
        <v>0.45690690526256822</v>
      </c>
      <c r="R68" s="34">
        <v>1000</v>
      </c>
      <c r="S68" s="34">
        <v>1000</v>
      </c>
      <c r="T68" s="34">
        <v>279</v>
      </c>
      <c r="U68" s="34">
        <v>1001923.89</v>
      </c>
      <c r="V68" s="34">
        <v>1120414.8899999999</v>
      </c>
    </row>
    <row r="69" spans="1:22" ht="14.25">
      <c r="A69" s="53">
        <v>59</v>
      </c>
      <c r="B69" s="42" t="s">
        <v>114</v>
      </c>
      <c r="C69" s="42" t="s">
        <v>68</v>
      </c>
      <c r="D69" s="34">
        <v>198731963.06</v>
      </c>
      <c r="E69" s="72">
        <v>2403786.59</v>
      </c>
      <c r="F69" s="34">
        <v>0</v>
      </c>
      <c r="G69" s="34">
        <v>653332.31999999995</v>
      </c>
      <c r="H69" s="35">
        <f t="shared" si="24"/>
        <v>1750454.27</v>
      </c>
      <c r="I69" s="93">
        <v>224402559.22</v>
      </c>
      <c r="J69" s="39">
        <f t="shared" si="25"/>
        <v>7.7487657127032746E-4</v>
      </c>
      <c r="K69" s="34">
        <v>217420839.69</v>
      </c>
      <c r="L69" s="39">
        <f t="shared" si="26"/>
        <v>7.3140484283200152E-4</v>
      </c>
      <c r="M69" s="39">
        <f t="shared" si="27"/>
        <v>-3.1112477300917304E-2</v>
      </c>
      <c r="N69" s="43">
        <f t="shared" si="32"/>
        <v>3.004920415777647E-3</v>
      </c>
      <c r="O69" s="44">
        <f t="shared" si="33"/>
        <v>8.0509958129855851E-3</v>
      </c>
      <c r="P69" s="54">
        <f t="shared" si="34"/>
        <v>1070.7485148851297</v>
      </c>
      <c r="Q69" s="54">
        <f t="shared" si="35"/>
        <v>8.6205918101007111</v>
      </c>
      <c r="R69" s="34">
        <v>1068.01</v>
      </c>
      <c r="S69" s="72">
        <v>1070.75</v>
      </c>
      <c r="T69" s="34">
        <v>281</v>
      </c>
      <c r="U69" s="34">
        <v>197580</v>
      </c>
      <c r="V69" s="34">
        <v>203055</v>
      </c>
    </row>
    <row r="70" spans="1:22" ht="14.25">
      <c r="A70" s="53">
        <v>60</v>
      </c>
      <c r="B70" s="42" t="s">
        <v>115</v>
      </c>
      <c r="C70" s="46" t="s">
        <v>71</v>
      </c>
      <c r="D70" s="62">
        <v>764675069.21000004</v>
      </c>
      <c r="E70" s="62">
        <v>8172028.3799999999</v>
      </c>
      <c r="F70" s="34">
        <v>0</v>
      </c>
      <c r="G70" s="72">
        <v>1466498.82</v>
      </c>
      <c r="H70" s="35">
        <f t="shared" si="24"/>
        <v>6705529.5599999996</v>
      </c>
      <c r="I70" s="94">
        <v>758623151</v>
      </c>
      <c r="J70" s="39">
        <f t="shared" si="25"/>
        <v>2.6195748755114033E-3</v>
      </c>
      <c r="K70" s="62">
        <v>757180142.37</v>
      </c>
      <c r="L70" s="39">
        <f t="shared" si="26"/>
        <v>2.5471579624807878E-3</v>
      </c>
      <c r="M70" s="39">
        <f t="shared" si="27"/>
        <v>-1.9021415680471308E-3</v>
      </c>
      <c r="N70" s="43">
        <f t="shared" si="32"/>
        <v>1.9367898574437095E-3</v>
      </c>
      <c r="O70" s="44">
        <f t="shared" si="33"/>
        <v>8.8559236894558014E-3</v>
      </c>
      <c r="P70" s="54">
        <f t="shared" si="34"/>
        <v>1.1153651978188914</v>
      </c>
      <c r="Q70" s="54">
        <f t="shared" si="35"/>
        <v>9.8775890777588766E-3</v>
      </c>
      <c r="R70" s="34">
        <v>1.1100000000000001</v>
      </c>
      <c r="S70" s="34">
        <v>1.1100000000000001</v>
      </c>
      <c r="T70" s="34">
        <v>36</v>
      </c>
      <c r="U70" s="62">
        <v>681388279.04999995</v>
      </c>
      <c r="V70" s="62">
        <v>678862980.35000002</v>
      </c>
    </row>
    <row r="71" spans="1:22" ht="14.25">
      <c r="A71" s="53">
        <v>61</v>
      </c>
      <c r="B71" s="42" t="s">
        <v>250</v>
      </c>
      <c r="C71" s="42" t="s">
        <v>29</v>
      </c>
      <c r="D71" s="72">
        <v>67021657690.779999</v>
      </c>
      <c r="E71" s="72">
        <v>754816141.35000002</v>
      </c>
      <c r="F71" s="34">
        <v>0</v>
      </c>
      <c r="G71" s="62">
        <v>77842192.180000007</v>
      </c>
      <c r="H71" s="35">
        <f t="shared" si="24"/>
        <v>676973949.17000008</v>
      </c>
      <c r="I71" s="92">
        <v>66130940000.230003</v>
      </c>
      <c r="J71" s="39">
        <f t="shared" si="25"/>
        <v>0.22835441904218212</v>
      </c>
      <c r="K71" s="72">
        <v>65691031599.260002</v>
      </c>
      <c r="L71" s="39">
        <f t="shared" si="26"/>
        <v>0.22098497416730684</v>
      </c>
      <c r="M71" s="39">
        <f t="shared" si="27"/>
        <v>-6.6520814760605432E-3</v>
      </c>
      <c r="N71" s="43">
        <f t="shared" si="32"/>
        <v>1.1849744216968102E-3</v>
      </c>
      <c r="O71" s="44">
        <f t="shared" si="33"/>
        <v>1.0305424236595884E-2</v>
      </c>
      <c r="P71" s="54">
        <f t="shared" si="34"/>
        <v>1562.6541954044656</v>
      </c>
      <c r="Q71" s="54">
        <f t="shared" si="35"/>
        <v>16.103814418739418</v>
      </c>
      <c r="R71" s="78">
        <v>1562.65</v>
      </c>
      <c r="S71" s="78">
        <v>1562.65</v>
      </c>
      <c r="T71" s="72">
        <v>2459</v>
      </c>
      <c r="U71" s="73">
        <v>42736461.229999997</v>
      </c>
      <c r="V71" s="73">
        <v>42038111.689999998</v>
      </c>
    </row>
    <row r="72" spans="1:22" ht="16.5" customHeight="1">
      <c r="A72" s="53">
        <v>62</v>
      </c>
      <c r="B72" s="42" t="s">
        <v>116</v>
      </c>
      <c r="C72" s="42" t="s">
        <v>77</v>
      </c>
      <c r="D72" s="34">
        <v>23758933.57</v>
      </c>
      <c r="E72" s="34">
        <v>282933.03999999998</v>
      </c>
      <c r="F72" s="34">
        <v>0</v>
      </c>
      <c r="G72" s="34">
        <v>259376.36</v>
      </c>
      <c r="H72" s="35">
        <f t="shared" si="24"/>
        <v>23556.679999999993</v>
      </c>
      <c r="I72" s="93">
        <v>25091536.039999999</v>
      </c>
      <c r="J72" s="39">
        <f t="shared" si="25"/>
        <v>8.6642699094708868E-5</v>
      </c>
      <c r="K72" s="34">
        <v>25300970.879999999</v>
      </c>
      <c r="L72" s="39">
        <f t="shared" si="26"/>
        <v>8.5112598481214369E-5</v>
      </c>
      <c r="M72" s="39">
        <f t="shared" si="27"/>
        <v>8.3468321614956764E-3</v>
      </c>
      <c r="N72" s="43">
        <f t="shared" si="32"/>
        <v>1.0251636636008808E-2</v>
      </c>
      <c r="O72" s="44">
        <f t="shared" si="33"/>
        <v>9.3105834205837372E-4</v>
      </c>
      <c r="P72" s="54">
        <f t="shared" si="34"/>
        <v>0.77081606715110407</v>
      </c>
      <c r="Q72" s="54">
        <f t="shared" si="35"/>
        <v>7.1767472951366309E-4</v>
      </c>
      <c r="R72" s="35">
        <v>0.77070000000000005</v>
      </c>
      <c r="S72" s="35">
        <v>0.77070000000000005</v>
      </c>
      <c r="T72" s="34">
        <v>747</v>
      </c>
      <c r="U72" s="34">
        <v>32823616.370000001</v>
      </c>
      <c r="V72" s="34">
        <v>32823616.370000001</v>
      </c>
    </row>
    <row r="73" spans="1:22" ht="16.5" customHeight="1">
      <c r="A73" s="53">
        <v>63</v>
      </c>
      <c r="B73" s="40" t="s">
        <v>222</v>
      </c>
      <c r="C73" s="46" t="s">
        <v>35</v>
      </c>
      <c r="D73" s="72">
        <v>11092627836.75</v>
      </c>
      <c r="E73" s="72">
        <v>64144354.520000003</v>
      </c>
      <c r="F73" s="34">
        <v>0</v>
      </c>
      <c r="G73" s="72">
        <v>2355163.63</v>
      </c>
      <c r="H73" s="35">
        <f t="shared" ref="H73" si="36">(E73+F73)-G73</f>
        <v>61789190.890000001</v>
      </c>
      <c r="I73" s="93">
        <v>9710149372.0300007</v>
      </c>
      <c r="J73" s="39">
        <f t="shared" si="25"/>
        <v>3.3529774696307184E-2</v>
      </c>
      <c r="K73" s="72">
        <v>9526619779.7000008</v>
      </c>
      <c r="L73" s="39">
        <f t="shared" si="26"/>
        <v>3.2047598807117439E-2</v>
      </c>
      <c r="M73" s="39">
        <f t="shared" si="27"/>
        <v>-1.8900800111134777E-2</v>
      </c>
      <c r="N73" s="43">
        <f t="shared" si="32"/>
        <v>2.4721923247304886E-4</v>
      </c>
      <c r="O73" s="44">
        <f t="shared" si="33"/>
        <v>6.4859511892838215E-3</v>
      </c>
      <c r="P73" s="54">
        <f t="shared" si="34"/>
        <v>1</v>
      </c>
      <c r="Q73" s="54">
        <f t="shared" si="35"/>
        <v>6.4859511892838215E-3</v>
      </c>
      <c r="R73" s="34">
        <v>1</v>
      </c>
      <c r="S73" s="34">
        <v>1</v>
      </c>
      <c r="T73" s="34">
        <v>5531</v>
      </c>
      <c r="U73" s="72">
        <v>9710149372.0300007</v>
      </c>
      <c r="V73" s="72">
        <v>9526619779.7000008</v>
      </c>
    </row>
    <row r="74" spans="1:22" ht="14.25">
      <c r="A74" s="53">
        <v>64</v>
      </c>
      <c r="B74" s="46" t="s">
        <v>117</v>
      </c>
      <c r="C74" s="46" t="s">
        <v>118</v>
      </c>
      <c r="D74" s="72">
        <v>1058627218.16</v>
      </c>
      <c r="E74" s="72">
        <v>36177101.329999998</v>
      </c>
      <c r="F74" s="34">
        <v>0</v>
      </c>
      <c r="G74" s="72">
        <v>1742910.89</v>
      </c>
      <c r="H74" s="35">
        <f t="shared" si="24"/>
        <v>34434190.439999998</v>
      </c>
      <c r="I74" s="93">
        <v>1088784577.05</v>
      </c>
      <c r="J74" s="39">
        <f t="shared" si="25"/>
        <v>3.7596436638202327E-3</v>
      </c>
      <c r="K74" s="72">
        <v>1048027907.17</v>
      </c>
      <c r="L74" s="39">
        <f t="shared" si="26"/>
        <v>3.5255713657446658E-3</v>
      </c>
      <c r="M74" s="39">
        <f t="shared" si="27"/>
        <v>-3.7433180758702403E-2</v>
      </c>
      <c r="N74" s="43">
        <f t="shared" si="32"/>
        <v>1.663038625284702E-3</v>
      </c>
      <c r="O74" s="44">
        <f t="shared" si="33"/>
        <v>3.2856177020116742E-2</v>
      </c>
      <c r="P74" s="54">
        <f t="shared" si="34"/>
        <v>213.58625554467025</v>
      </c>
      <c r="Q74" s="54">
        <f t="shared" si="35"/>
        <v>7.0176278212395777</v>
      </c>
      <c r="R74" s="72">
        <v>213.58629999999999</v>
      </c>
      <c r="S74" s="73">
        <v>215.74639999999999</v>
      </c>
      <c r="T74" s="34">
        <v>488</v>
      </c>
      <c r="U74" s="76">
        <v>5073975.76</v>
      </c>
      <c r="V74" s="76">
        <v>4906813.43</v>
      </c>
    </row>
    <row r="75" spans="1:22" ht="14.25">
      <c r="A75" s="53">
        <v>65</v>
      </c>
      <c r="B75" s="42" t="s">
        <v>119</v>
      </c>
      <c r="C75" s="46" t="s">
        <v>37</v>
      </c>
      <c r="D75" s="34">
        <v>1229301784.55</v>
      </c>
      <c r="E75" s="34">
        <v>10109064.779999999</v>
      </c>
      <c r="F75" s="34">
        <v>0</v>
      </c>
      <c r="G75" s="34">
        <v>1550565.65</v>
      </c>
      <c r="H75" s="35">
        <f t="shared" si="24"/>
        <v>8558499.129999999</v>
      </c>
      <c r="I75" s="93">
        <v>1220791514.5999999</v>
      </c>
      <c r="J75" s="39">
        <f t="shared" si="25"/>
        <v>4.215472169110843E-3</v>
      </c>
      <c r="K75" s="34">
        <v>1220349162.49</v>
      </c>
      <c r="L75" s="39">
        <f t="shared" si="26"/>
        <v>4.1052609706769333E-3</v>
      </c>
      <c r="M75" s="39">
        <f t="shared" si="27"/>
        <v>-3.623486112981663E-4</v>
      </c>
      <c r="N75" s="43">
        <f t="shared" si="32"/>
        <v>1.2705918090165492E-3</v>
      </c>
      <c r="O75" s="44">
        <f t="shared" si="33"/>
        <v>7.0131560647259681E-3</v>
      </c>
      <c r="P75" s="54">
        <f t="shared" si="34"/>
        <v>3.1553829605614325</v>
      </c>
      <c r="Q75" s="54">
        <f t="shared" si="35"/>
        <v>2.2129193146394388E-2</v>
      </c>
      <c r="R75" s="35">
        <v>3.589</v>
      </c>
      <c r="S75" s="34">
        <v>3.59</v>
      </c>
      <c r="T75" s="34">
        <v>779</v>
      </c>
      <c r="U75" s="34">
        <v>388001683</v>
      </c>
      <c r="V75" s="72">
        <v>386751522</v>
      </c>
    </row>
    <row r="76" spans="1:22" ht="14.25">
      <c r="A76" s="53">
        <v>66</v>
      </c>
      <c r="B76" s="42" t="s">
        <v>240</v>
      </c>
      <c r="C76" s="42" t="s">
        <v>43</v>
      </c>
      <c r="D76" s="34">
        <v>1638724777.6400001</v>
      </c>
      <c r="E76" s="34">
        <v>23429568</v>
      </c>
      <c r="F76" s="34">
        <v>0</v>
      </c>
      <c r="G76" s="34">
        <v>3438334</v>
      </c>
      <c r="H76" s="35">
        <f t="shared" ref="H76" si="37">(E76+F76)-G76</f>
        <v>19991234</v>
      </c>
      <c r="I76" s="93">
        <v>1346009660.27</v>
      </c>
      <c r="J76" s="39">
        <f t="shared" si="25"/>
        <v>4.6478585363379345E-3</v>
      </c>
      <c r="K76" s="34">
        <v>1699143289</v>
      </c>
      <c r="L76" s="39">
        <f t="shared" si="26"/>
        <v>5.7159269185604869E-3</v>
      </c>
      <c r="M76" s="39">
        <f t="shared" si="27"/>
        <v>0.26235593930222156</v>
      </c>
      <c r="N76" s="43">
        <f t="shared" si="32"/>
        <v>2.023569184693993E-3</v>
      </c>
      <c r="O76" s="44">
        <f t="shared" si="33"/>
        <v>1.1765478597020195E-2</v>
      </c>
      <c r="P76" s="54">
        <f t="shared" si="34"/>
        <v>99.374896824628621</v>
      </c>
      <c r="Q76" s="54">
        <f t="shared" si="35"/>
        <v>1.1691932216712582</v>
      </c>
      <c r="R76" s="34">
        <v>99.37</v>
      </c>
      <c r="S76" s="34">
        <v>99.37</v>
      </c>
      <c r="T76" s="34">
        <v>193</v>
      </c>
      <c r="U76" s="34">
        <v>14680583</v>
      </c>
      <c r="V76" s="34">
        <v>17098315</v>
      </c>
    </row>
    <row r="77" spans="1:22" ht="14.25">
      <c r="A77" s="53">
        <v>67</v>
      </c>
      <c r="B77" s="42" t="s">
        <v>122</v>
      </c>
      <c r="C77" s="42" t="s">
        <v>21</v>
      </c>
      <c r="D77" s="34">
        <v>1234158326.99</v>
      </c>
      <c r="E77" s="34">
        <v>13036353.210000001</v>
      </c>
      <c r="F77" s="34">
        <v>72413000</v>
      </c>
      <c r="G77" s="34">
        <v>1839098.29</v>
      </c>
      <c r="H77" s="35">
        <f t="shared" si="24"/>
        <v>83610254.920000002</v>
      </c>
      <c r="I77" s="93">
        <v>1209354193.1400001</v>
      </c>
      <c r="J77" s="39">
        <f t="shared" si="25"/>
        <v>4.1759783573279185E-3</v>
      </c>
      <c r="K77" s="34">
        <v>1217700648</v>
      </c>
      <c r="L77" s="39">
        <f t="shared" si="26"/>
        <v>4.0963513540686136E-3</v>
      </c>
      <c r="M77" s="39">
        <f t="shared" si="27"/>
        <v>6.9015801221385216E-3</v>
      </c>
      <c r="N77" s="43">
        <f t="shared" si="32"/>
        <v>1.5103041071880912E-3</v>
      </c>
      <c r="O77" s="44">
        <f t="shared" si="33"/>
        <v>6.8662404883601577E-2</v>
      </c>
      <c r="P77" s="54">
        <f t="shared" si="34"/>
        <v>329.81044269624147</v>
      </c>
      <c r="Q77" s="54">
        <f t="shared" si="35"/>
        <v>22.645578151249207</v>
      </c>
      <c r="R77" s="72">
        <v>329.81040000000002</v>
      </c>
      <c r="S77" s="72">
        <v>329.81040000000002</v>
      </c>
      <c r="T77" s="72">
        <v>104</v>
      </c>
      <c r="U77" s="72">
        <v>3550753.4846000001</v>
      </c>
      <c r="V77" s="72">
        <v>3692122.7782999999</v>
      </c>
    </row>
    <row r="78" spans="1:22" ht="14.25">
      <c r="A78" s="53">
        <v>68</v>
      </c>
      <c r="B78" s="40" t="s">
        <v>231</v>
      </c>
      <c r="C78" s="48" t="s">
        <v>232</v>
      </c>
      <c r="D78" s="34">
        <v>1267004520</v>
      </c>
      <c r="E78" s="34">
        <v>16733933</v>
      </c>
      <c r="F78" s="34">
        <v>0</v>
      </c>
      <c r="G78" s="34">
        <v>2954675</v>
      </c>
      <c r="H78" s="35">
        <f t="shared" si="24"/>
        <v>13779258</v>
      </c>
      <c r="I78" s="34"/>
      <c r="J78" s="39"/>
      <c r="K78" s="34">
        <v>1415891532</v>
      </c>
      <c r="L78" s="39">
        <f t="shared" si="26"/>
        <v>4.7630665252980002E-3</v>
      </c>
      <c r="M78" s="39" t="e">
        <f t="shared" si="27"/>
        <v>#DIV/0!</v>
      </c>
      <c r="N78" s="43">
        <f t="shared" si="32"/>
        <v>2.0867947390195989E-3</v>
      </c>
      <c r="O78" s="44">
        <f t="shared" si="33"/>
        <v>9.7318598837414332E-3</v>
      </c>
      <c r="P78" s="54">
        <f t="shared" si="34"/>
        <v>101.29722840712071</v>
      </c>
      <c r="Q78" s="54">
        <f t="shared" si="35"/>
        <v>0.98581043346945119</v>
      </c>
      <c r="R78" s="72">
        <v>101</v>
      </c>
      <c r="S78" s="72">
        <v>101</v>
      </c>
      <c r="T78" s="72">
        <v>287</v>
      </c>
      <c r="U78" s="72">
        <v>11512113</v>
      </c>
      <c r="V78" s="72">
        <v>13977594</v>
      </c>
    </row>
    <row r="79" spans="1:22" ht="14.25">
      <c r="A79" s="53">
        <v>69</v>
      </c>
      <c r="B79" s="46" t="s">
        <v>123</v>
      </c>
      <c r="C79" s="46" t="s">
        <v>41</v>
      </c>
      <c r="D79" s="34">
        <v>56926763.759999998</v>
      </c>
      <c r="E79" s="34">
        <v>1721054.91</v>
      </c>
      <c r="F79" s="34">
        <v>0</v>
      </c>
      <c r="G79" s="34">
        <v>155814.04999999999</v>
      </c>
      <c r="H79" s="35">
        <f t="shared" si="24"/>
        <v>1565240.8599999999</v>
      </c>
      <c r="I79" s="93">
        <v>55061531.049999997</v>
      </c>
      <c r="J79" s="39">
        <f t="shared" ref="J79:J88" si="38">(I79/$I$89)</f>
        <v>1.9013103298474348E-4</v>
      </c>
      <c r="K79" s="34">
        <v>57006510.109999999</v>
      </c>
      <c r="L79" s="39">
        <f t="shared" si="26"/>
        <v>1.9177019841729165E-4</v>
      </c>
      <c r="M79" s="39">
        <f t="shared" si="27"/>
        <v>3.5323737333671591E-2</v>
      </c>
      <c r="N79" s="43">
        <f t="shared" si="32"/>
        <v>2.7332676513496536E-3</v>
      </c>
      <c r="O79" s="44">
        <f t="shared" si="33"/>
        <v>2.7457230007234341E-2</v>
      </c>
      <c r="P79" s="54">
        <f t="shared" si="34"/>
        <v>12.437226067425476</v>
      </c>
      <c r="Q79" s="54">
        <f t="shared" si="35"/>
        <v>0.34149177678527198</v>
      </c>
      <c r="R79" s="34">
        <v>12.23</v>
      </c>
      <c r="S79" s="34">
        <v>12.49</v>
      </c>
      <c r="T79" s="34">
        <v>55</v>
      </c>
      <c r="U79" s="34">
        <v>4591843.95</v>
      </c>
      <c r="V79" s="34">
        <v>4583538.95</v>
      </c>
    </row>
    <row r="80" spans="1:22" ht="14.25">
      <c r="A80" s="53">
        <v>70</v>
      </c>
      <c r="B80" s="42" t="s">
        <v>124</v>
      </c>
      <c r="C80" s="42" t="s">
        <v>125</v>
      </c>
      <c r="D80" s="34">
        <v>6869449158.3999996</v>
      </c>
      <c r="E80" s="34">
        <v>72645367.019999996</v>
      </c>
      <c r="F80" s="34">
        <v>0</v>
      </c>
      <c r="G80" s="34">
        <v>9964753.2899999991</v>
      </c>
      <c r="H80" s="35">
        <f t="shared" si="24"/>
        <v>62680613.729999997</v>
      </c>
      <c r="I80" s="93">
        <v>6886768393</v>
      </c>
      <c r="J80" s="39">
        <f t="shared" si="38"/>
        <v>2.3780457308728829E-2</v>
      </c>
      <c r="K80" s="34">
        <v>6996473515</v>
      </c>
      <c r="L80" s="39">
        <f t="shared" si="26"/>
        <v>2.3536173528319781E-2</v>
      </c>
      <c r="M80" s="39">
        <f t="shared" si="27"/>
        <v>1.5929840491152408E-2</v>
      </c>
      <c r="N80" s="43">
        <f t="shared" si="32"/>
        <v>1.4242536999012707E-3</v>
      </c>
      <c r="O80" s="44">
        <f t="shared" si="33"/>
        <v>8.9588867299528387E-3</v>
      </c>
      <c r="P80" s="54">
        <f t="shared" si="34"/>
        <v>1.01</v>
      </c>
      <c r="Q80" s="54">
        <f t="shared" si="35"/>
        <v>9.0484755972523676E-3</v>
      </c>
      <c r="R80" s="34">
        <v>1.01</v>
      </c>
      <c r="S80" s="34">
        <v>1.01</v>
      </c>
      <c r="T80" s="35">
        <v>3868</v>
      </c>
      <c r="U80" s="34">
        <v>6204295850</v>
      </c>
      <c r="V80" s="34">
        <v>6927201500</v>
      </c>
    </row>
    <row r="81" spans="1:22" ht="14.25">
      <c r="A81" s="53">
        <v>71</v>
      </c>
      <c r="B81" s="46" t="s">
        <v>126</v>
      </c>
      <c r="C81" s="42" t="s">
        <v>45</v>
      </c>
      <c r="D81" s="72">
        <v>22716338806.549999</v>
      </c>
      <c r="E81" s="72">
        <v>224066474</v>
      </c>
      <c r="F81" s="34">
        <v>0</v>
      </c>
      <c r="G81" s="72">
        <v>25765055.18</v>
      </c>
      <c r="H81" s="35">
        <f t="shared" si="24"/>
        <v>198301418.81999999</v>
      </c>
      <c r="I81" s="92">
        <v>22147312426.779999</v>
      </c>
      <c r="J81" s="39">
        <f t="shared" si="38"/>
        <v>7.6476104264440486E-2</v>
      </c>
      <c r="K81" s="72">
        <v>22675738886.790001</v>
      </c>
      <c r="L81" s="39">
        <f t="shared" si="26"/>
        <v>7.6281304313971704E-2</v>
      </c>
      <c r="M81" s="39">
        <f t="shared" si="27"/>
        <v>2.3859620067085051E-2</v>
      </c>
      <c r="N81" s="43">
        <f t="shared" si="32"/>
        <v>1.1362388369628702E-3</v>
      </c>
      <c r="O81" s="44">
        <f t="shared" si="33"/>
        <v>8.7450918274386488E-3</v>
      </c>
      <c r="P81" s="54">
        <f t="shared" si="34"/>
        <v>5052.8849655443473</v>
      </c>
      <c r="Q81" s="54">
        <f t="shared" si="35"/>
        <v>44.187943017169488</v>
      </c>
      <c r="R81" s="72">
        <v>5052.88</v>
      </c>
      <c r="S81" s="72">
        <v>5052.88</v>
      </c>
      <c r="T81" s="72">
        <v>426</v>
      </c>
      <c r="U81" s="72">
        <v>4407165.05</v>
      </c>
      <c r="V81" s="72">
        <v>4487681.5999999996</v>
      </c>
    </row>
    <row r="82" spans="1:22" ht="14.25">
      <c r="A82" s="53">
        <v>72</v>
      </c>
      <c r="B82" s="42" t="s">
        <v>127</v>
      </c>
      <c r="C82" s="42" t="s">
        <v>45</v>
      </c>
      <c r="D82" s="72">
        <v>35840234298.629997</v>
      </c>
      <c r="E82" s="72">
        <v>264392467.31999999</v>
      </c>
      <c r="F82" s="34">
        <v>0</v>
      </c>
      <c r="G82" s="72">
        <v>60017398.240000002</v>
      </c>
      <c r="H82" s="35">
        <f t="shared" si="24"/>
        <v>204375069.07999998</v>
      </c>
      <c r="I82" s="92">
        <v>35857877005.139999</v>
      </c>
      <c r="J82" s="39">
        <f t="shared" si="38"/>
        <v>0.12381957177028312</v>
      </c>
      <c r="K82" s="72">
        <v>35754520777.139999</v>
      </c>
      <c r="L82" s="39">
        <f t="shared" si="26"/>
        <v>0.12027839505552421</v>
      </c>
      <c r="M82" s="39">
        <f t="shared" si="27"/>
        <v>-2.882385590903347E-3</v>
      </c>
      <c r="N82" s="43">
        <f t="shared" si="32"/>
        <v>1.6785960749996322E-3</v>
      </c>
      <c r="O82" s="44">
        <f t="shared" si="33"/>
        <v>5.7160623226886927E-3</v>
      </c>
      <c r="P82" s="54">
        <f t="shared" si="34"/>
        <v>256.80187396143197</v>
      </c>
      <c r="Q82" s="54">
        <f t="shared" si="35"/>
        <v>1.4678955161467915</v>
      </c>
      <c r="R82" s="72">
        <v>256.8</v>
      </c>
      <c r="S82" s="72">
        <v>256.8</v>
      </c>
      <c r="T82" s="72">
        <v>6672</v>
      </c>
      <c r="U82" s="72">
        <v>140173899.68000001</v>
      </c>
      <c r="V82" s="72">
        <v>139229983.90000001</v>
      </c>
    </row>
    <row r="83" spans="1:22" ht="14.25">
      <c r="A83" s="53">
        <v>73</v>
      </c>
      <c r="B83" s="46" t="s">
        <v>128</v>
      </c>
      <c r="C83" s="42" t="s">
        <v>45</v>
      </c>
      <c r="D83" s="72">
        <v>320080578.36000001</v>
      </c>
      <c r="E83" s="72">
        <v>5282687.0999999996</v>
      </c>
      <c r="F83" s="34">
        <v>0</v>
      </c>
      <c r="G83" s="72">
        <v>682348.89</v>
      </c>
      <c r="H83" s="35">
        <f t="shared" si="24"/>
        <v>4600338.21</v>
      </c>
      <c r="I83" s="92">
        <v>299591082.00999999</v>
      </c>
      <c r="J83" s="39">
        <f t="shared" si="38"/>
        <v>1.0345074103343208E-3</v>
      </c>
      <c r="K83" s="72">
        <v>318629451.77999997</v>
      </c>
      <c r="L83" s="39">
        <f t="shared" si="26"/>
        <v>1.0718711436910912E-3</v>
      </c>
      <c r="M83" s="39">
        <f t="shared" si="27"/>
        <v>6.3547852099831534E-2</v>
      </c>
      <c r="N83" s="43">
        <f t="shared" si="32"/>
        <v>2.141512299594743E-3</v>
      </c>
      <c r="O83" s="44">
        <f t="shared" si="33"/>
        <v>1.4437893874218309E-2</v>
      </c>
      <c r="P83" s="54">
        <f t="shared" si="34"/>
        <v>5651.7962444394107</v>
      </c>
      <c r="Q83" s="54">
        <f t="shared" si="35"/>
        <v>81.600034375921808</v>
      </c>
      <c r="R83" s="72">
        <v>5634.94</v>
      </c>
      <c r="S83" s="72">
        <v>5663.35</v>
      </c>
      <c r="T83" s="34">
        <v>16</v>
      </c>
      <c r="U83" s="72">
        <v>56376.67</v>
      </c>
      <c r="V83" s="72">
        <v>56376.67</v>
      </c>
    </row>
    <row r="84" spans="1:22" ht="14.25">
      <c r="A84" s="53">
        <v>74</v>
      </c>
      <c r="B84" s="42" t="s">
        <v>129</v>
      </c>
      <c r="C84" s="42" t="s">
        <v>45</v>
      </c>
      <c r="D84" s="72">
        <v>17171232592</v>
      </c>
      <c r="E84" s="72">
        <v>178342318.22999999</v>
      </c>
      <c r="F84" s="34">
        <v>0</v>
      </c>
      <c r="G84" s="72">
        <v>44270974.159999996</v>
      </c>
      <c r="H84" s="35">
        <f t="shared" si="24"/>
        <v>134071344.06999999</v>
      </c>
      <c r="I84" s="92">
        <v>18240738845.279999</v>
      </c>
      <c r="J84" s="39">
        <f t="shared" si="38"/>
        <v>6.2986452663452097E-2</v>
      </c>
      <c r="K84" s="72">
        <v>17547877949.709999</v>
      </c>
      <c r="L84" s="39">
        <f t="shared" si="26"/>
        <v>5.9031153279246115E-2</v>
      </c>
      <c r="M84" s="39">
        <f t="shared" si="27"/>
        <v>-3.7984256090004019E-2</v>
      </c>
      <c r="N84" s="43">
        <f t="shared" si="32"/>
        <v>2.5228676816008758E-3</v>
      </c>
      <c r="O84" s="44">
        <f t="shared" si="33"/>
        <v>7.6403166499237982E-3</v>
      </c>
      <c r="P84" s="54">
        <f t="shared" si="34"/>
        <v>126.97968418176964</v>
      </c>
      <c r="Q84" s="54">
        <f t="shared" si="35"/>
        <v>0.97016499525604016</v>
      </c>
      <c r="R84" s="72">
        <v>126.98</v>
      </c>
      <c r="S84" s="72">
        <v>126.98</v>
      </c>
      <c r="T84" s="34">
        <v>4275</v>
      </c>
      <c r="U84" s="72">
        <v>144352044.43000001</v>
      </c>
      <c r="V84" s="72">
        <v>138194373.87</v>
      </c>
    </row>
    <row r="85" spans="1:22" ht="14.25">
      <c r="A85" s="53">
        <v>75</v>
      </c>
      <c r="B85" s="42" t="s">
        <v>130</v>
      </c>
      <c r="C85" s="42" t="s">
        <v>45</v>
      </c>
      <c r="D85" s="72">
        <v>13805931704.82</v>
      </c>
      <c r="E85" s="72">
        <v>105963889.18000001</v>
      </c>
      <c r="F85" s="34">
        <v>0</v>
      </c>
      <c r="G85" s="72">
        <v>14991826.6</v>
      </c>
      <c r="H85" s="35">
        <f t="shared" si="24"/>
        <v>90972062.580000013</v>
      </c>
      <c r="I85" s="92">
        <v>13876967556.32</v>
      </c>
      <c r="J85" s="39">
        <f t="shared" si="38"/>
        <v>4.791806776645912E-2</v>
      </c>
      <c r="K85" s="72">
        <v>13920269094.959999</v>
      </c>
      <c r="L85" s="39">
        <f t="shared" si="26"/>
        <v>4.6827858102723836E-2</v>
      </c>
      <c r="M85" s="39">
        <f t="shared" si="27"/>
        <v>3.1203891242275431E-3</v>
      </c>
      <c r="N85" s="43">
        <f t="shared" si="32"/>
        <v>1.0769782177147689E-3</v>
      </c>
      <c r="O85" s="44">
        <f t="shared" si="33"/>
        <v>6.5352229873873301E-3</v>
      </c>
      <c r="P85" s="54">
        <f t="shared" si="34"/>
        <v>353.67570901695984</v>
      </c>
      <c r="Q85" s="54">
        <f t="shared" si="35"/>
        <v>2.3113496236481486</v>
      </c>
      <c r="R85" s="34">
        <v>353.54</v>
      </c>
      <c r="S85" s="34">
        <v>353.77</v>
      </c>
      <c r="T85" s="34">
        <v>10247</v>
      </c>
      <c r="U85" s="34">
        <v>39122627.939999998</v>
      </c>
      <c r="V85" s="34">
        <v>39358849.759999998</v>
      </c>
    </row>
    <row r="86" spans="1:22" ht="14.25">
      <c r="A86" s="53">
        <v>76</v>
      </c>
      <c r="B86" s="42" t="s">
        <v>131</v>
      </c>
      <c r="C86" s="42" t="s">
        <v>49</v>
      </c>
      <c r="D86" s="62">
        <v>94489081988</v>
      </c>
      <c r="E86" s="62">
        <v>987046451</v>
      </c>
      <c r="F86" s="34">
        <v>0</v>
      </c>
      <c r="G86" s="62">
        <v>147894507</v>
      </c>
      <c r="H86" s="35">
        <f t="shared" si="24"/>
        <v>839151944</v>
      </c>
      <c r="I86" s="94">
        <v>98232030708</v>
      </c>
      <c r="J86" s="39">
        <f t="shared" si="38"/>
        <v>0.33920156440511984</v>
      </c>
      <c r="K86" s="62">
        <v>104758345478</v>
      </c>
      <c r="L86" s="39">
        <f t="shared" si="26"/>
        <v>0.35240762255781677</v>
      </c>
      <c r="M86" s="39">
        <f t="shared" si="27"/>
        <v>6.643774665923198E-2</v>
      </c>
      <c r="N86" s="43">
        <f t="shared" si="32"/>
        <v>1.4117682588931199E-3</v>
      </c>
      <c r="O86" s="44">
        <f t="shared" si="33"/>
        <v>8.0103588899867444E-3</v>
      </c>
      <c r="P86" s="54">
        <f t="shared" si="34"/>
        <v>2.1284771954366488</v>
      </c>
      <c r="Q86" s="54">
        <f t="shared" si="35"/>
        <v>1.7049866224600013E-2</v>
      </c>
      <c r="R86" s="72">
        <v>2.13</v>
      </c>
      <c r="S86" s="72">
        <v>2.13</v>
      </c>
      <c r="T86" s="72">
        <v>6122</v>
      </c>
      <c r="U86" s="73">
        <v>49291536080</v>
      </c>
      <c r="V86" s="73">
        <v>49217508979</v>
      </c>
    </row>
    <row r="87" spans="1:22" ht="14.25">
      <c r="A87" s="53">
        <v>77</v>
      </c>
      <c r="B87" s="40" t="s">
        <v>223</v>
      </c>
      <c r="C87" s="40" t="s">
        <v>224</v>
      </c>
      <c r="D87" s="34">
        <v>79218666.569999993</v>
      </c>
      <c r="E87" s="34">
        <v>962574.86</v>
      </c>
      <c r="F87" s="34">
        <v>0</v>
      </c>
      <c r="G87" s="34">
        <v>417752.57</v>
      </c>
      <c r="H87" s="35">
        <f t="shared" si="24"/>
        <v>544822.29</v>
      </c>
      <c r="I87" s="99">
        <v>80080198.969999999</v>
      </c>
      <c r="J87" s="39">
        <f t="shared" si="38"/>
        <v>2.7652211374151194E-4</v>
      </c>
      <c r="K87" s="34">
        <v>83114325.25</v>
      </c>
      <c r="L87" s="39">
        <f t="shared" si="26"/>
        <v>2.7959702521266678E-4</v>
      </c>
      <c r="M87" s="39">
        <f t="shared" si="27"/>
        <v>3.7888595670655854E-2</v>
      </c>
      <c r="N87" s="43">
        <f t="shared" si="32"/>
        <v>5.0262402870195951E-3</v>
      </c>
      <c r="O87" s="44">
        <f t="shared" si="33"/>
        <v>6.5550949052552172E-3</v>
      </c>
      <c r="P87" s="54">
        <f t="shared" si="34"/>
        <v>102.20888738177601</v>
      </c>
      <c r="Q87" s="54">
        <f t="shared" si="35"/>
        <v>0.66998895694808414</v>
      </c>
      <c r="R87" s="34">
        <v>102.2089</v>
      </c>
      <c r="S87" s="34">
        <v>102.2089</v>
      </c>
      <c r="T87" s="34">
        <v>58</v>
      </c>
      <c r="U87" s="72">
        <v>803781.79</v>
      </c>
      <c r="V87" s="34">
        <v>813181</v>
      </c>
    </row>
    <row r="88" spans="1:22" ht="14.25">
      <c r="A88" s="53">
        <v>78</v>
      </c>
      <c r="B88" s="46" t="s">
        <v>132</v>
      </c>
      <c r="C88" s="46" t="s">
        <v>97</v>
      </c>
      <c r="D88" s="62">
        <v>2553572584.3400002</v>
      </c>
      <c r="E88" s="62">
        <v>14546969.4</v>
      </c>
      <c r="F88" s="34">
        <v>0</v>
      </c>
      <c r="G88" s="72">
        <v>4547458.97</v>
      </c>
      <c r="H88" s="35">
        <f t="shared" si="24"/>
        <v>9999510.4299999997</v>
      </c>
      <c r="I88" s="94">
        <v>2619932606.8899999</v>
      </c>
      <c r="J88" s="39">
        <f t="shared" si="38"/>
        <v>9.0467969814727392E-3</v>
      </c>
      <c r="K88" s="62">
        <v>2561370848.27</v>
      </c>
      <c r="L88" s="39">
        <f t="shared" si="26"/>
        <v>8.6164649413758773E-3</v>
      </c>
      <c r="M88" s="39">
        <f t="shared" si="27"/>
        <v>-2.2352391227923922E-2</v>
      </c>
      <c r="N88" s="43">
        <f t="shared" si="32"/>
        <v>1.7754004552177373E-3</v>
      </c>
      <c r="O88" s="44">
        <f t="shared" si="33"/>
        <v>3.9039682351167011E-3</v>
      </c>
      <c r="P88" s="54">
        <f t="shared" si="34"/>
        <v>25.546916345820549</v>
      </c>
      <c r="Q88" s="54">
        <f t="shared" si="35"/>
        <v>9.9734349919267051E-2</v>
      </c>
      <c r="R88" s="34">
        <v>25.546900000000001</v>
      </c>
      <c r="S88" s="34">
        <v>25.546900000000001</v>
      </c>
      <c r="T88" s="62">
        <v>1320</v>
      </c>
      <c r="U88" s="62">
        <v>103421290.18000001</v>
      </c>
      <c r="V88" s="72">
        <v>100261448.92</v>
      </c>
    </row>
    <row r="89" spans="1:22" ht="14.25">
      <c r="A89" s="119" t="s">
        <v>50</v>
      </c>
      <c r="B89" s="119"/>
      <c r="C89" s="119"/>
      <c r="D89" s="119"/>
      <c r="E89" s="119"/>
      <c r="F89" s="119"/>
      <c r="G89" s="119"/>
      <c r="H89" s="119"/>
      <c r="I89" s="51">
        <f>SUM(I57:I88)</f>
        <v>289597811496.76001</v>
      </c>
      <c r="J89" s="85">
        <f>(I89/$I$181)</f>
        <v>0.13898966567582977</v>
      </c>
      <c r="K89" s="52">
        <f>SUM(K57:K88)</f>
        <v>297264697958.71997</v>
      </c>
      <c r="L89" s="85">
        <f>(K89/$K$181)</f>
        <v>0.11238134401255412</v>
      </c>
      <c r="M89" s="39">
        <f t="shared" si="27"/>
        <v>2.6474255528155941E-2</v>
      </c>
      <c r="N89" s="43"/>
      <c r="O89" s="43"/>
      <c r="P89" s="57"/>
      <c r="Q89" s="57"/>
      <c r="R89" s="52"/>
      <c r="S89" s="52"/>
      <c r="T89" s="52">
        <f>SUM(T57:T88)</f>
        <v>49207</v>
      </c>
      <c r="U89" s="52"/>
      <c r="V89" s="34"/>
    </row>
    <row r="90" spans="1:22" ht="6.95" customHeight="1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</row>
    <row r="91" spans="1:22">
      <c r="A91" s="122" t="s">
        <v>133</v>
      </c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</row>
    <row r="92" spans="1:22" ht="13.5">
      <c r="A92" s="126" t="s">
        <v>134</v>
      </c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</row>
    <row r="93" spans="1:22" ht="14.25">
      <c r="A93" s="53">
        <v>79</v>
      </c>
      <c r="B93" s="42" t="s">
        <v>135</v>
      </c>
      <c r="C93" s="42" t="s">
        <v>21</v>
      </c>
      <c r="D93" s="72">
        <v>2352661712.3499999</v>
      </c>
      <c r="E93" s="72">
        <v>15872135.23</v>
      </c>
      <c r="F93" s="34">
        <v>137758632.08000001</v>
      </c>
      <c r="G93" s="72">
        <v>4824221.1100000003</v>
      </c>
      <c r="H93" s="35">
        <f t="shared" ref="H93:H105" si="39">(E93+F93)-G93</f>
        <v>148806546.19999999</v>
      </c>
      <c r="I93" s="91">
        <v>1587040323.0799999</v>
      </c>
      <c r="J93" s="39">
        <f t="shared" ref="J93:J105" si="40">(I93/$I$118)</f>
        <v>2.2538456106007301E-3</v>
      </c>
      <c r="K93" s="36">
        <v>2356864928.8200002</v>
      </c>
      <c r="L93" s="39">
        <f t="shared" ref="L93:L105" si="41">(K93/$K$118)</f>
        <v>2.0183267150818227E-3</v>
      </c>
      <c r="M93" s="39">
        <f t="shared" ref="M93:M105" si="42">((K93-I93)/I93)</f>
        <v>0.48506934231260534</v>
      </c>
      <c r="N93" s="43">
        <f t="shared" ref="N93" si="43">(G93/K93)</f>
        <v>2.0468806044032905E-3</v>
      </c>
      <c r="O93" s="44">
        <f t="shared" ref="O93" si="44">H93/K93</f>
        <v>6.3137494380936895E-2</v>
      </c>
      <c r="P93" s="54">
        <f t="shared" ref="P93" si="45">K93/V93</f>
        <v>146971.67792732542</v>
      </c>
      <c r="Q93" s="54">
        <f t="shared" ref="Q93" si="46">H93/V93</f>
        <v>9279.4234892933746</v>
      </c>
      <c r="R93" s="34">
        <f>108.3157*1357.383</f>
        <v>147025.88981310002</v>
      </c>
      <c r="S93" s="34">
        <f>108.3157*1357.383</f>
        <v>147025.88981310002</v>
      </c>
      <c r="T93" s="34">
        <v>235</v>
      </c>
      <c r="U93" s="34">
        <v>16008.4622</v>
      </c>
      <c r="V93" s="34">
        <v>16036.1844</v>
      </c>
    </row>
    <row r="94" spans="1:22" ht="12.95" customHeight="1">
      <c r="A94" s="53">
        <v>80</v>
      </c>
      <c r="B94" s="42" t="s">
        <v>136</v>
      </c>
      <c r="C94" s="46" t="s">
        <v>25</v>
      </c>
      <c r="D94" s="34">
        <f>8882708.12*1357.383</f>
        <v>12057236996.049959</v>
      </c>
      <c r="E94" s="36">
        <f>39277.54*1357.383</f>
        <v>53314665.077820003</v>
      </c>
      <c r="F94" s="34">
        <v>0</v>
      </c>
      <c r="G94" s="36">
        <f>18869.73*1357.383</f>
        <v>25613450.716589998</v>
      </c>
      <c r="H94" s="35">
        <f t="shared" si="39"/>
        <v>27701214.361230005</v>
      </c>
      <c r="I94" s="91">
        <v>9643614142.4099998</v>
      </c>
      <c r="J94" s="39">
        <f t="shared" si="40"/>
        <v>1.369544118640662E-2</v>
      </c>
      <c r="K94" s="36">
        <f>10876764*1357.383</f>
        <v>14763934548.612</v>
      </c>
      <c r="L94" s="39">
        <f t="shared" si="41"/>
        <v>1.2643254670560239E-2</v>
      </c>
      <c r="M94" s="39">
        <f t="shared" si="42"/>
        <v>0.53095450840201275</v>
      </c>
      <c r="N94" s="43">
        <f t="shared" ref="N94:N105" si="47">(G94/K94)</f>
        <v>1.7348661789480767E-3</v>
      </c>
      <c r="O94" s="44">
        <f t="shared" ref="O94:O105" si="48">H94/K94</f>
        <v>1.8762758849966777E-3</v>
      </c>
      <c r="P94" s="54">
        <f t="shared" ref="P94:P105" si="49">K94/V94</f>
        <v>1508.0892686380189</v>
      </c>
      <c r="Q94" s="54">
        <f t="shared" ref="Q94:Q105" si="50">H94/V94</f>
        <v>2.8295915271677914</v>
      </c>
      <c r="R94" s="34">
        <f>1.111*1357.383</f>
        <v>1508.0525130000001</v>
      </c>
      <c r="S94" s="34">
        <f>1.111*1357.383</f>
        <v>1508.0525130000001</v>
      </c>
      <c r="T94" s="34">
        <v>281</v>
      </c>
      <c r="U94" s="34">
        <v>9122110</v>
      </c>
      <c r="V94" s="34">
        <v>9789828</v>
      </c>
    </row>
    <row r="95" spans="1:22" ht="12.95" customHeight="1">
      <c r="A95" s="53">
        <v>81</v>
      </c>
      <c r="B95" s="40" t="s">
        <v>238</v>
      </c>
      <c r="C95" s="48" t="s">
        <v>239</v>
      </c>
      <c r="D95" s="34">
        <f>240346.71*1357.383</f>
        <v>326242538.25993001</v>
      </c>
      <c r="E95" s="36">
        <f>4532.23*1357.383</f>
        <v>6151971.9540899992</v>
      </c>
      <c r="F95" s="34">
        <v>0</v>
      </c>
      <c r="G95" s="36">
        <f>622.44*1357.383</f>
        <v>844889.47452000005</v>
      </c>
      <c r="H95" s="35">
        <f t="shared" si="39"/>
        <v>5307082.4795699995</v>
      </c>
      <c r="I95" s="36">
        <v>0</v>
      </c>
      <c r="J95" s="39">
        <f t="shared" si="40"/>
        <v>0</v>
      </c>
      <c r="K95" s="36">
        <f>239724.27*1357.383</f>
        <v>325397648.78540999</v>
      </c>
      <c r="L95" s="39">
        <f t="shared" si="41"/>
        <v>2.7865778795275358E-4</v>
      </c>
      <c r="M95" s="39" t="e">
        <f t="shared" si="42"/>
        <v>#DIV/0!</v>
      </c>
      <c r="N95" s="43">
        <f t="shared" si="47"/>
        <v>2.5964830344461995E-3</v>
      </c>
      <c r="O95" s="44">
        <f t="shared" si="48"/>
        <v>1.6309529277114911E-2</v>
      </c>
      <c r="P95" s="54">
        <f t="shared" si="49"/>
        <v>1626.98824392705</v>
      </c>
      <c r="Q95" s="54">
        <f t="shared" si="50"/>
        <v>26.535412397849999</v>
      </c>
      <c r="R95" s="34">
        <v>1357.383</v>
      </c>
      <c r="S95" s="34">
        <v>1357.383</v>
      </c>
      <c r="T95" s="34">
        <v>3</v>
      </c>
      <c r="U95" s="34">
        <f>V95-24284.45</f>
        <v>175715.55</v>
      </c>
      <c r="V95" s="34">
        <v>200000</v>
      </c>
    </row>
    <row r="96" spans="1:22" ht="12.95" customHeight="1">
      <c r="A96" s="53">
        <v>82</v>
      </c>
      <c r="B96" s="40" t="s">
        <v>248</v>
      </c>
      <c r="C96" s="48" t="s">
        <v>47</v>
      </c>
      <c r="D96" s="34">
        <f>(232250.05+162422.65)*1357.383</f>
        <v>535722013.54409993</v>
      </c>
      <c r="E96" s="36">
        <f>2726.24*1357.383</f>
        <v>3700551.8299199999</v>
      </c>
      <c r="F96" s="34"/>
      <c r="G96" s="36">
        <f>627.27*1357.383</f>
        <v>851445.63441000006</v>
      </c>
      <c r="H96" s="35">
        <f t="shared" si="39"/>
        <v>2849106.19551</v>
      </c>
      <c r="I96" s="36">
        <v>0</v>
      </c>
      <c r="J96" s="39">
        <f t="shared" si="40"/>
        <v>0</v>
      </c>
      <c r="K96" s="36">
        <f>471736.97*1357.383</f>
        <v>640327743.54951</v>
      </c>
      <c r="L96" s="39">
        <f t="shared" si="41"/>
        <v>5.483515730623957E-4</v>
      </c>
      <c r="M96" s="39" t="e">
        <f t="shared" si="42"/>
        <v>#DIV/0!</v>
      </c>
      <c r="N96" s="43"/>
      <c r="O96" s="44"/>
      <c r="P96" s="54"/>
      <c r="Q96" s="54"/>
      <c r="R96" s="34">
        <f>1.1058*1357.383</f>
        <v>1500.9941213999998</v>
      </c>
      <c r="S96" s="34">
        <f>1.1058*1357.383</f>
        <v>1500.9941213999998</v>
      </c>
      <c r="T96" s="34">
        <v>25</v>
      </c>
      <c r="U96" s="34">
        <v>361561.28</v>
      </c>
      <c r="V96" s="34">
        <v>426591.43</v>
      </c>
    </row>
    <row r="97" spans="1:81" ht="12.95" customHeight="1">
      <c r="A97" s="53">
        <v>83</v>
      </c>
      <c r="B97" s="40" t="s">
        <v>245</v>
      </c>
      <c r="C97" s="48" t="s">
        <v>174</v>
      </c>
      <c r="D97" s="34">
        <f>331507.02*1357.383</f>
        <v>449981993.32866001</v>
      </c>
      <c r="E97" s="36">
        <f>2125.42*1357.383</f>
        <v>2885008.9758600001</v>
      </c>
      <c r="F97" s="34">
        <v>0</v>
      </c>
      <c r="G97" s="36">
        <f>710.45*1357.383</f>
        <v>964352.75235000008</v>
      </c>
      <c r="H97" s="35">
        <f t="shared" si="39"/>
        <v>1920656.2235099999</v>
      </c>
      <c r="I97" s="92">
        <f>340366.57*825.494</f>
        <v>280970561.33557999</v>
      </c>
      <c r="J97" s="39">
        <f t="shared" si="40"/>
        <v>3.9902216545149394E-4</v>
      </c>
      <c r="K97" s="36">
        <f>372901.74*1357.383</f>
        <v>506170482.54641998</v>
      </c>
      <c r="L97" s="39">
        <f t="shared" si="41"/>
        <v>4.33464554891054E-4</v>
      </c>
      <c r="M97" s="39">
        <f t="shared" si="42"/>
        <v>0.80150717619797263</v>
      </c>
      <c r="N97" s="43">
        <f t="shared" si="47"/>
        <v>1.905193577267835E-3</v>
      </c>
      <c r="O97" s="44">
        <f t="shared" si="48"/>
        <v>3.794484842039085E-3</v>
      </c>
      <c r="P97" s="54">
        <f t="shared" si="49"/>
        <v>142182.7198164101</v>
      </c>
      <c r="Q97" s="54">
        <f t="shared" si="50"/>
        <v>539.51017514325838</v>
      </c>
      <c r="R97" s="34">
        <f>103.83*1357.383</f>
        <v>140937.07689</v>
      </c>
      <c r="S97" s="34">
        <f>104.75*1357.383</f>
        <v>142185.86925000002</v>
      </c>
      <c r="T97" s="34">
        <v>33</v>
      </c>
      <c r="U97" s="34">
        <v>3292.63</v>
      </c>
      <c r="V97" s="34">
        <v>3560</v>
      </c>
    </row>
    <row r="98" spans="1:81" ht="15" customHeight="1">
      <c r="A98" s="53">
        <v>84</v>
      </c>
      <c r="B98" s="42" t="s">
        <v>137</v>
      </c>
      <c r="C98" s="46" t="s">
        <v>71</v>
      </c>
      <c r="D98" s="72">
        <v>3632386254.62046</v>
      </c>
      <c r="E98" s="36">
        <f>18288.19*1357.383</f>
        <v>24824078.206769999</v>
      </c>
      <c r="F98" s="34">
        <v>0</v>
      </c>
      <c r="G98" s="36">
        <f>6943.03*1357.383</f>
        <v>9424350.8904899992</v>
      </c>
      <c r="H98" s="35">
        <f t="shared" si="39"/>
        <v>15399727.31628</v>
      </c>
      <c r="I98" s="92">
        <v>2411559934.23</v>
      </c>
      <c r="J98" s="39">
        <f t="shared" si="40"/>
        <v>3.4247924853708254E-3</v>
      </c>
      <c r="K98" s="72">
        <f>2695625.2*1357.383</f>
        <v>3658995820.8516002</v>
      </c>
      <c r="L98" s="39">
        <f t="shared" si="41"/>
        <v>3.1334205559649803E-3</v>
      </c>
      <c r="M98" s="39">
        <f t="shared" si="42"/>
        <v>0.51727343323105124</v>
      </c>
      <c r="N98" s="43">
        <f t="shared" si="47"/>
        <v>2.5756659345668675E-3</v>
      </c>
      <c r="O98" s="44">
        <f t="shared" si="48"/>
        <v>4.2087305015548896E-3</v>
      </c>
      <c r="P98" s="54">
        <f t="shared" si="49"/>
        <v>146666.24795930058</v>
      </c>
      <c r="Q98" s="54">
        <f t="shared" si="50"/>
        <v>617.2787113349209</v>
      </c>
      <c r="R98" s="36">
        <f>107.97*1357.383</f>
        <v>146556.64251000001</v>
      </c>
      <c r="S98" s="36">
        <f>107.97*1357.383</f>
        <v>146556.64251000001</v>
      </c>
      <c r="T98" s="34">
        <v>46</v>
      </c>
      <c r="U98" s="34">
        <v>24903.75</v>
      </c>
      <c r="V98" s="34">
        <v>24947.77</v>
      </c>
    </row>
    <row r="99" spans="1:81" ht="15" customHeight="1">
      <c r="A99" s="53">
        <v>85</v>
      </c>
      <c r="B99" s="42" t="s">
        <v>138</v>
      </c>
      <c r="C99" s="42" t="s">
        <v>139</v>
      </c>
      <c r="D99" s="72">
        <v>46974697857.849998</v>
      </c>
      <c r="E99" s="72">
        <v>294081723.02999997</v>
      </c>
      <c r="F99" s="34">
        <v>0</v>
      </c>
      <c r="G99" s="72">
        <v>75474100.090000004</v>
      </c>
      <c r="H99" s="35">
        <f t="shared" si="39"/>
        <v>218607622.93999997</v>
      </c>
      <c r="I99" s="94">
        <v>32334007866.580002</v>
      </c>
      <c r="J99" s="39">
        <f t="shared" si="40"/>
        <v>4.5919351035636706E-2</v>
      </c>
      <c r="K99" s="62">
        <v>46630256206.900002</v>
      </c>
      <c r="L99" s="39">
        <f t="shared" si="41"/>
        <v>3.9932323096944042E-2</v>
      </c>
      <c r="M99" s="39">
        <f t="shared" si="42"/>
        <v>0.44214278660754613</v>
      </c>
      <c r="N99" s="43">
        <f t="shared" si="47"/>
        <v>1.6185649882582438E-3</v>
      </c>
      <c r="O99" s="44">
        <f t="shared" si="48"/>
        <v>4.6881068371151698E-3</v>
      </c>
      <c r="P99" s="54">
        <f t="shared" si="49"/>
        <v>181530.39130971336</v>
      </c>
      <c r="Q99" s="54">
        <f t="shared" si="50"/>
        <v>851.03386864325944</v>
      </c>
      <c r="R99" s="62">
        <f>1357.383*124.71</f>
        <v>169279.23392999999</v>
      </c>
      <c r="S99" s="62">
        <f>1357.383*124.71</f>
        <v>169279.23392999999</v>
      </c>
      <c r="T99" s="34">
        <v>2032</v>
      </c>
      <c r="U99" s="34">
        <v>250152.54</v>
      </c>
      <c r="V99" s="34">
        <v>256873</v>
      </c>
    </row>
    <row r="100" spans="1:81" ht="14.25">
      <c r="A100" s="53">
        <v>86</v>
      </c>
      <c r="B100" s="42" t="s">
        <v>140</v>
      </c>
      <c r="C100" s="42" t="s">
        <v>139</v>
      </c>
      <c r="D100" s="72">
        <v>53368240987.739998</v>
      </c>
      <c r="E100" s="34">
        <v>340909142.88999999</v>
      </c>
      <c r="F100" s="34">
        <v>0</v>
      </c>
      <c r="G100" s="34">
        <v>83078973.290000007</v>
      </c>
      <c r="H100" s="35">
        <f t="shared" si="39"/>
        <v>257830169.59999996</v>
      </c>
      <c r="I100" s="94">
        <v>33478974453.75</v>
      </c>
      <c r="J100" s="39">
        <f t="shared" si="40"/>
        <v>4.7545382762272E-2</v>
      </c>
      <c r="K100" s="62">
        <v>52989075963.610001</v>
      </c>
      <c r="L100" s="39">
        <f t="shared" si="41"/>
        <v>4.5377767014590821E-2</v>
      </c>
      <c r="M100" s="39">
        <f t="shared" si="42"/>
        <v>0.58275684450288356</v>
      </c>
      <c r="N100" s="43">
        <f t="shared" si="47"/>
        <v>1.5678509537900623E-3</v>
      </c>
      <c r="O100" s="44">
        <f t="shared" si="48"/>
        <v>4.865723074262771E-3</v>
      </c>
      <c r="P100" s="54">
        <f t="shared" si="49"/>
        <v>164126.91187990445</v>
      </c>
      <c r="Q100" s="54">
        <f t="shared" si="50"/>
        <v>798.59610224154358</v>
      </c>
      <c r="R100" s="62">
        <f>1357.383*112.76</f>
        <v>153058.50708000001</v>
      </c>
      <c r="S100" s="62">
        <f>1357.383*111.7</f>
        <v>151619.68110000002</v>
      </c>
      <c r="T100" s="34">
        <v>274</v>
      </c>
      <c r="U100" s="62">
        <v>286880.93</v>
      </c>
      <c r="V100" s="62">
        <v>322854.28000000003</v>
      </c>
    </row>
    <row r="101" spans="1:81" s="12" customFormat="1" ht="14.25">
      <c r="A101" s="53">
        <v>87</v>
      </c>
      <c r="B101" s="40" t="s">
        <v>141</v>
      </c>
      <c r="C101" s="48" t="s">
        <v>142</v>
      </c>
      <c r="D101" s="34">
        <f>110348.78*1357.383</f>
        <v>149785558.04274002</v>
      </c>
      <c r="E101" s="34">
        <f>1976.39*1357.383</f>
        <v>2682718.1873700004</v>
      </c>
      <c r="F101" s="34">
        <v>0</v>
      </c>
      <c r="G101" s="34">
        <f>1667.13*1357.383</f>
        <v>2262933.9207900004</v>
      </c>
      <c r="H101" s="35">
        <f t="shared" si="39"/>
        <v>419784.26658000005</v>
      </c>
      <c r="I101" s="91">
        <f>114258.52*825.494</f>
        <v>94319722.708880007</v>
      </c>
      <c r="J101" s="39">
        <f t="shared" si="40"/>
        <v>1.3394876609557408E-4</v>
      </c>
      <c r="K101" s="36">
        <f>115707.31*1357.383</f>
        <v>157059135.56973001</v>
      </c>
      <c r="L101" s="39">
        <f t="shared" si="41"/>
        <v>1.3449928559408495E-4</v>
      </c>
      <c r="M101" s="39">
        <f t="shared" si="42"/>
        <v>0.66517808851597926</v>
      </c>
      <c r="N101" s="43">
        <f t="shared" si="47"/>
        <v>1.4408164877396252E-2</v>
      </c>
      <c r="O101" s="44">
        <f t="shared" si="48"/>
        <v>2.6727784095922722E-3</v>
      </c>
      <c r="P101" s="54">
        <f t="shared" si="49"/>
        <v>156791.02292053588</v>
      </c>
      <c r="Q101" s="54">
        <f t="shared" si="50"/>
        <v>419.06766087989541</v>
      </c>
      <c r="R101" s="62">
        <f>115.51*1357.383</f>
        <v>156791.31033000001</v>
      </c>
      <c r="S101" s="62">
        <f>115.51*1357.383</f>
        <v>156791.31033000001</v>
      </c>
      <c r="T101" s="34">
        <v>4</v>
      </c>
      <c r="U101" s="34">
        <v>997.05</v>
      </c>
      <c r="V101" s="34">
        <v>1001.71</v>
      </c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</row>
    <row r="102" spans="1:81" ht="14.25">
      <c r="A102" s="53">
        <v>88</v>
      </c>
      <c r="B102" s="42" t="s">
        <v>143</v>
      </c>
      <c r="C102" s="42" t="s">
        <v>144</v>
      </c>
      <c r="D102" s="35">
        <f>11058886.24*1357.383</f>
        <v>15011144181.109921</v>
      </c>
      <c r="E102" s="35">
        <f>65405.33*1357.383</f>
        <v>88780083.051390007</v>
      </c>
      <c r="F102" s="34">
        <v>0</v>
      </c>
      <c r="G102" s="35">
        <f>18527.68*1357.383</f>
        <v>25149157.861440003</v>
      </c>
      <c r="H102" s="35">
        <f t="shared" si="39"/>
        <v>63630925.189950004</v>
      </c>
      <c r="I102" s="92">
        <f>11733154.82*825.494</f>
        <v>9685648904.981081</v>
      </c>
      <c r="J102" s="39">
        <f t="shared" si="40"/>
        <v>1.3755137127168613E-2</v>
      </c>
      <c r="K102" s="72">
        <f>11012571.93*1357.383</f>
        <v>14948277924.059191</v>
      </c>
      <c r="L102" s="39">
        <f t="shared" si="41"/>
        <v>1.2801119109401758E-2</v>
      </c>
      <c r="M102" s="39">
        <f t="shared" si="42"/>
        <v>0.54334294694201379</v>
      </c>
      <c r="N102" s="43">
        <f t="shared" si="47"/>
        <v>1.6824117125199109E-3</v>
      </c>
      <c r="O102" s="44">
        <f t="shared" si="48"/>
        <v>4.2567395062635474E-3</v>
      </c>
      <c r="P102" s="54">
        <f t="shared" si="49"/>
        <v>1662.7730222494861</v>
      </c>
      <c r="Q102" s="54">
        <f t="shared" si="50"/>
        <v>7.0779916137586243</v>
      </c>
      <c r="R102" s="62">
        <f>1.33*1357.383</f>
        <v>1805.3193900000001</v>
      </c>
      <c r="S102" s="62">
        <f>1.33*1357.383</f>
        <v>1805.3193900000001</v>
      </c>
      <c r="T102" s="34">
        <v>114</v>
      </c>
      <c r="U102" s="34">
        <v>9564629</v>
      </c>
      <c r="V102" s="34">
        <v>8989969</v>
      </c>
    </row>
    <row r="103" spans="1:81" ht="14.25">
      <c r="A103" s="53">
        <v>89</v>
      </c>
      <c r="B103" s="42" t="s">
        <v>145</v>
      </c>
      <c r="C103" s="42" t="s">
        <v>49</v>
      </c>
      <c r="D103" s="34">
        <f>136750069*1357.383</f>
        <v>185622218909.427</v>
      </c>
      <c r="E103" s="36">
        <f>970268*1357.383</f>
        <v>1317025288.6440001</v>
      </c>
      <c r="F103" s="34">
        <v>0</v>
      </c>
      <c r="G103" s="34">
        <f>229521*1357.383</f>
        <v>311547903.54299998</v>
      </c>
      <c r="H103" s="35">
        <f t="shared" si="39"/>
        <v>1005477385.1010001</v>
      </c>
      <c r="I103" s="91">
        <f>143594778*825.494</f>
        <v>118536627670.332</v>
      </c>
      <c r="J103" s="39">
        <f t="shared" si="40"/>
        <v>0.16834056078153195</v>
      </c>
      <c r="K103" s="36">
        <f>144985955*1357.383</f>
        <v>196801470555.76501</v>
      </c>
      <c r="L103" s="39">
        <f t="shared" si="41"/>
        <v>0.16853306302493892</v>
      </c>
      <c r="M103" s="39">
        <f t="shared" si="42"/>
        <v>0.66025872697424115</v>
      </c>
      <c r="N103" s="43">
        <f t="shared" si="47"/>
        <v>1.5830567864314855E-3</v>
      </c>
      <c r="O103" s="44">
        <f t="shared" si="48"/>
        <v>5.109094877500376E-3</v>
      </c>
      <c r="P103" s="54">
        <f t="shared" si="49"/>
        <v>168066.90392483247</v>
      </c>
      <c r="Q103" s="54">
        <f t="shared" si="50"/>
        <v>858.66975791970947</v>
      </c>
      <c r="R103" s="36">
        <f>124*1357.383</f>
        <v>168315.492</v>
      </c>
      <c r="S103" s="36">
        <f>124*1357.383</f>
        <v>168315.492</v>
      </c>
      <c r="T103" s="34">
        <v>1139</v>
      </c>
      <c r="U103" s="34">
        <v>1180413</v>
      </c>
      <c r="V103" s="34">
        <v>1170971</v>
      </c>
    </row>
    <row r="104" spans="1:81" ht="17.25" customHeight="1">
      <c r="A104" s="53">
        <v>90</v>
      </c>
      <c r="B104" s="42" t="s">
        <v>146</v>
      </c>
      <c r="C104" s="42" t="s">
        <v>147</v>
      </c>
      <c r="D104" s="73">
        <v>13137812720.559999</v>
      </c>
      <c r="E104" s="36">
        <v>128929164.86</v>
      </c>
      <c r="F104" s="34">
        <v>0</v>
      </c>
      <c r="G104" s="62">
        <v>26697853.699999999</v>
      </c>
      <c r="H104" s="35">
        <f t="shared" si="39"/>
        <v>102231311.16</v>
      </c>
      <c r="I104" s="91">
        <v>8547847510.4899998</v>
      </c>
      <c r="J104" s="39">
        <f t="shared" si="40"/>
        <v>1.2139281095399818E-2</v>
      </c>
      <c r="K104" s="36">
        <v>13433109323.030001</v>
      </c>
      <c r="L104" s="39">
        <f t="shared" si="41"/>
        <v>1.1503588127496293E-2</v>
      </c>
      <c r="M104" s="39">
        <f t="shared" si="42"/>
        <v>0.57151953243723186</v>
      </c>
      <c r="N104" s="43">
        <f t="shared" si="47"/>
        <v>1.9874664203192813E-3</v>
      </c>
      <c r="O104" s="44">
        <f t="shared" si="48"/>
        <v>7.6103982109884654E-3</v>
      </c>
      <c r="P104" s="54">
        <f t="shared" si="49"/>
        <v>152965.32969357079</v>
      </c>
      <c r="Q104" s="54">
        <f t="shared" si="50"/>
        <v>1164.1270714432121</v>
      </c>
      <c r="R104" s="36">
        <v>152965.32999999999</v>
      </c>
      <c r="S104" s="36">
        <v>152965.32999999999</v>
      </c>
      <c r="T104" s="34">
        <v>263</v>
      </c>
      <c r="U104" s="34">
        <v>79190</v>
      </c>
      <c r="V104" s="34">
        <v>87818</v>
      </c>
    </row>
    <row r="105" spans="1:81" ht="14.25">
      <c r="A105" s="53">
        <v>91</v>
      </c>
      <c r="B105" s="42" t="s">
        <v>148</v>
      </c>
      <c r="C105" s="42" t="s">
        <v>41</v>
      </c>
      <c r="D105" s="34">
        <f>1839284.91*1357.383</f>
        <v>2496614068.99053</v>
      </c>
      <c r="E105" s="34">
        <f>22618.02*1357.383</f>
        <v>30701315.84166</v>
      </c>
      <c r="F105" s="34">
        <v>0</v>
      </c>
      <c r="G105" s="34">
        <f>2021.76*1357.383</f>
        <v>2744302.6540800002</v>
      </c>
      <c r="H105" s="35">
        <f t="shared" si="39"/>
        <v>27957013.187580001</v>
      </c>
      <c r="I105" s="91">
        <v>1675436238.5599999</v>
      </c>
      <c r="J105" s="39">
        <f t="shared" si="40"/>
        <v>2.3793816434300535E-3</v>
      </c>
      <c r="K105" s="36">
        <f>1933440.69*1357.383</f>
        <v>2624419524.1142702</v>
      </c>
      <c r="L105" s="39">
        <f t="shared" si="41"/>
        <v>2.2474499799842781E-3</v>
      </c>
      <c r="M105" s="39">
        <f t="shared" si="42"/>
        <v>0.56640966914378088</v>
      </c>
      <c r="N105" s="43">
        <f t="shared" si="47"/>
        <v>1.0456798651527293E-3</v>
      </c>
      <c r="O105" s="44">
        <f t="shared" si="48"/>
        <v>1.0652646396926714E-2</v>
      </c>
      <c r="P105" s="54">
        <f t="shared" si="49"/>
        <v>185007.97466375877</v>
      </c>
      <c r="Q105" s="54">
        <f t="shared" si="50"/>
        <v>1970.8245347045986</v>
      </c>
      <c r="R105" s="72">
        <f>132.79*1357.383</f>
        <v>180246.88856999998</v>
      </c>
      <c r="S105" s="72">
        <f>136.09*1357.383</f>
        <v>184726.25247000001</v>
      </c>
      <c r="T105" s="34">
        <v>48</v>
      </c>
      <c r="U105" s="34">
        <v>14109.44</v>
      </c>
      <c r="V105" s="72">
        <v>14185.44</v>
      </c>
    </row>
    <row r="106" spans="1:81" ht="8.1" customHeight="1">
      <c r="A106" s="121"/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</row>
    <row r="107" spans="1:81" ht="13.5">
      <c r="A107" s="126" t="s">
        <v>149</v>
      </c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</row>
    <row r="108" spans="1:81" ht="14.25">
      <c r="A108" s="53">
        <v>92</v>
      </c>
      <c r="B108" s="42" t="s">
        <v>150</v>
      </c>
      <c r="C108" s="46" t="s">
        <v>104</v>
      </c>
      <c r="D108" s="75">
        <f>853489.05*1357.383</f>
        <v>1158511527.1561501</v>
      </c>
      <c r="E108" s="34">
        <f>7239.79*1357.383</f>
        <v>9827167.8695700001</v>
      </c>
      <c r="F108" s="34">
        <v>0</v>
      </c>
      <c r="G108" s="34">
        <f>1665.39*1357.383</f>
        <v>2260572.07437</v>
      </c>
      <c r="H108" s="35">
        <f t="shared" ref="H108:H117" si="51">(E108+F108)-G108</f>
        <v>7566595.7951999996</v>
      </c>
      <c r="I108" s="93">
        <f>983722.32*825.494</f>
        <v>812056872.82607996</v>
      </c>
      <c r="J108" s="39">
        <f t="shared" ref="J108:J117" si="52">(I108/$I$118)</f>
        <v>1.1532478360885073E-3</v>
      </c>
      <c r="K108" s="34">
        <f>1013169.34*1357.383</f>
        <v>1375258838.23722</v>
      </c>
      <c r="L108" s="39">
        <f t="shared" ref="L108:L117" si="53">(K108/$K$118)</f>
        <v>1.1777177467510959E-3</v>
      </c>
      <c r="M108" s="39">
        <f t="shared" ref="M108:M118" si="54">((K108-I108)/I108)</f>
        <v>0.69354990303956499</v>
      </c>
      <c r="N108" s="43">
        <f t="shared" ref="N108" si="55">(G108/K108)</f>
        <v>1.6437429896960759E-3</v>
      </c>
      <c r="O108" s="44">
        <f t="shared" ref="O108" si="56">H108/K108</f>
        <v>5.5019430414268156E-3</v>
      </c>
      <c r="P108" s="45">
        <f t="shared" ref="P108" si="57">K108/V108</f>
        <v>141979.78983071144</v>
      </c>
      <c r="Q108" s="45">
        <f t="shared" ref="Q108" si="58">H108/V108</f>
        <v>781.16471668232452</v>
      </c>
      <c r="R108" s="34">
        <f>106.8*1357.383</f>
        <v>144968.50440000001</v>
      </c>
      <c r="S108" s="34">
        <f>106.8*1357.383</f>
        <v>144968.50440000001</v>
      </c>
      <c r="T108" s="34">
        <v>26</v>
      </c>
      <c r="U108" s="34">
        <v>9686.2999999999993</v>
      </c>
      <c r="V108" s="34">
        <v>9686.2999999999993</v>
      </c>
    </row>
    <row r="109" spans="1:81" ht="14.25">
      <c r="A109" s="53">
        <v>93</v>
      </c>
      <c r="B109" s="42" t="s">
        <v>151</v>
      </c>
      <c r="C109" s="46" t="s">
        <v>27</v>
      </c>
      <c r="D109" s="34">
        <f>5180253.84*1357.383</f>
        <v>7031588498.1007204</v>
      </c>
      <c r="E109" s="34">
        <f>44998.54*1357.383</f>
        <v>61080253.220820002</v>
      </c>
      <c r="F109" s="34">
        <v>0</v>
      </c>
      <c r="G109" s="34">
        <f>8799.62*1357.383</f>
        <v>11944454.594460001</v>
      </c>
      <c r="H109" s="35">
        <f t="shared" si="51"/>
        <v>49135798.626359999</v>
      </c>
      <c r="I109" s="93">
        <f>7145334.16*825.494</f>
        <v>5898430477.0750399</v>
      </c>
      <c r="J109" s="39">
        <f t="shared" si="52"/>
        <v>8.3766943075453369E-3</v>
      </c>
      <c r="K109" s="34">
        <f>7143099.53*1357.383</f>
        <v>9695921869.3299904</v>
      </c>
      <c r="L109" s="39">
        <f t="shared" si="53"/>
        <v>8.3032073229638119E-3</v>
      </c>
      <c r="M109" s="39">
        <f t="shared" si="54"/>
        <v>0.643813876761684</v>
      </c>
      <c r="N109" s="43">
        <f t="shared" ref="N109:N117" si="59">(G109/K109)</f>
        <v>1.231904996289475E-3</v>
      </c>
      <c r="O109" s="44">
        <f t="shared" ref="O109:O117" si="60">H109/K109</f>
        <v>5.0676768324408325E-3</v>
      </c>
      <c r="P109" s="45">
        <f t="shared" ref="P109:P117" si="61">K109/V109</f>
        <v>180217.40887674526</v>
      </c>
      <c r="Q109" s="45">
        <f t="shared" ref="Q109:Q117" si="62">H109/V109</f>
        <v>913.2835877671987</v>
      </c>
      <c r="R109" s="34">
        <f>132.34*1357.383</f>
        <v>179636.06622000001</v>
      </c>
      <c r="S109" s="34">
        <f>132.34*1357.383</f>
        <v>179636.06622000001</v>
      </c>
      <c r="T109" s="34">
        <v>383</v>
      </c>
      <c r="U109" s="72">
        <v>54022.92</v>
      </c>
      <c r="V109" s="34">
        <v>53801.25</v>
      </c>
    </row>
    <row r="110" spans="1:81" ht="14.1" customHeight="1">
      <c r="A110" s="53">
        <v>94</v>
      </c>
      <c r="B110" s="42" t="s">
        <v>152</v>
      </c>
      <c r="C110" s="42" t="s">
        <v>62</v>
      </c>
      <c r="D110" s="34">
        <f>10773986.83*1357.383</f>
        <v>14624426565.26589</v>
      </c>
      <c r="E110" s="34">
        <f>78211.13*1357.383</f>
        <v>106162458.27279001</v>
      </c>
      <c r="F110" s="34">
        <v>0</v>
      </c>
      <c r="G110" s="34">
        <f>19420.75*1357.383</f>
        <v>26361395.89725</v>
      </c>
      <c r="H110" s="35">
        <f t="shared" si="51"/>
        <v>79801062.375540018</v>
      </c>
      <c r="I110" s="93">
        <f>11271687.77*825.494</f>
        <v>9304710624.0083809</v>
      </c>
      <c r="J110" s="39">
        <f t="shared" si="52"/>
        <v>1.3214145156143041E-2</v>
      </c>
      <c r="K110" s="34">
        <f>11493491.03*1357.383</f>
        <v>15601069334.77449</v>
      </c>
      <c r="L110" s="39">
        <f t="shared" si="53"/>
        <v>1.3360144078338899E-2</v>
      </c>
      <c r="M110" s="39">
        <f t="shared" si="54"/>
        <v>0.67668506471549972</v>
      </c>
      <c r="N110" s="43">
        <f t="shared" si="59"/>
        <v>1.6897172451179961E-3</v>
      </c>
      <c r="O110" s="44">
        <f t="shared" si="60"/>
        <v>5.1151020909614795E-3</v>
      </c>
      <c r="P110" s="45">
        <f t="shared" si="61"/>
        <v>1927009.5522201692</v>
      </c>
      <c r="Q110" s="45">
        <f t="shared" si="62"/>
        <v>9856.8505898641324</v>
      </c>
      <c r="R110" s="34">
        <f>115.01*1357.383</f>
        <v>156112.61883000002</v>
      </c>
      <c r="S110" s="34">
        <f>115.01*1357.383</f>
        <v>156112.61883000002</v>
      </c>
      <c r="T110" s="34">
        <v>583</v>
      </c>
      <c r="U110" s="34">
        <v>98041</v>
      </c>
      <c r="V110" s="72">
        <v>8096</v>
      </c>
    </row>
    <row r="111" spans="1:81" ht="15" customHeight="1">
      <c r="A111" s="53">
        <v>95</v>
      </c>
      <c r="B111" s="42" t="s">
        <v>153</v>
      </c>
      <c r="C111" s="46" t="s">
        <v>60</v>
      </c>
      <c r="D111" s="34">
        <f>4031522.09*1357.383</f>
        <v>5472319549.0904703</v>
      </c>
      <c r="E111" s="34">
        <f>21584.66*1357.383</f>
        <v>29298650.544780001</v>
      </c>
      <c r="F111" s="34">
        <v>0</v>
      </c>
      <c r="G111" s="34">
        <f>5327.53*1357.383</f>
        <v>7231498.6539899996</v>
      </c>
      <c r="H111" s="35">
        <f t="shared" si="51"/>
        <v>22067151.890790001</v>
      </c>
      <c r="I111" s="93">
        <v>3625781480.54</v>
      </c>
      <c r="J111" s="39">
        <f t="shared" si="52"/>
        <v>5.1491770915139887E-3</v>
      </c>
      <c r="K111" s="34">
        <f>4038849.69*1357.383</f>
        <v>5482265908.7612705</v>
      </c>
      <c r="L111" s="39">
        <f t="shared" si="53"/>
        <v>4.6947975709304051E-3</v>
      </c>
      <c r="M111" s="39">
        <f t="shared" si="54"/>
        <v>0.51202325296911666</v>
      </c>
      <c r="N111" s="43">
        <f t="shared" si="59"/>
        <v>1.319071123936776E-3</v>
      </c>
      <c r="O111" s="44">
        <f t="shared" si="60"/>
        <v>4.0251881718331535E-3</v>
      </c>
      <c r="P111" s="45">
        <f t="shared" si="61"/>
        <v>1630.7355567247723</v>
      </c>
      <c r="Q111" s="45">
        <f t="shared" si="62"/>
        <v>6.564017474316306</v>
      </c>
      <c r="R111" s="34">
        <f>1.2*1357.383</f>
        <v>1628.8596</v>
      </c>
      <c r="S111" s="34">
        <f>1.2*1357.383</f>
        <v>1628.8596</v>
      </c>
      <c r="T111" s="34">
        <v>164</v>
      </c>
      <c r="U111" s="34">
        <v>3184309.33</v>
      </c>
      <c r="V111" s="34">
        <v>3361836.25</v>
      </c>
    </row>
    <row r="112" spans="1:81" ht="15" customHeight="1">
      <c r="A112" s="53">
        <v>96</v>
      </c>
      <c r="B112" s="100" t="s">
        <v>251</v>
      </c>
      <c r="C112" s="100" t="s">
        <v>118</v>
      </c>
      <c r="D112" s="34">
        <f>895885.58*1357.383</f>
        <v>1216059856.2371399</v>
      </c>
      <c r="E112" s="34">
        <f>21942*1357.383</f>
        <v>29783697.786000002</v>
      </c>
      <c r="F112" s="34"/>
      <c r="G112" s="34">
        <f>1991*1357.383</f>
        <v>2702549.5530000003</v>
      </c>
      <c r="H112" s="35">
        <f>(E112+F112)-G112</f>
        <v>27081148.233000003</v>
      </c>
      <c r="I112" s="93">
        <f>(889344.94-3892.07)*825.494</f>
        <v>730936031.46777999</v>
      </c>
      <c r="J112" s="39">
        <f>(I112/$I$118)</f>
        <v>1.0380435469694929E-3</v>
      </c>
      <c r="K112" s="36">
        <f>(895885.58-5882.69)*1357.383</f>
        <v>1208074792.83687</v>
      </c>
      <c r="L112" s="39">
        <f>(K112/$K$118)</f>
        <v>1.0345478853641221E-3</v>
      </c>
      <c r="M112" s="39">
        <f>((K112-I112)/I112)</f>
        <v>0.65277772722594596</v>
      </c>
      <c r="N112" s="43"/>
      <c r="O112" s="44"/>
      <c r="P112" s="54"/>
      <c r="Q112" s="54"/>
      <c r="R112" s="62">
        <f>1.0295*1357.383</f>
        <v>1397.4257985000002</v>
      </c>
      <c r="S112" s="62">
        <f>1.0363*1357.383</f>
        <v>1406.6560029</v>
      </c>
      <c r="T112" s="34">
        <v>34</v>
      </c>
      <c r="U112" s="34">
        <v>858069.04</v>
      </c>
      <c r="V112" s="34">
        <v>864511.34</v>
      </c>
    </row>
    <row r="113" spans="1:22" ht="14.25">
      <c r="A113" s="53">
        <v>97</v>
      </c>
      <c r="B113" s="46" t="s">
        <v>154</v>
      </c>
      <c r="C113" s="46" t="s">
        <v>43</v>
      </c>
      <c r="D113" s="34">
        <f>11336634.68*1357.383</f>
        <v>15388155191.84244</v>
      </c>
      <c r="E113" s="34">
        <f>109579*1357.383</f>
        <v>148740671.757</v>
      </c>
      <c r="F113" s="34">
        <v>0</v>
      </c>
      <c r="G113" s="34">
        <f>21098*1357.383</f>
        <v>28638066.534000002</v>
      </c>
      <c r="H113" s="35">
        <f t="shared" si="51"/>
        <v>120102605.22299999</v>
      </c>
      <c r="I113" s="93">
        <v>9792594899.3600006</v>
      </c>
      <c r="J113" s="39">
        <f t="shared" si="52"/>
        <v>1.3907017174888174E-2</v>
      </c>
      <c r="K113" s="34">
        <f>11365949.26*1357.383</f>
        <v>15427946304.38658</v>
      </c>
      <c r="L113" s="39">
        <f t="shared" si="53"/>
        <v>1.321188830306934E-2</v>
      </c>
      <c r="M113" s="39">
        <f t="shared" si="54"/>
        <v>0.57547069627018677</v>
      </c>
      <c r="N113" s="43">
        <f t="shared" si="59"/>
        <v>1.8562461891546401E-3</v>
      </c>
      <c r="O113" s="44">
        <f t="shared" si="60"/>
        <v>7.7847435331591473E-3</v>
      </c>
      <c r="P113" s="45">
        <f t="shared" si="61"/>
        <v>1388.3852284212642</v>
      </c>
      <c r="Q113" s="45">
        <f t="shared" si="62"/>
        <v>10.808222928486122</v>
      </c>
      <c r="R113" s="34">
        <f>1.0228*1357.383</f>
        <v>1388.3313323999998</v>
      </c>
      <c r="S113" s="34">
        <f>1.0228*1357.383</f>
        <v>1388.3313323999998</v>
      </c>
      <c r="T113" s="34">
        <v>405</v>
      </c>
      <c r="U113" s="34">
        <v>10898555</v>
      </c>
      <c r="V113" s="34">
        <v>11112151</v>
      </c>
    </row>
    <row r="114" spans="1:22" ht="14.25">
      <c r="A114" s="53">
        <v>98</v>
      </c>
      <c r="B114" s="42" t="s">
        <v>155</v>
      </c>
      <c r="C114" s="46" t="s">
        <v>86</v>
      </c>
      <c r="D114" s="34">
        <f>200399.5*1357.383</f>
        <v>272018874.50849998</v>
      </c>
      <c r="E114" s="34">
        <f>2740.71*1357.383</f>
        <v>3720193.1619299999</v>
      </c>
      <c r="F114" s="34">
        <v>0</v>
      </c>
      <c r="G114" s="34">
        <f>501.64*1357.383</f>
        <v>680917.60811999999</v>
      </c>
      <c r="H114" s="35">
        <f t="shared" si="51"/>
        <v>3039275.55381</v>
      </c>
      <c r="I114" s="93">
        <f>264461.55*825.494</f>
        <v>218311422.75569999</v>
      </c>
      <c r="J114" s="39">
        <f t="shared" si="52"/>
        <v>3.1003638330185756E-4</v>
      </c>
      <c r="K114" s="34">
        <f>261169.04*1357.383</f>
        <v>354506415.02232003</v>
      </c>
      <c r="L114" s="39">
        <f t="shared" si="53"/>
        <v>3.0358539403684166E-4</v>
      </c>
      <c r="M114" s="39">
        <f t="shared" si="54"/>
        <v>0.62385646407072426</v>
      </c>
      <c r="N114" s="43">
        <f t="shared" si="59"/>
        <v>1.9207483398491641E-3</v>
      </c>
      <c r="O114" s="44">
        <f t="shared" si="60"/>
        <v>8.5732596788654566E-3</v>
      </c>
      <c r="P114" s="45">
        <f t="shared" si="61"/>
        <v>1355.7428342823491</v>
      </c>
      <c r="Q114" s="45">
        <f t="shared" si="62"/>
        <v>11.623135376063637</v>
      </c>
      <c r="R114" s="34">
        <f>1.0083*1357.383</f>
        <v>1368.6492788999999</v>
      </c>
      <c r="S114" s="34">
        <f>1.0083*1357.383</f>
        <v>1368.6492788999999</v>
      </c>
      <c r="T114" s="34">
        <v>5</v>
      </c>
      <c r="U114" s="34">
        <v>261485</v>
      </c>
      <c r="V114" s="34">
        <v>261485</v>
      </c>
    </row>
    <row r="115" spans="1:22" ht="14.25">
      <c r="A115" s="53">
        <v>99</v>
      </c>
      <c r="B115" s="42" t="s">
        <v>156</v>
      </c>
      <c r="C115" s="42" t="s">
        <v>45</v>
      </c>
      <c r="D115" s="34">
        <f>503181851.98*1357.383</f>
        <v>683010491786.16833</v>
      </c>
      <c r="E115" s="34">
        <f>4050783.92*1357.383</f>
        <v>5498465229.6813602</v>
      </c>
      <c r="F115" s="34">
        <v>0</v>
      </c>
      <c r="G115" s="34">
        <f>744982.21*1357*383</f>
        <v>387190348985.50995</v>
      </c>
      <c r="H115" s="35">
        <f t="shared" si="51"/>
        <v>-381691883755.82861</v>
      </c>
      <c r="I115" s="93">
        <f>498071652.66*825.494</f>
        <v>411155160840.91406</v>
      </c>
      <c r="J115" s="39">
        <f t="shared" si="52"/>
        <v>0.58390466899965399</v>
      </c>
      <c r="K115" s="34">
        <f>512102590.2*1357.383</f>
        <v>695119350193.44666</v>
      </c>
      <c r="L115" s="39">
        <f t="shared" si="53"/>
        <v>0.59527295667646618</v>
      </c>
      <c r="M115" s="39">
        <f t="shared" si="54"/>
        <v>0.69064970210213472</v>
      </c>
      <c r="N115" s="43">
        <f t="shared" si="59"/>
        <v>0.55701276173330194</v>
      </c>
      <c r="O115" s="44">
        <f t="shared" si="60"/>
        <v>-0.54910265934850833</v>
      </c>
      <c r="P115" s="45">
        <f t="shared" si="61"/>
        <v>2000.6835441460373</v>
      </c>
      <c r="Q115" s="45">
        <f t="shared" si="62"/>
        <v>-1098.5806546053877</v>
      </c>
      <c r="R115" s="34">
        <f>1.4739*1357.383</f>
        <v>2000.6468037</v>
      </c>
      <c r="S115" s="34">
        <f>1.4739*1357.383</f>
        <v>2000.6468037</v>
      </c>
      <c r="T115" s="34">
        <v>6422</v>
      </c>
      <c r="U115" s="34">
        <v>338733034.85000002</v>
      </c>
      <c r="V115" s="34">
        <v>347440929.49000001</v>
      </c>
    </row>
    <row r="116" spans="1:22" ht="14.25">
      <c r="A116" s="53">
        <v>100</v>
      </c>
      <c r="B116" s="42" t="s">
        <v>157</v>
      </c>
      <c r="C116" s="42" t="s">
        <v>49</v>
      </c>
      <c r="D116" s="34">
        <f>13388510*1357.383</f>
        <v>18173335869.330002</v>
      </c>
      <c r="E116" s="34">
        <f>150704*1357.383</f>
        <v>204563047.632</v>
      </c>
      <c r="F116" s="34">
        <v>0</v>
      </c>
      <c r="G116" s="72">
        <f>47286*1357.383</f>
        <v>64185212.538000003</v>
      </c>
      <c r="H116" s="35">
        <f t="shared" si="51"/>
        <v>140377835.09399998</v>
      </c>
      <c r="I116" s="93">
        <v>21065506459.48</v>
      </c>
      <c r="J116" s="39">
        <f t="shared" si="52"/>
        <v>2.9916315658973347E-2</v>
      </c>
      <c r="K116" s="34">
        <f>23803377*1357.383</f>
        <v>32310299282.391003</v>
      </c>
      <c r="L116" s="39">
        <f t="shared" si="53"/>
        <v>2.7669273455814266E-2</v>
      </c>
      <c r="M116" s="39">
        <f t="shared" si="54"/>
        <v>0.53380120931536246</v>
      </c>
      <c r="N116" s="43">
        <f t="shared" si="59"/>
        <v>1.9865248531752448E-3</v>
      </c>
      <c r="O116" s="44">
        <f t="shared" si="60"/>
        <v>4.3446776480496859E-3</v>
      </c>
      <c r="P116" s="45">
        <f t="shared" si="61"/>
        <v>1394.8270949492014</v>
      </c>
      <c r="Q116" s="45">
        <f t="shared" si="62"/>
        <v>6.0600741023198719</v>
      </c>
      <c r="R116" s="34">
        <f>1.09*1357.383</f>
        <v>1479.5474700000002</v>
      </c>
      <c r="S116" s="34">
        <f>1.09*1357.383</f>
        <v>1479.5474700000002</v>
      </c>
      <c r="T116" s="34">
        <v>69</v>
      </c>
      <c r="U116" s="34">
        <v>21405345</v>
      </c>
      <c r="V116" s="34">
        <v>23164376</v>
      </c>
    </row>
    <row r="117" spans="1:22" ht="14.25">
      <c r="A117" s="53">
        <v>101</v>
      </c>
      <c r="B117" s="46" t="s">
        <v>158</v>
      </c>
      <c r="C117" s="46" t="s">
        <v>35</v>
      </c>
      <c r="D117" s="34">
        <f>30955858.14*1357.383</f>
        <v>42018955589.647621</v>
      </c>
      <c r="E117" s="34">
        <f>177943.04*1357.383</f>
        <v>241536857.46432</v>
      </c>
      <c r="F117" s="34">
        <v>0</v>
      </c>
      <c r="G117" s="34">
        <f>53845.26*1357.383</f>
        <v>73088640.554580003</v>
      </c>
      <c r="H117" s="35">
        <f t="shared" si="51"/>
        <v>168448216.90974</v>
      </c>
      <c r="I117" s="93">
        <f>28187021.23*825.494</f>
        <v>23268216903.237621</v>
      </c>
      <c r="J117" s="39">
        <f t="shared" si="52"/>
        <v>3.3044509185557895E-2</v>
      </c>
      <c r="K117" s="34">
        <f>30442450.48*1357.383</f>
        <v>41322064759.893845</v>
      </c>
      <c r="L117" s="39">
        <f t="shared" si="53"/>
        <v>3.5386596069801539E-2</v>
      </c>
      <c r="M117" s="39">
        <f t="shared" si="54"/>
        <v>0.77590164866239264</v>
      </c>
      <c r="N117" s="43">
        <f t="shared" si="59"/>
        <v>1.7687557719893512E-3</v>
      </c>
      <c r="O117" s="44">
        <f t="shared" si="60"/>
        <v>4.0764714417957058E-3</v>
      </c>
      <c r="P117" s="45">
        <f t="shared" si="61"/>
        <v>1487.242595924185</v>
      </c>
      <c r="Q117" s="45">
        <f t="shared" si="62"/>
        <v>6.0627019693070512</v>
      </c>
      <c r="R117" s="34">
        <f>1.01*1357.383</f>
        <v>1370.9568300000001</v>
      </c>
      <c r="S117" s="34">
        <f>1.01*1357.383</f>
        <v>1370.9568300000001</v>
      </c>
      <c r="T117" s="34">
        <v>1161</v>
      </c>
      <c r="U117" s="34">
        <v>24847619.870000001</v>
      </c>
      <c r="V117" s="34">
        <v>27784347.27</v>
      </c>
    </row>
    <row r="118" spans="1:22" ht="15" customHeight="1">
      <c r="A118" s="119" t="s">
        <v>50</v>
      </c>
      <c r="B118" s="119"/>
      <c r="C118" s="119"/>
      <c r="D118" s="119"/>
      <c r="E118" s="119"/>
      <c r="F118" s="119"/>
      <c r="G118" s="119"/>
      <c r="H118" s="119"/>
      <c r="I118" s="51">
        <f>SUM(I93:I117)</f>
        <v>704147753340.12219</v>
      </c>
      <c r="J118" s="85">
        <f>(I118/$I$181)</f>
        <v>0.33794889649649568</v>
      </c>
      <c r="K118" s="52">
        <f>SUM(K93:K117)</f>
        <v>1167732117505.2935</v>
      </c>
      <c r="L118" s="85">
        <f>(K118/$K$181)</f>
        <v>0.44146279633276281</v>
      </c>
      <c r="M118" s="39">
        <f t="shared" si="54"/>
        <v>0.65836234223025014</v>
      </c>
      <c r="N118" s="43"/>
      <c r="O118" s="43"/>
      <c r="P118" s="50"/>
      <c r="Q118" s="50"/>
      <c r="R118" s="52"/>
      <c r="S118" s="52"/>
      <c r="T118" s="58">
        <f>SUM(T93:T117)</f>
        <v>13749</v>
      </c>
      <c r="U118" s="58"/>
      <c r="V118" s="52"/>
    </row>
    <row r="119" spans="1:22" ht="6.95" customHeight="1">
      <c r="A119" s="124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</row>
    <row r="120" spans="1:22">
      <c r="A120" s="122" t="s">
        <v>159</v>
      </c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</row>
    <row r="121" spans="1:22" ht="14.25">
      <c r="A121" s="59">
        <v>102</v>
      </c>
      <c r="B121" s="60" t="s">
        <v>215</v>
      </c>
      <c r="C121" s="60" t="s">
        <v>216</v>
      </c>
      <c r="D121" s="61" t="s">
        <v>217</v>
      </c>
      <c r="E121" s="61" t="s">
        <v>218</v>
      </c>
      <c r="F121" s="34">
        <v>0</v>
      </c>
      <c r="G121" s="61" t="s">
        <v>219</v>
      </c>
      <c r="H121" s="35">
        <f t="shared" ref="H121:H125" si="63">(E121+F121)-G121</f>
        <v>22277748.060000002</v>
      </c>
      <c r="I121" s="101" t="s">
        <v>252</v>
      </c>
      <c r="J121" s="39">
        <f>(I121/$I$126)</f>
        <v>2.2974214196266159E-2</v>
      </c>
      <c r="K121" s="62" t="s">
        <v>220</v>
      </c>
      <c r="L121" s="39">
        <f>(K121/$K$126)</f>
        <v>2.244015965894134E-2</v>
      </c>
      <c r="M121" s="39">
        <f t="shared" ref="M121:M126" si="64">((K121-I121)/I121)</f>
        <v>8.289406284915167E-3</v>
      </c>
      <c r="N121" s="43">
        <f>(G121/K121)</f>
        <v>1.4751489229340184E-3</v>
      </c>
      <c r="O121" s="44">
        <f>H121/K121</f>
        <v>1.0163769215633391E-2</v>
      </c>
      <c r="P121" s="45">
        <f>K121/V121</f>
        <v>103.2930528925542</v>
      </c>
      <c r="Q121" s="45">
        <f>H121/V121</f>
        <v>1.049846751178134</v>
      </c>
      <c r="R121" s="61" t="s">
        <v>221</v>
      </c>
      <c r="S121" s="61" t="s">
        <v>221</v>
      </c>
      <c r="T121" s="34">
        <v>7</v>
      </c>
      <c r="U121" s="62">
        <v>21220000</v>
      </c>
      <c r="V121" s="62">
        <v>21220000</v>
      </c>
    </row>
    <row r="122" spans="1:22" ht="14.25">
      <c r="A122" s="53">
        <v>103</v>
      </c>
      <c r="B122" s="42" t="s">
        <v>160</v>
      </c>
      <c r="C122" s="42" t="s">
        <v>43</v>
      </c>
      <c r="D122" s="34">
        <v>36640674449</v>
      </c>
      <c r="E122" s="34">
        <v>349756992</v>
      </c>
      <c r="F122" s="34">
        <v>0</v>
      </c>
      <c r="G122" s="34">
        <v>100857654</v>
      </c>
      <c r="H122" s="35">
        <f t="shared" si="63"/>
        <v>248899338</v>
      </c>
      <c r="I122" s="93">
        <v>54330953714</v>
      </c>
      <c r="J122" s="39">
        <f t="shared" ref="J122:J125" si="65">(I122/$I$126)</f>
        <v>0.57419142924890365</v>
      </c>
      <c r="K122" s="34">
        <v>53998882866</v>
      </c>
      <c r="L122" s="39">
        <f t="shared" ref="L122:L125" si="66">(K122/$K$126)</f>
        <v>0.55283333787666677</v>
      </c>
      <c r="M122" s="39">
        <f t="shared" si="64"/>
        <v>-6.1120010840971482E-3</v>
      </c>
      <c r="N122" s="43">
        <f t="shared" ref="N122:N125" si="67">(G122/K122)</f>
        <v>1.8677729731980119E-3</v>
      </c>
      <c r="O122" s="44">
        <f t="shared" ref="O122:O125" si="68">H122/K122</f>
        <v>4.6093423565382249E-3</v>
      </c>
      <c r="P122" s="45">
        <f t="shared" ref="P122:P125" si="69">K122/V122</f>
        <v>101.76026832476519</v>
      </c>
      <c r="Q122" s="45">
        <f t="shared" ref="Q122:Q125" si="70">H122/V122</f>
        <v>0.46904791500203524</v>
      </c>
      <c r="R122" s="34">
        <v>101.76</v>
      </c>
      <c r="S122" s="34">
        <v>101.76</v>
      </c>
      <c r="T122" s="34">
        <v>665</v>
      </c>
      <c r="U122" s="34">
        <v>530648000</v>
      </c>
      <c r="V122" s="34">
        <v>530648000</v>
      </c>
    </row>
    <row r="123" spans="1:22" ht="14.25">
      <c r="A123" s="59">
        <v>104</v>
      </c>
      <c r="B123" s="42" t="s">
        <v>161</v>
      </c>
      <c r="C123" s="42" t="s">
        <v>125</v>
      </c>
      <c r="D123" s="34">
        <v>2929387118.04</v>
      </c>
      <c r="E123" s="34">
        <v>28271801.32</v>
      </c>
      <c r="F123" s="34">
        <v>0</v>
      </c>
      <c r="G123" s="34">
        <v>5766912.9800000004</v>
      </c>
      <c r="H123" s="35">
        <f t="shared" si="63"/>
        <v>22504888.34</v>
      </c>
      <c r="I123" s="93">
        <v>2597273157.9299998</v>
      </c>
      <c r="J123" s="39">
        <f t="shared" si="65"/>
        <v>2.7449030152352245E-2</v>
      </c>
      <c r="K123" s="34">
        <v>2619778046.27</v>
      </c>
      <c r="L123" s="39">
        <f t="shared" si="66"/>
        <v>2.6820937118448587E-2</v>
      </c>
      <c r="M123" s="39">
        <f t="shared" si="64"/>
        <v>8.6648138149382475E-3</v>
      </c>
      <c r="N123" s="43">
        <f t="shared" si="67"/>
        <v>2.2012983077749062E-3</v>
      </c>
      <c r="O123" s="44">
        <f t="shared" si="68"/>
        <v>8.5903797736003318E-3</v>
      </c>
      <c r="P123" s="45">
        <f t="shared" si="69"/>
        <v>130.98890231350001</v>
      </c>
      <c r="Q123" s="45">
        <f t="shared" si="70"/>
        <v>1.125244417</v>
      </c>
      <c r="R123" s="62">
        <v>101.35</v>
      </c>
      <c r="S123" s="62">
        <v>101.35</v>
      </c>
      <c r="T123" s="34">
        <v>2771</v>
      </c>
      <c r="U123" s="34">
        <v>20000000</v>
      </c>
      <c r="V123" s="34">
        <v>20000000</v>
      </c>
    </row>
    <row r="124" spans="1:22" ht="14.25">
      <c r="A124" s="53">
        <v>105</v>
      </c>
      <c r="B124" s="42" t="s">
        <v>162</v>
      </c>
      <c r="C124" s="42" t="s">
        <v>125</v>
      </c>
      <c r="D124" s="34">
        <v>11592531455.42</v>
      </c>
      <c r="E124" s="34">
        <v>62840374.539999999</v>
      </c>
      <c r="F124" s="34">
        <v>0</v>
      </c>
      <c r="G124" s="62" t="s">
        <v>227</v>
      </c>
      <c r="H124" s="35">
        <f t="shared" si="63"/>
        <v>38947043.140000001</v>
      </c>
      <c r="I124" s="96">
        <v>10860258654</v>
      </c>
      <c r="J124" s="39">
        <f t="shared" si="65"/>
        <v>0.11477559314307006</v>
      </c>
      <c r="K124" s="72">
        <v>10899205692</v>
      </c>
      <c r="L124" s="39">
        <f t="shared" si="66"/>
        <v>0.1115846095902588</v>
      </c>
      <c r="M124" s="39">
        <f t="shared" si="64"/>
        <v>3.5861980124805965E-3</v>
      </c>
      <c r="N124" s="43">
        <f t="shared" si="67"/>
        <v>2.1922085035552333E-3</v>
      </c>
      <c r="O124" s="44">
        <f t="shared" si="68"/>
        <v>3.5733836245137635E-3</v>
      </c>
      <c r="P124" s="45">
        <f t="shared" si="69"/>
        <v>57.935340850954432</v>
      </c>
      <c r="Q124" s="45">
        <f t="shared" si="70"/>
        <v>0.20702519827742383</v>
      </c>
      <c r="R124" s="62">
        <v>36.6</v>
      </c>
      <c r="S124" s="62">
        <v>36.6</v>
      </c>
      <c r="T124" s="34">
        <v>5274</v>
      </c>
      <c r="U124" s="34">
        <v>188127066</v>
      </c>
      <c r="V124" s="34">
        <v>188127066</v>
      </c>
    </row>
    <row r="125" spans="1:22" ht="15.95" customHeight="1">
      <c r="A125" s="59">
        <v>106</v>
      </c>
      <c r="B125" s="42" t="s">
        <v>163</v>
      </c>
      <c r="C125" s="46" t="s">
        <v>164</v>
      </c>
      <c r="D125" s="72">
        <v>27742664195.52</v>
      </c>
      <c r="E125" s="72">
        <v>160659257.08000001</v>
      </c>
      <c r="F125" s="34">
        <v>0</v>
      </c>
      <c r="G125" s="72">
        <v>49785967.670000002</v>
      </c>
      <c r="H125" s="35">
        <f t="shared" si="63"/>
        <v>110873289.41000001</v>
      </c>
      <c r="I125" s="92">
        <v>26833187571.959999</v>
      </c>
      <c r="J125" s="39">
        <f t="shared" si="65"/>
        <v>0.283583947455674</v>
      </c>
      <c r="K125" s="72">
        <v>30158737113.950001</v>
      </c>
      <c r="L125" s="39">
        <f t="shared" si="66"/>
        <v>0.30876111541462586</v>
      </c>
      <c r="M125" s="39">
        <f t="shared" si="64"/>
        <v>0.12393419652703194</v>
      </c>
      <c r="N125" s="43">
        <f t="shared" si="67"/>
        <v>1.6507974946660274E-3</v>
      </c>
      <c r="O125" s="44">
        <f t="shared" si="68"/>
        <v>3.6763240115487224E-3</v>
      </c>
      <c r="P125" s="45">
        <f t="shared" si="69"/>
        <v>11.302732768916334</v>
      </c>
      <c r="Q125" s="45">
        <f t="shared" si="70"/>
        <v>4.1552507874485695E-2</v>
      </c>
      <c r="R125" s="62">
        <v>11.3</v>
      </c>
      <c r="S125" s="62">
        <v>11.3</v>
      </c>
      <c r="T125" s="34">
        <v>208300</v>
      </c>
      <c r="U125" s="72">
        <v>2668269500</v>
      </c>
      <c r="V125" s="72">
        <v>2668269500</v>
      </c>
    </row>
    <row r="126" spans="1:22" ht="15" customHeight="1">
      <c r="A126" s="119" t="s">
        <v>50</v>
      </c>
      <c r="B126" s="119"/>
      <c r="C126" s="119"/>
      <c r="D126" s="119"/>
      <c r="E126" s="119"/>
      <c r="F126" s="119"/>
      <c r="G126" s="119"/>
      <c r="H126" s="119"/>
      <c r="I126" s="51">
        <f>SUM(I122:I125)</f>
        <v>94621673097.889999</v>
      </c>
      <c r="J126" s="85">
        <f>(I126/$I$181)</f>
        <v>4.5412755854719301E-2</v>
      </c>
      <c r="K126" s="52">
        <f>SUM(K122:K125)</f>
        <v>97676603718.220001</v>
      </c>
      <c r="L126" s="85">
        <f>(K126/$K$181)</f>
        <v>3.6926779667458338E-2</v>
      </c>
      <c r="M126" s="39">
        <f t="shared" si="64"/>
        <v>3.2285738777516129E-2</v>
      </c>
      <c r="N126" s="43"/>
      <c r="O126" s="43"/>
      <c r="P126" s="57"/>
      <c r="Q126" s="57"/>
      <c r="R126" s="52"/>
      <c r="S126" s="52"/>
      <c r="T126" s="52">
        <f>SUM(T121:T125)</f>
        <v>217017</v>
      </c>
      <c r="U126" s="52"/>
      <c r="V126" s="52"/>
    </row>
    <row r="127" spans="1:22" ht="8.1" customHeight="1">
      <c r="A127" s="124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</row>
    <row r="128" spans="1:22">
      <c r="A128" s="122" t="s">
        <v>165</v>
      </c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</row>
    <row r="129" spans="1:22" ht="14.25">
      <c r="A129" s="53">
        <v>107</v>
      </c>
      <c r="B129" s="42" t="s">
        <v>166</v>
      </c>
      <c r="C129" s="42" t="s">
        <v>54</v>
      </c>
      <c r="D129" s="36">
        <v>254361513.44</v>
      </c>
      <c r="E129" s="36">
        <v>22863875.140000001</v>
      </c>
      <c r="F129" s="34">
        <v>43292525.229999997</v>
      </c>
      <c r="G129" s="34">
        <v>573990.30000000005</v>
      </c>
      <c r="H129" s="35">
        <f t="shared" ref="H129:H154" si="71">(E129+F129)-G129</f>
        <v>65582410.07</v>
      </c>
      <c r="I129" s="93">
        <v>224967557.37</v>
      </c>
      <c r="J129" s="39">
        <f>(I129/$I$155)</f>
        <v>5.3112178408756712E-3</v>
      </c>
      <c r="K129" s="34">
        <v>250256570.41999999</v>
      </c>
      <c r="L129" s="39">
        <f>(K129/$K$155)</f>
        <v>5.4182261779509759E-3</v>
      </c>
      <c r="M129" s="39">
        <f t="shared" ref="M129:M155" si="72">((K129-I129)/I129)</f>
        <v>0.11241182215623921</v>
      </c>
      <c r="N129" s="43">
        <f t="shared" ref="N129" si="73">(G129/K129)</f>
        <v>2.2936073128337251E-3</v>
      </c>
      <c r="O129" s="44">
        <f t="shared" ref="O129" si="74">H129/K129</f>
        <v>0.26206069219255468</v>
      </c>
      <c r="P129" s="45">
        <f t="shared" ref="P129" si="75">K129/V129</f>
        <v>5.6651121750434861</v>
      </c>
      <c r="Q129" s="45">
        <f t="shared" ref="Q129" si="76">H129/V129</f>
        <v>1.484603217940365</v>
      </c>
      <c r="R129" s="34">
        <v>5.5918999999999999</v>
      </c>
      <c r="S129" s="34">
        <v>5.7089999999999996</v>
      </c>
      <c r="T129" s="34">
        <v>11830</v>
      </c>
      <c r="U129" s="34">
        <v>44175551.380000003</v>
      </c>
      <c r="V129" s="34">
        <v>44175042.380000003</v>
      </c>
    </row>
    <row r="130" spans="1:22" ht="14.25">
      <c r="A130" s="53">
        <v>108</v>
      </c>
      <c r="B130" s="40" t="s">
        <v>233</v>
      </c>
      <c r="C130" s="40" t="s">
        <v>234</v>
      </c>
      <c r="D130" s="36">
        <v>612317151.63999999</v>
      </c>
      <c r="E130" s="36">
        <v>21336622.09</v>
      </c>
      <c r="F130" s="34">
        <v>12018590.98</v>
      </c>
      <c r="G130" s="34">
        <v>1755972.92</v>
      </c>
      <c r="H130" s="35">
        <f t="shared" si="71"/>
        <v>31599240.149999999</v>
      </c>
      <c r="I130" s="34">
        <v>0</v>
      </c>
      <c r="J130" s="39">
        <f t="shared" ref="J130:J154" si="77">(I130/$I$155)</f>
        <v>0</v>
      </c>
      <c r="K130" s="34">
        <v>608792235.08000004</v>
      </c>
      <c r="L130" s="39">
        <f t="shared" ref="L130:L154" si="78">(K130/$K$155)</f>
        <v>1.3180768918505588E-2</v>
      </c>
      <c r="M130" s="39" t="e">
        <f t="shared" si="72"/>
        <v>#DIV/0!</v>
      </c>
      <c r="N130" s="43">
        <f t="shared" ref="N130:N154" si="79">(G130/K130)</f>
        <v>2.8843549881500236E-3</v>
      </c>
      <c r="O130" s="44">
        <f t="shared" ref="O130:O154" si="80">H130/K130</f>
        <v>5.1904801554914073E-2</v>
      </c>
      <c r="P130" s="45">
        <f t="shared" ref="P130:P154" si="81">K130/V130</f>
        <v>1169.4881024583001</v>
      </c>
      <c r="Q130" s="45">
        <f t="shared" ref="Q130:Q154" si="82">H130/V130</f>
        <v>60.702047878931076</v>
      </c>
      <c r="R130" s="34">
        <v>1162.4485999999999</v>
      </c>
      <c r="S130" s="34">
        <v>1174.0758000000001</v>
      </c>
      <c r="T130" s="34">
        <v>190</v>
      </c>
      <c r="U130" s="34">
        <v>520762</v>
      </c>
      <c r="V130" s="34">
        <v>520563</v>
      </c>
    </row>
    <row r="131" spans="1:22" ht="14.25">
      <c r="A131" s="53">
        <v>109</v>
      </c>
      <c r="B131" s="42" t="s">
        <v>167</v>
      </c>
      <c r="C131" s="46" t="s">
        <v>57</v>
      </c>
      <c r="D131" s="36">
        <v>6468536153.9200001</v>
      </c>
      <c r="E131" s="36">
        <v>39019888.740000002</v>
      </c>
      <c r="F131" s="34">
        <v>0</v>
      </c>
      <c r="G131" s="34">
        <v>44007748.009999998</v>
      </c>
      <c r="H131" s="35">
        <f t="shared" si="71"/>
        <v>-4987859.2699999958</v>
      </c>
      <c r="I131" s="93">
        <v>6202888652.2799997</v>
      </c>
      <c r="J131" s="39">
        <f t="shared" si="77"/>
        <v>0.14644286162902556</v>
      </c>
      <c r="K131" s="34">
        <v>7409225737</v>
      </c>
      <c r="L131" s="39">
        <f t="shared" si="78"/>
        <v>0.1604148126028711</v>
      </c>
      <c r="M131" s="39">
        <f t="shared" si="72"/>
        <v>0.19447988708883016</v>
      </c>
      <c r="N131" s="43">
        <f t="shared" si="79"/>
        <v>5.9395879639940301E-3</v>
      </c>
      <c r="O131" s="44">
        <f t="shared" si="80"/>
        <v>-6.7319574906346189E-4</v>
      </c>
      <c r="P131" s="45">
        <f t="shared" si="81"/>
        <v>789.70906220296217</v>
      </c>
      <c r="Q131" s="45">
        <f t="shared" si="82"/>
        <v>-0.53162878367192712</v>
      </c>
      <c r="R131" s="34">
        <v>785.76049999999998</v>
      </c>
      <c r="S131" s="34">
        <v>809.45169999999996</v>
      </c>
      <c r="T131" s="34">
        <v>20912</v>
      </c>
      <c r="U131" s="34">
        <v>9347558</v>
      </c>
      <c r="V131" s="34">
        <v>9382222</v>
      </c>
    </row>
    <row r="132" spans="1:22" ht="14.25">
      <c r="A132" s="53">
        <v>110</v>
      </c>
      <c r="B132" s="42" t="s">
        <v>168</v>
      </c>
      <c r="C132" s="42" t="s">
        <v>108</v>
      </c>
      <c r="D132" s="34">
        <v>1606921750.8900001</v>
      </c>
      <c r="E132" s="72">
        <v>32314671.68</v>
      </c>
      <c r="F132" s="34">
        <v>203936225.84999999</v>
      </c>
      <c r="G132" s="72">
        <v>2419892.9</v>
      </c>
      <c r="H132" s="35">
        <f t="shared" si="71"/>
        <v>233831004.63</v>
      </c>
      <c r="I132" s="93">
        <v>1327437206.3199999</v>
      </c>
      <c r="J132" s="39">
        <f t="shared" si="77"/>
        <v>3.1339221776113389E-2</v>
      </c>
      <c r="K132" s="34">
        <v>1571059378.95</v>
      </c>
      <c r="L132" s="39">
        <f t="shared" si="78"/>
        <v>3.4014511746309789E-2</v>
      </c>
      <c r="M132" s="39">
        <f t="shared" si="72"/>
        <v>0.18352820869424319</v>
      </c>
      <c r="N132" s="43">
        <f t="shared" si="79"/>
        <v>1.5402937230910446E-3</v>
      </c>
      <c r="O132" s="44">
        <f t="shared" si="80"/>
        <v>0.14883651615146357</v>
      </c>
      <c r="P132" s="45">
        <f t="shared" si="81"/>
        <v>3.7206850579740762</v>
      </c>
      <c r="Q132" s="45">
        <f t="shared" si="82"/>
        <v>0.5537738017256677</v>
      </c>
      <c r="R132" s="34">
        <v>3.5626000000000002</v>
      </c>
      <c r="S132" s="34">
        <v>3.6553</v>
      </c>
      <c r="T132" s="34">
        <v>2752</v>
      </c>
      <c r="U132" s="34">
        <v>422342693.24000001</v>
      </c>
      <c r="V132" s="34">
        <v>422250030.43000001</v>
      </c>
    </row>
    <row r="133" spans="1:22" ht="14.25">
      <c r="A133" s="53">
        <v>111</v>
      </c>
      <c r="B133" s="42" t="s">
        <v>169</v>
      </c>
      <c r="C133" s="42" t="s">
        <v>60</v>
      </c>
      <c r="D133" s="36">
        <v>243815475.41</v>
      </c>
      <c r="E133" s="36">
        <v>2816295.08</v>
      </c>
      <c r="F133" s="34">
        <v>0</v>
      </c>
      <c r="G133" s="34">
        <v>640935.98</v>
      </c>
      <c r="H133" s="35">
        <f t="shared" si="71"/>
        <v>2175359.1</v>
      </c>
      <c r="I133" s="93">
        <v>3109790657.5999999</v>
      </c>
      <c r="J133" s="39">
        <f t="shared" si="77"/>
        <v>7.3418477824643696E-2</v>
      </c>
      <c r="K133" s="34">
        <v>242901095.62</v>
      </c>
      <c r="L133" s="39">
        <f t="shared" si="78"/>
        <v>5.2589751099541074E-3</v>
      </c>
      <c r="M133" s="39">
        <f t="shared" si="72"/>
        <v>-0.9218914961280833</v>
      </c>
      <c r="N133" s="43">
        <f t="shared" si="79"/>
        <v>2.6386706011515683E-3</v>
      </c>
      <c r="O133" s="44">
        <f t="shared" si="80"/>
        <v>8.9557401725481774E-3</v>
      </c>
      <c r="P133" s="45">
        <f t="shared" si="81"/>
        <v>1039.2968635197578</v>
      </c>
      <c r="Q133" s="45">
        <f t="shared" si="82"/>
        <v>9.3076726718272145</v>
      </c>
      <c r="R133" s="34">
        <v>1039.3</v>
      </c>
      <c r="S133" s="34">
        <v>1039.3</v>
      </c>
      <c r="T133" s="34">
        <v>12</v>
      </c>
      <c r="U133" s="34">
        <v>200088.91</v>
      </c>
      <c r="V133" s="34">
        <v>233716.76</v>
      </c>
    </row>
    <row r="134" spans="1:22" ht="14.1" customHeight="1">
      <c r="A134" s="53">
        <v>112</v>
      </c>
      <c r="B134" s="42" t="s">
        <v>170</v>
      </c>
      <c r="C134" s="46" t="s">
        <v>62</v>
      </c>
      <c r="D134" s="36">
        <v>338279953.67000002</v>
      </c>
      <c r="E134" s="36">
        <v>10956040.42</v>
      </c>
      <c r="F134" s="34">
        <v>2262931.4700000002</v>
      </c>
      <c r="G134" s="34">
        <v>1020718.93</v>
      </c>
      <c r="H134" s="35">
        <f t="shared" si="71"/>
        <v>12198252.960000001</v>
      </c>
      <c r="I134" s="93">
        <v>468615930.75</v>
      </c>
      <c r="J134" s="39">
        <f t="shared" si="77"/>
        <v>1.1063467644023333E-2</v>
      </c>
      <c r="K134" s="34">
        <v>472004244.97000003</v>
      </c>
      <c r="L134" s="39">
        <f t="shared" si="78"/>
        <v>1.0219215231425769E-2</v>
      </c>
      <c r="M134" s="39">
        <f t="shared" si="72"/>
        <v>7.2304716883550566E-3</v>
      </c>
      <c r="N134" s="43">
        <f t="shared" si="79"/>
        <v>2.1625206571285723E-3</v>
      </c>
      <c r="O134" s="44">
        <f t="shared" si="80"/>
        <v>2.5843523845374115E-2</v>
      </c>
      <c r="P134" s="45">
        <f t="shared" si="81"/>
        <v>171.62080758862572</v>
      </c>
      <c r="Q134" s="45">
        <f t="shared" si="82"/>
        <v>4.4352864332790114</v>
      </c>
      <c r="R134" s="34">
        <v>177.74</v>
      </c>
      <c r="S134" s="34">
        <v>178.9</v>
      </c>
      <c r="T134" s="34">
        <v>661</v>
      </c>
      <c r="U134" s="34">
        <v>2650528</v>
      </c>
      <c r="V134" s="34">
        <v>2750274</v>
      </c>
    </row>
    <row r="135" spans="1:22" ht="15" customHeight="1">
      <c r="A135" s="53">
        <v>113</v>
      </c>
      <c r="B135" s="42" t="s">
        <v>171</v>
      </c>
      <c r="C135" s="46" t="s">
        <v>64</v>
      </c>
      <c r="D135" s="24">
        <v>248331135.28999999</v>
      </c>
      <c r="E135" s="24">
        <v>1956454.75</v>
      </c>
      <c r="F135" s="34">
        <v>0</v>
      </c>
      <c r="G135" s="22">
        <v>691169.45</v>
      </c>
      <c r="H135" s="23">
        <v>3676035.92</v>
      </c>
      <c r="I135" s="22">
        <v>331444396.5</v>
      </c>
      <c r="J135" s="39">
        <f t="shared" si="77"/>
        <v>7.8250100260181792E-3</v>
      </c>
      <c r="K135" s="22">
        <v>331444396.5</v>
      </c>
      <c r="L135" s="39">
        <f t="shared" si="78"/>
        <v>7.1759982270896772E-3</v>
      </c>
      <c r="M135" s="39">
        <f t="shared" si="72"/>
        <v>0</v>
      </c>
      <c r="N135" s="43">
        <f t="shared" si="79"/>
        <v>2.0853254944076267E-3</v>
      </c>
      <c r="O135" s="44">
        <f t="shared" si="80"/>
        <v>1.1090958117917675E-2</v>
      </c>
      <c r="P135" s="45">
        <f t="shared" si="81"/>
        <v>137.41595449214111</v>
      </c>
      <c r="Q135" s="45">
        <f t="shared" si="82"/>
        <v>1.5240745960060182</v>
      </c>
      <c r="R135" s="22">
        <v>141.68</v>
      </c>
      <c r="S135" s="22">
        <v>142.58000000000001</v>
      </c>
      <c r="T135" s="22">
        <f>549+27+3</f>
        <v>579</v>
      </c>
      <c r="U135" s="22">
        <v>2411979</v>
      </c>
      <c r="V135" s="22">
        <v>2411979</v>
      </c>
    </row>
    <row r="136" spans="1:22" ht="14.25">
      <c r="A136" s="53">
        <v>114</v>
      </c>
      <c r="B136" s="42" t="s">
        <v>172</v>
      </c>
      <c r="C136" s="46" t="s">
        <v>66</v>
      </c>
      <c r="D136" s="62">
        <v>184674493.97</v>
      </c>
      <c r="E136" s="62">
        <v>7463831.3399999999</v>
      </c>
      <c r="F136" s="34">
        <v>0</v>
      </c>
      <c r="G136" s="72">
        <v>721968.96</v>
      </c>
      <c r="H136" s="35">
        <f t="shared" si="71"/>
        <v>6741862.3799999999</v>
      </c>
      <c r="I136" s="94">
        <v>172558226.05000001</v>
      </c>
      <c r="J136" s="39">
        <f t="shared" si="77"/>
        <v>4.0738955407657986E-3</v>
      </c>
      <c r="K136" s="62">
        <v>192894602.84999999</v>
      </c>
      <c r="L136" s="39">
        <f t="shared" si="78"/>
        <v>4.176300286515079E-3</v>
      </c>
      <c r="M136" s="39">
        <f t="shared" si="72"/>
        <v>0.11785225929540658</v>
      </c>
      <c r="N136" s="43">
        <f t="shared" si="79"/>
        <v>3.7428157622503432E-3</v>
      </c>
      <c r="O136" s="44">
        <f t="shared" si="80"/>
        <v>3.4951016152808857E-2</v>
      </c>
      <c r="P136" s="45">
        <f t="shared" si="81"/>
        <v>1.609902254009403</v>
      </c>
      <c r="Q136" s="45">
        <f t="shared" si="82"/>
        <v>5.6267719684326034E-2</v>
      </c>
      <c r="R136" s="34">
        <v>1.6016999999999999</v>
      </c>
      <c r="S136" s="72">
        <v>1.6173999999999999</v>
      </c>
      <c r="T136" s="34">
        <v>277</v>
      </c>
      <c r="U136" s="62">
        <v>113208050.03</v>
      </c>
      <c r="V136" s="62">
        <v>119817586.67</v>
      </c>
    </row>
    <row r="137" spans="1:22" ht="14.25">
      <c r="A137" s="53">
        <v>115</v>
      </c>
      <c r="B137" s="40" t="s">
        <v>235</v>
      </c>
      <c r="C137" s="48" t="s">
        <v>47</v>
      </c>
      <c r="D137" s="36">
        <f>89784379.8+32924523.54+29351324.11+4000000</f>
        <v>156060227.44999999</v>
      </c>
      <c r="E137" s="36">
        <v>878335.54</v>
      </c>
      <c r="F137" s="34">
        <v>0</v>
      </c>
      <c r="G137" s="34">
        <v>236684.46</v>
      </c>
      <c r="H137" s="35">
        <f t="shared" ref="H137" si="83">(E137+F137)-G137</f>
        <v>641651.08000000007</v>
      </c>
      <c r="I137" s="93">
        <v>142587412.02000001</v>
      </c>
      <c r="J137" s="39">
        <f t="shared" si="77"/>
        <v>3.3663200839193701E-3</v>
      </c>
      <c r="K137" s="34">
        <v>155036787.78</v>
      </c>
      <c r="L137" s="39">
        <f t="shared" si="78"/>
        <v>3.3566526572518436E-3</v>
      </c>
      <c r="M137" s="39">
        <f t="shared" si="72"/>
        <v>8.7310482626992203E-2</v>
      </c>
      <c r="N137" s="43">
        <f t="shared" si="79"/>
        <v>1.5266341839838653E-3</v>
      </c>
      <c r="O137" s="44">
        <f t="shared" si="80"/>
        <v>4.1387021054029739E-3</v>
      </c>
      <c r="P137" s="45">
        <f t="shared" si="81"/>
        <v>288.43632289277264</v>
      </c>
      <c r="Q137" s="45">
        <f t="shared" si="82"/>
        <v>1.1937520168310103</v>
      </c>
      <c r="R137" s="34">
        <v>147.06</v>
      </c>
      <c r="S137" s="34">
        <v>147.7593</v>
      </c>
      <c r="T137" s="34">
        <v>90</v>
      </c>
      <c r="U137" s="34">
        <v>1071714</v>
      </c>
      <c r="V137" s="34">
        <v>537507.85</v>
      </c>
    </row>
    <row r="138" spans="1:22" ht="14.25">
      <c r="A138" s="53">
        <v>116</v>
      </c>
      <c r="B138" s="40" t="s">
        <v>173</v>
      </c>
      <c r="C138" s="48" t="s">
        <v>174</v>
      </c>
      <c r="D138" s="36">
        <v>74598286.819999993</v>
      </c>
      <c r="E138" s="36">
        <v>2372457.02</v>
      </c>
      <c r="F138" s="34">
        <v>0</v>
      </c>
      <c r="G138" s="34">
        <v>551267.19999999995</v>
      </c>
      <c r="H138" s="35">
        <f t="shared" si="71"/>
        <v>1821189.82</v>
      </c>
      <c r="I138" s="93">
        <v>183870271.62</v>
      </c>
      <c r="J138" s="39">
        <f t="shared" si="77"/>
        <v>4.3409595519083872E-3</v>
      </c>
      <c r="K138" s="34">
        <v>164971063.40000001</v>
      </c>
      <c r="L138" s="39">
        <f t="shared" si="78"/>
        <v>3.5717365295071411E-3</v>
      </c>
      <c r="M138" s="39">
        <f t="shared" si="72"/>
        <v>-0.10278555665082451</v>
      </c>
      <c r="N138" s="43">
        <f t="shared" si="79"/>
        <v>3.3415993607518926E-3</v>
      </c>
      <c r="O138" s="44">
        <f t="shared" si="80"/>
        <v>1.1039450085765769E-2</v>
      </c>
      <c r="P138" s="45">
        <f t="shared" si="81"/>
        <v>92.550490042625583</v>
      </c>
      <c r="Q138" s="45">
        <f t="shared" si="82"/>
        <v>1.0217065152387268</v>
      </c>
      <c r="R138" s="34">
        <v>110.85</v>
      </c>
      <c r="S138" s="34">
        <v>111.14</v>
      </c>
      <c r="T138" s="34">
        <v>52</v>
      </c>
      <c r="U138" s="62">
        <v>1552302</v>
      </c>
      <c r="V138" s="34">
        <v>1782498</v>
      </c>
    </row>
    <row r="139" spans="1:22" ht="14.25">
      <c r="A139" s="53">
        <v>117</v>
      </c>
      <c r="B139" s="42" t="s">
        <v>175</v>
      </c>
      <c r="C139" s="46" t="s">
        <v>71</v>
      </c>
      <c r="D139" s="62">
        <v>473906472.31</v>
      </c>
      <c r="E139" s="36">
        <v>19433728.170000002</v>
      </c>
      <c r="F139" s="34">
        <v>0</v>
      </c>
      <c r="G139" s="34">
        <v>1027360.58</v>
      </c>
      <c r="H139" s="35">
        <f t="shared" si="71"/>
        <v>18406367.590000004</v>
      </c>
      <c r="I139" s="93">
        <v>475113306.23000002</v>
      </c>
      <c r="J139" s="39">
        <f t="shared" si="77"/>
        <v>1.121686299120883E-2</v>
      </c>
      <c r="K139" s="72">
        <v>482357701.86000001</v>
      </c>
      <c r="L139" s="39">
        <f t="shared" si="78"/>
        <v>1.0443374665320105E-2</v>
      </c>
      <c r="M139" s="39">
        <f t="shared" si="72"/>
        <v>1.5247722038104778E-2</v>
      </c>
      <c r="N139" s="43">
        <f t="shared" si="79"/>
        <v>2.1298728641388669E-3</v>
      </c>
      <c r="O139" s="44">
        <f t="shared" si="80"/>
        <v>3.8159165944741745E-2</v>
      </c>
      <c r="P139" s="45">
        <f t="shared" si="81"/>
        <v>1.492597780407829</v>
      </c>
      <c r="Q139" s="45">
        <f t="shared" si="82"/>
        <v>5.6956286391335535E-2</v>
      </c>
      <c r="R139" s="34">
        <v>1.48</v>
      </c>
      <c r="S139" s="34">
        <v>1.48</v>
      </c>
      <c r="T139" s="34">
        <v>107</v>
      </c>
      <c r="U139" s="34">
        <v>361971751.81999999</v>
      </c>
      <c r="V139" s="34">
        <v>323166567.83999997</v>
      </c>
    </row>
    <row r="140" spans="1:22" ht="14.25">
      <c r="A140" s="53">
        <v>118</v>
      </c>
      <c r="B140" s="46" t="s">
        <v>176</v>
      </c>
      <c r="C140" s="46" t="s">
        <v>75</v>
      </c>
      <c r="D140" s="36">
        <v>8263280557.8199997</v>
      </c>
      <c r="E140" s="36">
        <v>43472226.119999997</v>
      </c>
      <c r="F140" s="34">
        <v>0</v>
      </c>
      <c r="G140" s="72">
        <v>14677404.59</v>
      </c>
      <c r="H140" s="35">
        <f t="shared" si="71"/>
        <v>28794821.529999997</v>
      </c>
      <c r="I140" s="93">
        <v>7253610957.1599998</v>
      </c>
      <c r="J140" s="39">
        <f t="shared" si="77"/>
        <v>0.17124917199984196</v>
      </c>
      <c r="K140" s="34">
        <v>8047438176.7600002</v>
      </c>
      <c r="L140" s="39">
        <f t="shared" si="78"/>
        <v>0.1742325491058454</v>
      </c>
      <c r="M140" s="39">
        <f t="shared" si="72"/>
        <v>0.10943890212590156</v>
      </c>
      <c r="N140" s="43">
        <f t="shared" si="79"/>
        <v>1.8238604966716635E-3</v>
      </c>
      <c r="O140" s="44">
        <f t="shared" si="80"/>
        <v>3.5781351651952864E-3</v>
      </c>
      <c r="P140" s="45">
        <f t="shared" si="81"/>
        <v>294.94757705933449</v>
      </c>
      <c r="Q140" s="45">
        <f t="shared" si="82"/>
        <v>1.0553622973651513</v>
      </c>
      <c r="R140" s="34">
        <v>294.95</v>
      </c>
      <c r="S140" s="34">
        <v>297.61</v>
      </c>
      <c r="T140" s="34">
        <v>5495</v>
      </c>
      <c r="U140" s="34">
        <v>26824025.280000001</v>
      </c>
      <c r="V140" s="34">
        <v>27284300</v>
      </c>
    </row>
    <row r="141" spans="1:22" ht="14.25" customHeight="1">
      <c r="A141" s="53">
        <v>119</v>
      </c>
      <c r="B141" s="55" t="s">
        <v>177</v>
      </c>
      <c r="C141" s="42" t="s">
        <v>77</v>
      </c>
      <c r="D141" s="36">
        <v>2784258524</v>
      </c>
      <c r="E141" s="36">
        <v>16101732.18</v>
      </c>
      <c r="F141" s="34">
        <v>167740699.37</v>
      </c>
      <c r="G141" s="34">
        <v>8911393.9600000009</v>
      </c>
      <c r="H141" s="35">
        <f t="shared" si="71"/>
        <v>174931037.59</v>
      </c>
      <c r="I141" s="93">
        <v>2053014105.0899999</v>
      </c>
      <c r="J141" s="39">
        <f t="shared" si="77"/>
        <v>4.8469233830857619E-2</v>
      </c>
      <c r="K141" s="34">
        <v>2673825460.5</v>
      </c>
      <c r="L141" s="39">
        <f t="shared" si="78"/>
        <v>5.7890152818122063E-2</v>
      </c>
      <c r="M141" s="39">
        <f t="shared" si="72"/>
        <v>0.30239020466095873</v>
      </c>
      <c r="N141" s="43">
        <f t="shared" si="79"/>
        <v>3.3328256057273044E-3</v>
      </c>
      <c r="O141" s="44">
        <f t="shared" si="80"/>
        <v>6.5423506572971385E-2</v>
      </c>
      <c r="P141" s="45">
        <f t="shared" si="81"/>
        <v>1.8828226858080706</v>
      </c>
      <c r="Q141" s="45">
        <f t="shared" si="82"/>
        <v>0.12318086236070395</v>
      </c>
      <c r="R141" s="34">
        <v>1.8637999999999999</v>
      </c>
      <c r="S141" s="34">
        <v>1.8988</v>
      </c>
      <c r="T141" s="34">
        <v>10310</v>
      </c>
      <c r="U141" s="34">
        <v>1421727423.5699999</v>
      </c>
      <c r="V141" s="34">
        <v>1420115383.49</v>
      </c>
    </row>
    <row r="142" spans="1:22" ht="14.25">
      <c r="A142" s="53">
        <v>120</v>
      </c>
      <c r="B142" s="42" t="s">
        <v>178</v>
      </c>
      <c r="C142" s="46" t="s">
        <v>79</v>
      </c>
      <c r="D142" s="34">
        <v>157735186.13</v>
      </c>
      <c r="E142" s="36">
        <v>2053439.17</v>
      </c>
      <c r="F142" s="34">
        <v>0</v>
      </c>
      <c r="G142" s="34">
        <v>460023.66</v>
      </c>
      <c r="H142" s="35">
        <f t="shared" si="71"/>
        <v>1593415.51</v>
      </c>
      <c r="I142" s="93">
        <v>192060050.78</v>
      </c>
      <c r="J142" s="39">
        <f t="shared" si="77"/>
        <v>4.5343105474738672E-3</v>
      </c>
      <c r="K142" s="34">
        <v>190013120.31</v>
      </c>
      <c r="L142" s="39">
        <f t="shared" si="78"/>
        <v>4.1139142156785191E-3</v>
      </c>
      <c r="M142" s="39">
        <f t="shared" si="72"/>
        <v>-1.0657762828276593E-2</v>
      </c>
      <c r="N142" s="43">
        <f t="shared" si="79"/>
        <v>2.4210099768346882E-3</v>
      </c>
      <c r="O142" s="44">
        <f t="shared" si="80"/>
        <v>8.3858183445458725E-3</v>
      </c>
      <c r="P142" s="45">
        <f t="shared" si="81"/>
        <v>247.23422595814475</v>
      </c>
      <c r="Q142" s="45">
        <f t="shared" si="82"/>
        <v>2.0732613074394095</v>
      </c>
      <c r="R142" s="34">
        <v>247.23</v>
      </c>
      <c r="S142" s="34">
        <v>247.83</v>
      </c>
      <c r="T142" s="34">
        <v>39</v>
      </c>
      <c r="U142" s="35">
        <v>768555.08</v>
      </c>
      <c r="V142" s="35">
        <v>768555.08</v>
      </c>
    </row>
    <row r="143" spans="1:22" ht="14.25">
      <c r="A143" s="53">
        <v>121</v>
      </c>
      <c r="B143" s="46" t="s">
        <v>179</v>
      </c>
      <c r="C143" s="46" t="s">
        <v>35</v>
      </c>
      <c r="D143" s="72">
        <v>2713332264.8899999</v>
      </c>
      <c r="E143" s="72">
        <v>14264355.4</v>
      </c>
      <c r="F143" s="34">
        <v>0</v>
      </c>
      <c r="G143" s="72">
        <v>7204211.1100000003</v>
      </c>
      <c r="H143" s="35">
        <f t="shared" si="71"/>
        <v>7060144.29</v>
      </c>
      <c r="I143" s="92">
        <v>2645326093.48</v>
      </c>
      <c r="J143" s="39">
        <f t="shared" si="77"/>
        <v>6.2453019034728198E-2</v>
      </c>
      <c r="K143" s="72">
        <v>2201123332.8400002</v>
      </c>
      <c r="L143" s="39">
        <f t="shared" si="78"/>
        <v>4.7655827948400883E-2</v>
      </c>
      <c r="M143" s="39">
        <f t="shared" si="72"/>
        <v>-0.16791984993261785</v>
      </c>
      <c r="N143" s="43">
        <f t="shared" si="79"/>
        <v>3.2729702159418595E-3</v>
      </c>
      <c r="O143" s="44">
        <f t="shared" si="80"/>
        <v>3.2075187176770536E-3</v>
      </c>
      <c r="P143" s="45">
        <f t="shared" si="81"/>
        <v>3.0796861358521328</v>
      </c>
      <c r="Q143" s="45">
        <f t="shared" si="82"/>
        <v>9.8781509253162338E-3</v>
      </c>
      <c r="R143" s="34">
        <v>3.75</v>
      </c>
      <c r="S143" s="34">
        <v>3.82</v>
      </c>
      <c r="T143" s="34">
        <v>2536</v>
      </c>
      <c r="U143" s="72">
        <v>721508613.39999998</v>
      </c>
      <c r="V143" s="72">
        <v>714723265.86000001</v>
      </c>
    </row>
    <row r="144" spans="1:22" ht="14.25">
      <c r="A144" s="53">
        <v>122</v>
      </c>
      <c r="B144" s="46" t="s">
        <v>180</v>
      </c>
      <c r="C144" s="46" t="s">
        <v>118</v>
      </c>
      <c r="D144" s="36">
        <v>198855996.91999999</v>
      </c>
      <c r="E144" s="36">
        <v>12205640.68</v>
      </c>
      <c r="F144" s="34">
        <v>0</v>
      </c>
      <c r="G144" s="76">
        <v>354039.53</v>
      </c>
      <c r="H144" s="35">
        <f t="shared" si="71"/>
        <v>11851601.15</v>
      </c>
      <c r="I144" s="93">
        <v>179809676.81999999</v>
      </c>
      <c r="J144" s="39">
        <f t="shared" si="77"/>
        <v>4.2450937133027937E-3</v>
      </c>
      <c r="K144" s="34">
        <v>198501957.38999999</v>
      </c>
      <c r="L144" s="39">
        <f t="shared" si="78"/>
        <v>4.2977033534023577E-3</v>
      </c>
      <c r="M144" s="39">
        <f t="shared" si="72"/>
        <v>0.10395592106375932</v>
      </c>
      <c r="N144" s="43">
        <f t="shared" si="79"/>
        <v>1.7835568709502086E-3</v>
      </c>
      <c r="O144" s="44">
        <f t="shared" si="80"/>
        <v>5.9705210496816256E-2</v>
      </c>
      <c r="P144" s="45">
        <f t="shared" si="81"/>
        <v>197.89267749880955</v>
      </c>
      <c r="Q144" s="45">
        <f t="shared" si="82"/>
        <v>11.815223965844998</v>
      </c>
      <c r="R144" s="34">
        <v>191.9427</v>
      </c>
      <c r="S144" s="34">
        <v>198.13669999999999</v>
      </c>
      <c r="T144" s="34">
        <v>139</v>
      </c>
      <c r="U144" s="73">
        <v>1003078.84</v>
      </c>
      <c r="V144" s="83">
        <v>1003078.84</v>
      </c>
    </row>
    <row r="145" spans="1:22" ht="14.25">
      <c r="A145" s="53">
        <v>123</v>
      </c>
      <c r="B145" s="42" t="s">
        <v>181</v>
      </c>
      <c r="C145" s="46" t="s">
        <v>31</v>
      </c>
      <c r="D145" s="36">
        <v>1651491456.49</v>
      </c>
      <c r="E145" s="62">
        <v>35459357.020000003</v>
      </c>
      <c r="F145" s="34">
        <v>202298743.40000001</v>
      </c>
      <c r="G145" s="34">
        <v>3642229.26</v>
      </c>
      <c r="H145" s="35">
        <f t="shared" si="71"/>
        <v>234115871.16000003</v>
      </c>
      <c r="I145" s="92">
        <v>1563291063.75</v>
      </c>
      <c r="J145" s="39">
        <f t="shared" si="77"/>
        <v>3.6907452280395915E-2</v>
      </c>
      <c r="K145" s="72">
        <v>1423791743.95</v>
      </c>
      <c r="L145" s="39">
        <f t="shared" si="78"/>
        <v>3.0826066568695545E-2</v>
      </c>
      <c r="M145" s="39">
        <f t="shared" si="72"/>
        <v>-8.9234387015154432E-2</v>
      </c>
      <c r="N145" s="43">
        <f t="shared" si="79"/>
        <v>2.5581193847180402E-3</v>
      </c>
      <c r="O145" s="44">
        <f t="shared" si="80"/>
        <v>0.1644312605089959</v>
      </c>
      <c r="P145" s="45">
        <f t="shared" si="81"/>
        <v>1908.6959500636772</v>
      </c>
      <c r="Q145" s="45">
        <f t="shared" si="82"/>
        <v>313.8492809973859</v>
      </c>
      <c r="R145" s="34">
        <v>552.20000000000005</v>
      </c>
      <c r="S145" s="34">
        <v>552.20000000000005</v>
      </c>
      <c r="T145" s="34">
        <v>830</v>
      </c>
      <c r="U145" s="62">
        <v>745950</v>
      </c>
      <c r="V145" s="34">
        <v>745950</v>
      </c>
    </row>
    <row r="146" spans="1:22" ht="14.25">
      <c r="A146" s="53">
        <v>124</v>
      </c>
      <c r="B146" s="42" t="s">
        <v>182</v>
      </c>
      <c r="C146" s="46" t="s">
        <v>86</v>
      </c>
      <c r="D146" s="72">
        <v>28628500.82</v>
      </c>
      <c r="E146" s="36">
        <v>190417.08</v>
      </c>
      <c r="F146" s="34">
        <v>0</v>
      </c>
      <c r="G146" s="34">
        <v>17244.62</v>
      </c>
      <c r="H146" s="35">
        <f t="shared" si="71"/>
        <v>173172.46</v>
      </c>
      <c r="I146" s="93">
        <v>27240222.16</v>
      </c>
      <c r="J146" s="39">
        <f t="shared" si="77"/>
        <v>6.4310941371718909E-4</v>
      </c>
      <c r="K146" s="34">
        <v>29774579.82</v>
      </c>
      <c r="L146" s="39">
        <f t="shared" si="78"/>
        <v>6.4464004900037617E-4</v>
      </c>
      <c r="M146" s="39">
        <f t="shared" si="72"/>
        <v>9.3037334464969729E-2</v>
      </c>
      <c r="N146" s="43">
        <f t="shared" si="79"/>
        <v>5.7917257285412793E-4</v>
      </c>
      <c r="O146" s="44">
        <f t="shared" si="80"/>
        <v>5.8161176764508909E-3</v>
      </c>
      <c r="P146" s="45">
        <f t="shared" si="81"/>
        <v>1.8886363112018554</v>
      </c>
      <c r="Q146" s="45">
        <f t="shared" si="82"/>
        <v>1.0984531033968117E-2</v>
      </c>
      <c r="R146" s="34">
        <v>1.0798000000000001</v>
      </c>
      <c r="S146" s="34">
        <v>1.0798000000000001</v>
      </c>
      <c r="T146" s="34">
        <v>6</v>
      </c>
      <c r="U146" s="72">
        <v>15784817.890000001</v>
      </c>
      <c r="V146" s="72">
        <v>15765120.92</v>
      </c>
    </row>
    <row r="147" spans="1:22" ht="14.25">
      <c r="A147" s="53">
        <v>125</v>
      </c>
      <c r="B147" s="46" t="s">
        <v>183</v>
      </c>
      <c r="C147" s="46" t="s">
        <v>41</v>
      </c>
      <c r="D147" s="36">
        <v>264804488.78999999</v>
      </c>
      <c r="E147" s="36">
        <v>3636696.35</v>
      </c>
      <c r="F147" s="34">
        <v>82228435.409999996</v>
      </c>
      <c r="G147" s="34">
        <v>414460.03</v>
      </c>
      <c r="H147" s="35">
        <f t="shared" si="71"/>
        <v>85450671.729999989</v>
      </c>
      <c r="I147" s="93">
        <v>227742183.81</v>
      </c>
      <c r="J147" s="39">
        <f t="shared" si="77"/>
        <v>5.3767234880995338E-3</v>
      </c>
      <c r="K147" s="34">
        <v>264497528.63</v>
      </c>
      <c r="L147" s="39">
        <f t="shared" si="78"/>
        <v>5.7265526784022166E-3</v>
      </c>
      <c r="M147" s="39">
        <f t="shared" si="72"/>
        <v>0.16139014830324153</v>
      </c>
      <c r="N147" s="43">
        <f t="shared" si="79"/>
        <v>1.5669712762412212E-3</v>
      </c>
      <c r="O147" s="44">
        <f t="shared" si="80"/>
        <v>0.32306794007718359</v>
      </c>
      <c r="P147" s="45">
        <f t="shared" si="81"/>
        <v>2.7008530210858566</v>
      </c>
      <c r="Q147" s="45">
        <f t="shared" si="82"/>
        <v>0.8725590219734457</v>
      </c>
      <c r="R147" s="34">
        <v>2.3199999999999998</v>
      </c>
      <c r="S147" s="34">
        <v>2.37</v>
      </c>
      <c r="T147" s="34">
        <v>116</v>
      </c>
      <c r="U147" s="34">
        <v>97931107.900000006</v>
      </c>
      <c r="V147" s="34">
        <v>97931107.900000006</v>
      </c>
    </row>
    <row r="148" spans="1:22" ht="14.25">
      <c r="A148" s="53">
        <v>126</v>
      </c>
      <c r="B148" s="42" t="s">
        <v>184</v>
      </c>
      <c r="C148" s="42" t="s">
        <v>45</v>
      </c>
      <c r="D148" s="72">
        <v>2918283643.2199998</v>
      </c>
      <c r="E148" s="72">
        <v>19239948.52</v>
      </c>
      <c r="F148" s="34">
        <v>0</v>
      </c>
      <c r="G148" s="72">
        <v>4649099.9800000004</v>
      </c>
      <c r="H148" s="35">
        <f t="shared" si="71"/>
        <v>14590848.539999999</v>
      </c>
      <c r="I148" s="92">
        <v>2357230552.3400002</v>
      </c>
      <c r="J148" s="39">
        <f t="shared" si="77"/>
        <v>5.5651424192042026E-2</v>
      </c>
      <c r="K148" s="72">
        <v>3015911249.1100001</v>
      </c>
      <c r="L148" s="39">
        <f t="shared" si="78"/>
        <v>6.5296544473857701E-2</v>
      </c>
      <c r="M148" s="39">
        <f t="shared" si="72"/>
        <v>0.27942989968297077</v>
      </c>
      <c r="N148" s="43">
        <f t="shared" si="79"/>
        <v>1.5415241351588037E-3</v>
      </c>
      <c r="O148" s="44">
        <f t="shared" si="80"/>
        <v>4.8379568676982058E-3</v>
      </c>
      <c r="P148" s="45">
        <f t="shared" si="81"/>
        <v>5590.1263769219149</v>
      </c>
      <c r="Q148" s="45">
        <f t="shared" si="82"/>
        <v>27.044790296530266</v>
      </c>
      <c r="R148" s="72">
        <v>5563.53</v>
      </c>
      <c r="S148" s="72">
        <v>5608.35</v>
      </c>
      <c r="T148" s="72">
        <v>2137</v>
      </c>
      <c r="U148" s="72">
        <v>469665.42</v>
      </c>
      <c r="V148" s="72">
        <v>539506.81000000006</v>
      </c>
    </row>
    <row r="149" spans="1:22" ht="14.25">
      <c r="A149" s="53">
        <v>127</v>
      </c>
      <c r="B149" s="40" t="s">
        <v>236</v>
      </c>
      <c r="C149" s="40" t="s">
        <v>237</v>
      </c>
      <c r="D149" s="72">
        <v>597984748.33000004</v>
      </c>
      <c r="E149" s="36">
        <v>8023501.1399999997</v>
      </c>
      <c r="F149" s="34">
        <v>0</v>
      </c>
      <c r="G149" s="34">
        <v>797326.7</v>
      </c>
      <c r="H149" s="35">
        <f t="shared" si="71"/>
        <v>7226174.4399999995</v>
      </c>
      <c r="I149" s="34">
        <v>0</v>
      </c>
      <c r="J149" s="39">
        <f t="shared" si="77"/>
        <v>0</v>
      </c>
      <c r="K149" s="34">
        <v>597879555.13999999</v>
      </c>
      <c r="L149" s="39">
        <f t="shared" si="78"/>
        <v>1.2944501922505137E-2</v>
      </c>
      <c r="M149" s="39" t="e">
        <f t="shared" si="72"/>
        <v>#DIV/0!</v>
      </c>
      <c r="N149" s="43">
        <f t="shared" si="79"/>
        <v>1.3335908430809234E-3</v>
      </c>
      <c r="O149" s="44">
        <f t="shared" si="80"/>
        <v>1.2086338089128859E-2</v>
      </c>
      <c r="P149" s="45">
        <f t="shared" si="81"/>
        <v>1.1769432734436125</v>
      </c>
      <c r="Q149" s="45">
        <f t="shared" si="82"/>
        <v>1.4224934314565535E-2</v>
      </c>
      <c r="R149" s="34">
        <v>1.18</v>
      </c>
      <c r="S149" s="34">
        <v>1.18</v>
      </c>
      <c r="T149" s="34">
        <v>32</v>
      </c>
      <c r="U149" s="34">
        <v>507993519</v>
      </c>
      <c r="V149" s="34">
        <v>507993519</v>
      </c>
    </row>
    <row r="150" spans="1:22" ht="14.25">
      <c r="A150" s="53">
        <v>128</v>
      </c>
      <c r="B150" s="42" t="s">
        <v>185</v>
      </c>
      <c r="C150" s="42" t="s">
        <v>49</v>
      </c>
      <c r="D150" s="36">
        <v>1365424190</v>
      </c>
      <c r="E150" s="36">
        <v>53607052</v>
      </c>
      <c r="F150" s="34">
        <v>0</v>
      </c>
      <c r="G150" s="36">
        <v>3232107</v>
      </c>
      <c r="H150" s="35">
        <f t="shared" si="71"/>
        <v>50374945</v>
      </c>
      <c r="I150" s="93">
        <v>1638840284.9000001</v>
      </c>
      <c r="J150" s="39">
        <f t="shared" si="77"/>
        <v>3.869107999955277E-2</v>
      </c>
      <c r="K150" s="34">
        <v>1660538156.76</v>
      </c>
      <c r="L150" s="39">
        <f t="shared" si="78"/>
        <v>3.5951788579791304E-2</v>
      </c>
      <c r="M150" s="39">
        <f t="shared" si="72"/>
        <v>1.323977208756732E-2</v>
      </c>
      <c r="N150" s="43">
        <f t="shared" si="79"/>
        <v>1.9464213976909783E-3</v>
      </c>
      <c r="O150" s="44">
        <f t="shared" si="80"/>
        <v>3.0336517589147315E-2</v>
      </c>
      <c r="P150" s="45">
        <f t="shared" si="81"/>
        <v>1.7838737941117022</v>
      </c>
      <c r="Q150" s="45">
        <f t="shared" si="82"/>
        <v>5.4116518731888615E-2</v>
      </c>
      <c r="R150" s="34">
        <v>1.78</v>
      </c>
      <c r="S150" s="34">
        <v>1.79</v>
      </c>
      <c r="T150" s="34">
        <v>1987</v>
      </c>
      <c r="U150" s="34">
        <v>901830473</v>
      </c>
      <c r="V150" s="34">
        <v>930860783</v>
      </c>
    </row>
    <row r="151" spans="1:22" ht="14.25">
      <c r="A151" s="53">
        <v>129</v>
      </c>
      <c r="B151" s="56" t="s">
        <v>186</v>
      </c>
      <c r="C151" s="42" t="s">
        <v>93</v>
      </c>
      <c r="D151" s="34">
        <v>8416300580.54</v>
      </c>
      <c r="E151" s="62">
        <v>22837735.789999999</v>
      </c>
      <c r="F151" s="34">
        <v>0</v>
      </c>
      <c r="G151" s="62">
        <v>10105117.939999999</v>
      </c>
      <c r="H151" s="35">
        <f t="shared" si="71"/>
        <v>12732617.85</v>
      </c>
      <c r="I151" s="94">
        <v>7101600166.9399996</v>
      </c>
      <c r="J151" s="39">
        <f t="shared" si="77"/>
        <v>0.16766037710665554</v>
      </c>
      <c r="K151" s="62">
        <v>8862700998.6200008</v>
      </c>
      <c r="L151" s="39">
        <f t="shared" si="78"/>
        <v>0.19188354766264101</v>
      </c>
      <c r="M151" s="39">
        <f t="shared" si="72"/>
        <v>0.24798648055102207</v>
      </c>
      <c r="N151" s="43">
        <f t="shared" si="79"/>
        <v>1.1401849099471428E-3</v>
      </c>
      <c r="O151" s="44">
        <f t="shared" si="80"/>
        <v>1.4366520829239956E-3</v>
      </c>
      <c r="P151" s="45">
        <f t="shared" si="81"/>
        <v>437.31065472649055</v>
      </c>
      <c r="Q151" s="45">
        <f t="shared" si="82"/>
        <v>0.62826326299766888</v>
      </c>
      <c r="R151" s="34">
        <v>434.59</v>
      </c>
      <c r="S151" s="34">
        <v>439.07</v>
      </c>
      <c r="T151" s="34">
        <v>29</v>
      </c>
      <c r="U151" s="62">
        <v>20266373.350000001</v>
      </c>
      <c r="V151" s="62">
        <v>20266373.350000001</v>
      </c>
    </row>
    <row r="152" spans="1:22" ht="14.25">
      <c r="A152" s="53">
        <v>130</v>
      </c>
      <c r="B152" s="42" t="s">
        <v>187</v>
      </c>
      <c r="C152" s="42" t="s">
        <v>49</v>
      </c>
      <c r="D152" s="62">
        <v>632014379.85000002</v>
      </c>
      <c r="E152" s="62">
        <v>5211861.8600000003</v>
      </c>
      <c r="F152" s="34">
        <v>0</v>
      </c>
      <c r="G152" s="62">
        <v>1737093</v>
      </c>
      <c r="H152" s="35">
        <f t="shared" si="71"/>
        <v>3474768.8600000003</v>
      </c>
      <c r="I152" s="94">
        <v>884758954.25</v>
      </c>
      <c r="J152" s="39">
        <f t="shared" si="77"/>
        <v>2.0888112035454518E-2</v>
      </c>
      <c r="K152" s="62">
        <v>1121909678</v>
      </c>
      <c r="L152" s="39">
        <f t="shared" si="78"/>
        <v>2.4290113048517782E-2</v>
      </c>
      <c r="M152" s="39">
        <f t="shared" si="72"/>
        <v>0.26803992501102175</v>
      </c>
      <c r="N152" s="43">
        <f t="shared" si="79"/>
        <v>1.5483358723642278E-3</v>
      </c>
      <c r="O152" s="44">
        <f t="shared" si="80"/>
        <v>3.0971912696166263E-3</v>
      </c>
      <c r="P152" s="45">
        <f t="shared" si="81"/>
        <v>1.7174017653286666</v>
      </c>
      <c r="Q152" s="45">
        <f t="shared" si="82"/>
        <v>5.3191217540001284E-3</v>
      </c>
      <c r="R152" s="34">
        <v>1.72</v>
      </c>
      <c r="S152" s="34">
        <v>1.7</v>
      </c>
      <c r="T152" s="34">
        <v>147</v>
      </c>
      <c r="U152" s="34">
        <v>621898909</v>
      </c>
      <c r="V152" s="34">
        <v>653259884</v>
      </c>
    </row>
    <row r="153" spans="1:22" ht="14.25">
      <c r="A153" s="53">
        <v>131</v>
      </c>
      <c r="B153" s="42" t="s">
        <v>188</v>
      </c>
      <c r="C153" s="42" t="s">
        <v>43</v>
      </c>
      <c r="D153" s="36">
        <v>325569549.54000002</v>
      </c>
      <c r="E153" s="36">
        <f>8189148.67+405076.36+105874.32+339600.77</f>
        <v>9039700.1199999992</v>
      </c>
      <c r="F153" s="34">
        <v>-20091582.300000001</v>
      </c>
      <c r="G153" s="34">
        <v>695085.21</v>
      </c>
      <c r="H153" s="35">
        <f t="shared" si="71"/>
        <v>-11746967.390000001</v>
      </c>
      <c r="I153" s="93">
        <v>294240806.19</v>
      </c>
      <c r="J153" s="39">
        <f t="shared" si="77"/>
        <v>6.946677279247416E-3</v>
      </c>
      <c r="K153" s="34">
        <v>323197519.76999998</v>
      </c>
      <c r="L153" s="39">
        <f t="shared" si="78"/>
        <v>6.9974476966886993E-3</v>
      </c>
      <c r="M153" s="39">
        <f t="shared" si="72"/>
        <v>9.8411617188479891E-2</v>
      </c>
      <c r="N153" s="43">
        <f t="shared" si="79"/>
        <v>2.1506514359845639E-3</v>
      </c>
      <c r="O153" s="44">
        <f t="shared" si="80"/>
        <v>-3.6346093863466537E-2</v>
      </c>
      <c r="P153" s="45">
        <f t="shared" si="81"/>
        <v>225.76001292458051</v>
      </c>
      <c r="Q153" s="45">
        <f t="shared" si="82"/>
        <v>-8.2054946203742212</v>
      </c>
      <c r="R153" s="34">
        <v>224.16</v>
      </c>
      <c r="S153" s="34">
        <v>227.07</v>
      </c>
      <c r="T153" s="34">
        <v>740</v>
      </c>
      <c r="U153" s="34">
        <v>1427626.72</v>
      </c>
      <c r="V153" s="34">
        <v>1431597.72</v>
      </c>
    </row>
    <row r="154" spans="1:22" ht="14.25">
      <c r="A154" s="53">
        <v>132</v>
      </c>
      <c r="B154" s="42" t="s">
        <v>189</v>
      </c>
      <c r="C154" s="42" t="s">
        <v>97</v>
      </c>
      <c r="D154" s="34">
        <v>3665759355.6599998</v>
      </c>
      <c r="E154" s="62">
        <v>15146656.949999999</v>
      </c>
      <c r="F154" s="34">
        <v>0</v>
      </c>
      <c r="G154" s="34">
        <v>32956180.690000001</v>
      </c>
      <c r="H154" s="35">
        <f t="shared" si="71"/>
        <v>-17809523.740000002</v>
      </c>
      <c r="I154" s="92">
        <v>3299018368.1300001</v>
      </c>
      <c r="J154" s="39">
        <f t="shared" si="77"/>
        <v>7.7885920170128381E-2</v>
      </c>
      <c r="K154" s="72">
        <v>3695868176.3299999</v>
      </c>
      <c r="L154" s="39">
        <f t="shared" si="78"/>
        <v>8.0018077725749814E-2</v>
      </c>
      <c r="M154" s="39">
        <f t="shared" si="72"/>
        <v>0.12029330058715261</v>
      </c>
      <c r="N154" s="43">
        <f t="shared" si="79"/>
        <v>8.9170335947223942E-3</v>
      </c>
      <c r="O154" s="44">
        <f t="shared" si="80"/>
        <v>-4.8187659543866288E-3</v>
      </c>
      <c r="P154" s="45">
        <f t="shared" si="81"/>
        <v>20.713985791431082</v>
      </c>
      <c r="Q154" s="45">
        <f t="shared" si="82"/>
        <v>-9.9815849511396465E-2</v>
      </c>
      <c r="R154" s="62">
        <v>20.713999999999999</v>
      </c>
      <c r="S154" s="62">
        <v>20.973299999999998</v>
      </c>
      <c r="T154" s="62">
        <v>6270</v>
      </c>
      <c r="U154" s="34">
        <v>177821483.19</v>
      </c>
      <c r="V154" s="34">
        <v>178423805.71000001</v>
      </c>
    </row>
    <row r="155" spans="1:22" ht="15" customHeight="1">
      <c r="A155" s="119" t="s">
        <v>50</v>
      </c>
      <c r="B155" s="119"/>
      <c r="C155" s="119"/>
      <c r="D155" s="119"/>
      <c r="E155" s="119"/>
      <c r="F155" s="119"/>
      <c r="G155" s="119"/>
      <c r="H155" s="119"/>
      <c r="I155" s="51">
        <f>SUM(I129:I154)</f>
        <v>42357057102.540001</v>
      </c>
      <c r="J155" s="85">
        <f>(I155/$I$181)</f>
        <v>2.0328859445679651E-2</v>
      </c>
      <c r="K155" s="52">
        <f>SUM(K129:K154)</f>
        <v>46187915048.360001</v>
      </c>
      <c r="L155" s="85">
        <f>(K155/$K$181)</f>
        <v>1.7461407311113605E-2</v>
      </c>
      <c r="M155" s="39">
        <f t="shared" si="72"/>
        <v>9.0442023310214267E-2</v>
      </c>
      <c r="N155" s="43"/>
      <c r="O155" s="43"/>
      <c r="P155" s="50"/>
      <c r="Q155" s="50"/>
      <c r="R155" s="52"/>
      <c r="S155" s="52"/>
      <c r="T155" s="52">
        <f>SUM(T129:T154)</f>
        <v>68275</v>
      </c>
      <c r="U155" s="52"/>
      <c r="V155" s="63"/>
    </row>
    <row r="156" spans="1:22" ht="6" customHeight="1">
      <c r="A156" s="124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</row>
    <row r="157" spans="1:22">
      <c r="A157" s="122" t="s">
        <v>190</v>
      </c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</row>
    <row r="158" spans="1:22" ht="14.25">
      <c r="A158" s="53">
        <v>132</v>
      </c>
      <c r="B158" s="46" t="s">
        <v>191</v>
      </c>
      <c r="C158" s="46" t="s">
        <v>25</v>
      </c>
      <c r="D158" s="34">
        <v>745820512.52999997</v>
      </c>
      <c r="E158" s="34">
        <v>4930801.7699999996</v>
      </c>
      <c r="F158" s="34">
        <v>0</v>
      </c>
      <c r="G158" s="34">
        <v>3540442.99</v>
      </c>
      <c r="H158" s="35">
        <f t="shared" ref="H158:H160" si="84">(E158+F158)-G158</f>
        <v>1390358.7799999993</v>
      </c>
      <c r="I158" s="93">
        <v>762577595.23000002</v>
      </c>
      <c r="J158" s="39">
        <f>(I158/$I$161)</f>
        <v>0.17301883642171839</v>
      </c>
      <c r="K158" s="34">
        <v>947374847</v>
      </c>
      <c r="L158" s="39">
        <f>(K158/$K$161)</f>
        <v>0.18162059954835572</v>
      </c>
      <c r="M158" s="39">
        <f>((K158-I158)/I158)</f>
        <v>0.24233239073102264</v>
      </c>
      <c r="N158" s="43">
        <f>(G158/K158)</f>
        <v>3.7371089186200445E-3</v>
      </c>
      <c r="O158" s="44">
        <f>H158/K158</f>
        <v>1.4675909798563603E-3</v>
      </c>
      <c r="P158" s="45">
        <f>K158/V158</f>
        <v>64.060508629870682</v>
      </c>
      <c r="Q158" s="45">
        <f>H158/V158</f>
        <v>9.4014624630208724E-2</v>
      </c>
      <c r="R158" s="34">
        <v>63.740200000000002</v>
      </c>
      <c r="S158" s="34">
        <v>65.662000000000006</v>
      </c>
      <c r="T158" s="34">
        <v>1459</v>
      </c>
      <c r="U158" s="34">
        <v>13935364</v>
      </c>
      <c r="V158" s="34">
        <v>14788750</v>
      </c>
    </row>
    <row r="159" spans="1:22" ht="14.25">
      <c r="A159" s="53">
        <v>133</v>
      </c>
      <c r="B159" s="46" t="s">
        <v>192</v>
      </c>
      <c r="C159" s="42" t="s">
        <v>45</v>
      </c>
      <c r="D159" s="72">
        <v>3374285343.1700001</v>
      </c>
      <c r="E159" s="72">
        <v>31641942.350000001</v>
      </c>
      <c r="F159" s="34">
        <v>0</v>
      </c>
      <c r="G159" s="72">
        <v>11000255.51</v>
      </c>
      <c r="H159" s="35">
        <f t="shared" si="84"/>
        <v>20641686.840000004</v>
      </c>
      <c r="I159" s="92">
        <v>2852125466.4499998</v>
      </c>
      <c r="J159" s="39">
        <f t="shared" ref="J159:J160" si="85">(I159/$I$161)</f>
        <v>0.64710979265669943</v>
      </c>
      <c r="K159" s="72">
        <v>3428346236.9400001</v>
      </c>
      <c r="L159" s="39">
        <f t="shared" ref="L159:L160" si="86">(K159/$K$161)</f>
        <v>0.65724596867241081</v>
      </c>
      <c r="M159" s="39">
        <f t="shared" ref="M159:M161" si="87">((K159-I159)/I159)</f>
        <v>0.20203205548569855</v>
      </c>
      <c r="N159" s="43">
        <f t="shared" ref="N159:N160" si="88">(G159/K159)</f>
        <v>3.2086186020168057E-3</v>
      </c>
      <c r="O159" s="44">
        <f t="shared" ref="O159:O160" si="89">H159/K159</f>
        <v>6.0208874522615077E-3</v>
      </c>
      <c r="P159" s="45">
        <f t="shared" ref="P159:P160" si="90">K159/V159</f>
        <v>2.3790330225741991</v>
      </c>
      <c r="Q159" s="45">
        <f t="shared" ref="Q159:Q160" si="91">H159/V159</f>
        <v>1.4323890074132765E-2</v>
      </c>
      <c r="R159" s="34">
        <v>2.36</v>
      </c>
      <c r="S159" s="34">
        <v>2.39</v>
      </c>
      <c r="T159" s="34">
        <v>9990</v>
      </c>
      <c r="U159" s="72">
        <v>1367713743.7</v>
      </c>
      <c r="V159" s="72">
        <v>1441067107.6900001</v>
      </c>
    </row>
    <row r="160" spans="1:22" ht="14.25">
      <c r="A160" s="53">
        <v>134</v>
      </c>
      <c r="B160" s="46" t="s">
        <v>193</v>
      </c>
      <c r="C160" s="42" t="s">
        <v>97</v>
      </c>
      <c r="D160" s="62">
        <v>817389380.00999999</v>
      </c>
      <c r="E160" s="62">
        <v>4149392.87</v>
      </c>
      <c r="F160" s="34">
        <v>0</v>
      </c>
      <c r="G160" s="62">
        <v>6498958.8200000003</v>
      </c>
      <c r="H160" s="35">
        <f t="shared" si="84"/>
        <v>-2349565.9500000002</v>
      </c>
      <c r="I160" s="94">
        <v>792780025.13999999</v>
      </c>
      <c r="J160" s="39">
        <f t="shared" si="85"/>
        <v>0.17987137092158215</v>
      </c>
      <c r="K160" s="62">
        <v>840509064.82000005</v>
      </c>
      <c r="L160" s="39">
        <f t="shared" si="86"/>
        <v>0.16113343177923342</v>
      </c>
      <c r="M160" s="39">
        <f t="shared" si="87"/>
        <v>6.0204644625817129E-2</v>
      </c>
      <c r="N160" s="43">
        <f t="shared" si="88"/>
        <v>7.7321698147203091E-3</v>
      </c>
      <c r="O160" s="44">
        <f t="shared" si="89"/>
        <v>-2.7954082214487162E-3</v>
      </c>
      <c r="P160" s="45">
        <f t="shared" si="90"/>
        <v>22.993604348821769</v>
      </c>
      <c r="Q160" s="45">
        <f t="shared" si="91"/>
        <v>-6.4276510637435336E-2</v>
      </c>
      <c r="R160" s="62">
        <v>22.993600000000001</v>
      </c>
      <c r="S160" s="62">
        <v>23.195399999999999</v>
      </c>
      <c r="T160" s="62">
        <v>1503</v>
      </c>
      <c r="U160" s="62">
        <v>36216040.899999999</v>
      </c>
      <c r="V160" s="62">
        <v>36554037.030000001</v>
      </c>
    </row>
    <row r="161" spans="1:22" ht="15" customHeight="1">
      <c r="A161" s="119" t="s">
        <v>50</v>
      </c>
      <c r="B161" s="119"/>
      <c r="C161" s="119"/>
      <c r="D161" s="119"/>
      <c r="E161" s="119"/>
      <c r="F161" s="119"/>
      <c r="G161" s="119"/>
      <c r="H161" s="119"/>
      <c r="I161" s="51">
        <f>SUM(I158:I160)</f>
        <v>4407483086.8199997</v>
      </c>
      <c r="J161" s="85">
        <f>(I161/$I$181)</f>
        <v>2.115328833263091E-3</v>
      </c>
      <c r="K161" s="52">
        <f>SUM(K158:K160)</f>
        <v>5216230148.7600002</v>
      </c>
      <c r="L161" s="85">
        <f>(K161/$K$181)</f>
        <v>1.9720032645042106E-3</v>
      </c>
      <c r="M161" s="39">
        <f t="shared" si="87"/>
        <v>0.18349408177162441</v>
      </c>
      <c r="N161" s="43"/>
      <c r="O161" s="64"/>
      <c r="P161" s="50"/>
      <c r="Q161" s="50"/>
      <c r="R161" s="51"/>
      <c r="S161" s="51"/>
      <c r="T161" s="52">
        <f>SUM(T158:T160)</f>
        <v>12952</v>
      </c>
      <c r="U161" s="52"/>
      <c r="V161" s="63"/>
    </row>
    <row r="162" spans="1:22" ht="8.1" customHeight="1">
      <c r="A162" s="121"/>
      <c r="B162" s="121"/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</row>
    <row r="163" spans="1:22">
      <c r="A163" s="122" t="s">
        <v>194</v>
      </c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</row>
    <row r="164" spans="1:22" ht="12.95" customHeight="1">
      <c r="A164" s="123" t="s">
        <v>195</v>
      </c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</row>
    <row r="165" spans="1:22" ht="15" customHeight="1">
      <c r="A165" s="53">
        <v>135</v>
      </c>
      <c r="B165" s="46" t="s">
        <v>196</v>
      </c>
      <c r="C165" s="42" t="s">
        <v>121</v>
      </c>
      <c r="D165" s="81">
        <v>870621501.88999999</v>
      </c>
      <c r="E165" s="36">
        <v>17833026.850000001</v>
      </c>
      <c r="F165" s="34">
        <v>0</v>
      </c>
      <c r="G165" s="72">
        <v>2098143.0699999998</v>
      </c>
      <c r="H165" s="35">
        <f t="shared" ref="H165:H166" si="92">(E165+F165)-G165</f>
        <v>15734883.780000001</v>
      </c>
      <c r="I165" s="91">
        <v>3739837952.98</v>
      </c>
      <c r="J165" s="39">
        <f>(I165/$I$180)</f>
        <v>8.0266946346205778E-2</v>
      </c>
      <c r="K165" s="36">
        <v>1006384419.47</v>
      </c>
      <c r="L165" s="39">
        <f>(K165/$K$180)</f>
        <v>2.1518272544002914E-2</v>
      </c>
      <c r="M165" s="65">
        <f>((K165-I165)/I165)</f>
        <v>-0.73090159730902604</v>
      </c>
      <c r="N165" s="43">
        <f>(G165/K165)</f>
        <v>2.08483262400362E-3</v>
      </c>
      <c r="O165" s="44">
        <f>H165/K165</f>
        <v>1.5635062979499011E-2</v>
      </c>
      <c r="P165" s="45">
        <f>K165/V165</f>
        <v>30.131270044011977</v>
      </c>
      <c r="Q165" s="45">
        <f>H165/V165</f>
        <v>0.4711043047904192</v>
      </c>
      <c r="R165" s="36">
        <v>21.43</v>
      </c>
      <c r="S165" s="36">
        <v>23.69</v>
      </c>
      <c r="T165" s="36">
        <v>187</v>
      </c>
      <c r="U165" s="36">
        <v>33400000</v>
      </c>
      <c r="V165" s="34">
        <v>33400000</v>
      </c>
    </row>
    <row r="166" spans="1:22" ht="14.25">
      <c r="A166" s="53">
        <v>136</v>
      </c>
      <c r="B166" s="42" t="s">
        <v>197</v>
      </c>
      <c r="C166" s="42" t="s">
        <v>45</v>
      </c>
      <c r="D166" s="72">
        <v>768856586.15999997</v>
      </c>
      <c r="E166" s="72">
        <v>5131910.03</v>
      </c>
      <c r="F166" s="34">
        <v>0</v>
      </c>
      <c r="G166" s="72">
        <v>1721268.84</v>
      </c>
      <c r="H166" s="35">
        <f t="shared" si="92"/>
        <v>3410641.1900000004</v>
      </c>
      <c r="I166" s="92">
        <v>556820399.09000003</v>
      </c>
      <c r="J166" s="39">
        <f>(I166/$I$180)</f>
        <v>1.1950858208339311E-2</v>
      </c>
      <c r="K166" s="72">
        <v>825984441.75999999</v>
      </c>
      <c r="L166" s="39">
        <f>(K166/$K$180)</f>
        <v>1.7661003082955231E-2</v>
      </c>
      <c r="M166" s="65">
        <f>((K166-I166)/I166)</f>
        <v>0.48339472316367926</v>
      </c>
      <c r="N166" s="43">
        <f>(G166/K166)</f>
        <v>2.0838998327042777E-3</v>
      </c>
      <c r="O166" s="44">
        <f>H166/K166</f>
        <v>4.1291833327182746E-3</v>
      </c>
      <c r="P166" s="45">
        <f>K166/V166</f>
        <v>469.32084293633852</v>
      </c>
      <c r="Q166" s="45">
        <f>H166/V166</f>
        <v>1.9379118023500201</v>
      </c>
      <c r="R166" s="34">
        <v>466.15</v>
      </c>
      <c r="S166" s="34">
        <v>471.5</v>
      </c>
      <c r="T166" s="72">
        <v>768</v>
      </c>
      <c r="U166" s="72">
        <v>1459841.13</v>
      </c>
      <c r="V166" s="72">
        <v>1759956.87</v>
      </c>
    </row>
    <row r="167" spans="1:22" ht="6.95" customHeight="1">
      <c r="A167" s="121"/>
      <c r="B167" s="121"/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</row>
    <row r="168" spans="1:22" ht="13.5">
      <c r="A168" s="123" t="s">
        <v>149</v>
      </c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</row>
    <row r="169" spans="1:22" ht="14.25">
      <c r="A169" s="53">
        <v>137</v>
      </c>
      <c r="B169" s="46" t="s">
        <v>198</v>
      </c>
      <c r="C169" s="42" t="s">
        <v>199</v>
      </c>
      <c r="D169" s="82">
        <v>320499569</v>
      </c>
      <c r="E169" s="34">
        <v>4396514</v>
      </c>
      <c r="F169" s="34">
        <v>0</v>
      </c>
      <c r="G169" s="35">
        <v>1080019</v>
      </c>
      <c r="H169" s="35">
        <f t="shared" ref="H169:H179" si="93">(E169+F169)-G169</f>
        <v>3316495</v>
      </c>
      <c r="I169" s="93">
        <v>406762558</v>
      </c>
      <c r="J169" s="39">
        <f t="shared" ref="J169:J179" si="94">(I169/$I$180)</f>
        <v>8.7302147390143948E-3</v>
      </c>
      <c r="K169" s="34">
        <v>410742326</v>
      </c>
      <c r="L169" s="39">
        <f t="shared" ref="L169:L179" si="95">(K169/$K$180)</f>
        <v>8.7823948237199089E-3</v>
      </c>
      <c r="M169" s="39">
        <f t="shared" ref="M169:M180" si="96">((K169-I169)/I169)</f>
        <v>9.7840077011217934E-3</v>
      </c>
      <c r="N169" s="43">
        <f>(G169/K169)</f>
        <v>2.6294319616819817E-3</v>
      </c>
      <c r="O169" s="44">
        <f t="shared" ref="O169" si="97">H169/K169</f>
        <v>8.0743930928608518E-3</v>
      </c>
      <c r="P169" s="45">
        <f t="shared" ref="P169" si="98">K169/V169</f>
        <v>1032.7086915091279</v>
      </c>
      <c r="Q169" s="45">
        <f t="shared" ref="Q169" si="99">H169/V169</f>
        <v>8.3384959256586697</v>
      </c>
      <c r="R169" s="34">
        <v>1032.71</v>
      </c>
      <c r="S169" s="34">
        <v>1032.71</v>
      </c>
      <c r="T169" s="34">
        <v>21</v>
      </c>
      <c r="U169" s="34">
        <v>395086</v>
      </c>
      <c r="V169" s="34">
        <v>397733</v>
      </c>
    </row>
    <row r="170" spans="1:22" ht="15" customHeight="1">
      <c r="A170" s="53">
        <v>138</v>
      </c>
      <c r="B170" s="46" t="s">
        <v>200</v>
      </c>
      <c r="C170" s="48" t="s">
        <v>62</v>
      </c>
      <c r="D170" s="34">
        <v>41857359.119999997</v>
      </c>
      <c r="E170" s="34">
        <v>944369.15</v>
      </c>
      <c r="F170" s="34">
        <v>0</v>
      </c>
      <c r="G170" s="34">
        <v>197954.09</v>
      </c>
      <c r="H170" s="35">
        <f t="shared" si="93"/>
        <v>746415.06</v>
      </c>
      <c r="I170" s="102">
        <v>107039568.84</v>
      </c>
      <c r="J170" s="39">
        <f t="shared" si="94"/>
        <v>2.2973560451075587E-3</v>
      </c>
      <c r="K170" s="72">
        <v>106571625.53</v>
      </c>
      <c r="L170" s="39">
        <f t="shared" si="95"/>
        <v>2.2786891760701784E-3</v>
      </c>
      <c r="M170" s="39">
        <f t="shared" si="96"/>
        <v>-4.3716853035859291E-3</v>
      </c>
      <c r="N170" s="43">
        <f t="shared" ref="N170:N179" si="100">(G170/K170)</f>
        <v>1.8574746234331929E-3</v>
      </c>
      <c r="O170" s="44">
        <f t="shared" ref="O170:O179" si="101">H170/K170</f>
        <v>7.0038817207483022E-3</v>
      </c>
      <c r="P170" s="45">
        <f t="shared" ref="P170:P179" si="102">K170/V170</f>
        <v>109.20644953800341</v>
      </c>
      <c r="Q170" s="45">
        <f t="shared" ref="Q170:Q179" si="103">H170/V170</f>
        <v>0.76486905570704389</v>
      </c>
      <c r="R170" s="34">
        <v>110.15</v>
      </c>
      <c r="S170" s="34">
        <v>110.15</v>
      </c>
      <c r="T170" s="34">
        <v>66</v>
      </c>
      <c r="U170" s="34">
        <v>985412</v>
      </c>
      <c r="V170" s="34">
        <v>975873</v>
      </c>
    </row>
    <row r="171" spans="1:22" ht="15" customHeight="1">
      <c r="A171" s="53">
        <v>139</v>
      </c>
      <c r="B171" s="46" t="s">
        <v>201</v>
      </c>
      <c r="C171" s="48" t="s">
        <v>174</v>
      </c>
      <c r="D171" s="34">
        <v>37190878.630000003</v>
      </c>
      <c r="E171" s="34">
        <v>608245.56999999995</v>
      </c>
      <c r="F171" s="34">
        <v>0</v>
      </c>
      <c r="G171" s="34">
        <v>246110.57</v>
      </c>
      <c r="H171" s="35">
        <f t="shared" si="93"/>
        <v>362134.99999999994</v>
      </c>
      <c r="I171" s="93">
        <v>54595103.850000001</v>
      </c>
      <c r="J171" s="39">
        <f t="shared" si="94"/>
        <v>1.1717572596966791E-3</v>
      </c>
      <c r="K171" s="34">
        <v>55340253.25</v>
      </c>
      <c r="L171" s="39">
        <f t="shared" si="95"/>
        <v>1.1832721463581255E-3</v>
      </c>
      <c r="M171" s="39">
        <f t="shared" si="96"/>
        <v>1.3648648824760839E-2</v>
      </c>
      <c r="N171" s="43">
        <f t="shared" si="100"/>
        <v>4.4472252211820154E-3</v>
      </c>
      <c r="O171" s="44">
        <f t="shared" si="101"/>
        <v>6.5437900756263696E-3</v>
      </c>
      <c r="P171" s="45">
        <f t="shared" si="102"/>
        <v>100.12747151247154</v>
      </c>
      <c r="Q171" s="45">
        <f t="shared" si="103"/>
        <v>0.65521315438087335</v>
      </c>
      <c r="R171" s="34">
        <v>99.73</v>
      </c>
      <c r="S171" s="34">
        <v>100.13</v>
      </c>
      <c r="T171" s="34">
        <v>12</v>
      </c>
      <c r="U171" s="34">
        <v>494906</v>
      </c>
      <c r="V171" s="34">
        <v>552698</v>
      </c>
    </row>
    <row r="172" spans="1:22" ht="15" customHeight="1">
      <c r="A172" s="53">
        <v>140</v>
      </c>
      <c r="B172" s="42" t="s">
        <v>202</v>
      </c>
      <c r="C172" s="42" t="s">
        <v>75</v>
      </c>
      <c r="D172" s="72">
        <v>10341127134.559999</v>
      </c>
      <c r="E172" s="72">
        <v>116887727.95</v>
      </c>
      <c r="F172" s="34">
        <v>0</v>
      </c>
      <c r="G172" s="62">
        <v>15317968.710000001</v>
      </c>
      <c r="H172" s="35">
        <f t="shared" si="93"/>
        <v>101569759.24000001</v>
      </c>
      <c r="I172" s="94">
        <v>8310197306.2600002</v>
      </c>
      <c r="J172" s="39">
        <f t="shared" si="94"/>
        <v>0.17835910798660276</v>
      </c>
      <c r="K172" s="62">
        <v>10304767805.879999</v>
      </c>
      <c r="L172" s="39">
        <f t="shared" si="95"/>
        <v>0.22033409685174757</v>
      </c>
      <c r="M172" s="39">
        <f t="shared" si="96"/>
        <v>0.24001481867554531</v>
      </c>
      <c r="N172" s="43">
        <f t="shared" si="100"/>
        <v>1.4864933396422015E-3</v>
      </c>
      <c r="O172" s="44">
        <f t="shared" si="101"/>
        <v>9.8565791246691976E-3</v>
      </c>
      <c r="P172" s="45">
        <f t="shared" si="102"/>
        <v>135.12046955237864</v>
      </c>
      <c r="Q172" s="45">
        <f t="shared" si="103"/>
        <v>1.3318255995054751</v>
      </c>
      <c r="R172" s="34">
        <v>135.12</v>
      </c>
      <c r="S172" s="34">
        <v>135.11199999999999</v>
      </c>
      <c r="T172" s="34">
        <v>658</v>
      </c>
      <c r="U172" s="62">
        <v>62149254.409999996</v>
      </c>
      <c r="V172" s="62">
        <v>76263558.290000007</v>
      </c>
    </row>
    <row r="173" spans="1:22" ht="15" customHeight="1">
      <c r="A173" s="53">
        <v>141</v>
      </c>
      <c r="B173" s="42" t="s">
        <v>226</v>
      </c>
      <c r="C173" s="42" t="s">
        <v>60</v>
      </c>
      <c r="D173" s="72">
        <v>243815475.41</v>
      </c>
      <c r="E173" s="72">
        <v>2816295.08</v>
      </c>
      <c r="F173" s="34">
        <v>0</v>
      </c>
      <c r="G173" s="62">
        <v>640935.98</v>
      </c>
      <c r="H173" s="35">
        <f t="shared" si="93"/>
        <v>2175359.1</v>
      </c>
      <c r="I173" s="94">
        <v>412841198.19</v>
      </c>
      <c r="J173" s="39">
        <f t="shared" si="94"/>
        <v>8.8606786500509231E-3</v>
      </c>
      <c r="K173" s="62">
        <v>242901095.62</v>
      </c>
      <c r="L173" s="39">
        <f t="shared" si="95"/>
        <v>5.1936535141717602E-3</v>
      </c>
      <c r="M173" s="39">
        <f t="shared" si="96"/>
        <v>-0.41163552308989582</v>
      </c>
      <c r="N173" s="43">
        <f t="shared" si="100"/>
        <v>2.6386706011515683E-3</v>
      </c>
      <c r="O173" s="44">
        <f t="shared" si="101"/>
        <v>8.9557401725481774E-3</v>
      </c>
      <c r="P173" s="45">
        <f t="shared" si="102"/>
        <v>1039.2968635197578</v>
      </c>
      <c r="Q173" s="45">
        <f t="shared" si="103"/>
        <v>9.3076726718272145</v>
      </c>
      <c r="R173" s="34">
        <v>1039.3</v>
      </c>
      <c r="S173" s="34">
        <v>1039.3</v>
      </c>
      <c r="T173" s="34">
        <v>12</v>
      </c>
      <c r="U173" s="62">
        <v>200088.91</v>
      </c>
      <c r="V173" s="62">
        <v>233716.76</v>
      </c>
    </row>
    <row r="174" spans="1:22" ht="15" customHeight="1">
      <c r="A174" s="53">
        <v>142</v>
      </c>
      <c r="B174" s="46" t="s">
        <v>120</v>
      </c>
      <c r="C174" s="42" t="s">
        <v>121</v>
      </c>
      <c r="D174" s="34">
        <v>15032478357.379999</v>
      </c>
      <c r="E174" s="34">
        <v>333641879.97000003</v>
      </c>
      <c r="F174" s="34">
        <v>0</v>
      </c>
      <c r="G174" s="34">
        <v>30424548.359999999</v>
      </c>
      <c r="H174" s="35">
        <f>(E174+F174)-G174</f>
        <v>303217331.61000001</v>
      </c>
      <c r="I174" s="93">
        <v>18051726959.330002</v>
      </c>
      <c r="J174" s="39">
        <f t="shared" si="94"/>
        <v>0.3874384445310875</v>
      </c>
      <c r="K174" s="34">
        <v>19338774051.099998</v>
      </c>
      <c r="L174" s="39">
        <f t="shared" si="95"/>
        <v>0.41349707194156932</v>
      </c>
      <c r="M174" s="39">
        <f t="shared" si="96"/>
        <v>7.1297726509473303E-2</v>
      </c>
      <c r="N174" s="43">
        <f t="shared" si="100"/>
        <v>1.5732408000428257E-3</v>
      </c>
      <c r="O174" s="44">
        <f t="shared" si="101"/>
        <v>1.5679242686676555E-2</v>
      </c>
      <c r="P174" s="45">
        <f t="shared" si="102"/>
        <v>1203.8442360431409</v>
      </c>
      <c r="Q174" s="45">
        <f t="shared" si="103"/>
        <v>18.875365933877141</v>
      </c>
      <c r="R174" s="35">
        <v>1203.8399999999999</v>
      </c>
      <c r="S174" s="35">
        <v>1203.8399999999999</v>
      </c>
      <c r="T174" s="34">
        <v>7726</v>
      </c>
      <c r="U174" s="34">
        <v>14944202.35</v>
      </c>
      <c r="V174" s="34">
        <v>16064182.949999999</v>
      </c>
    </row>
    <row r="175" spans="1:22" ht="15" customHeight="1">
      <c r="A175" s="53">
        <v>143</v>
      </c>
      <c r="B175" s="79" t="s">
        <v>228</v>
      </c>
      <c r="C175" s="80" t="s">
        <v>229</v>
      </c>
      <c r="D175" s="34">
        <v>193965891.50999999</v>
      </c>
      <c r="E175" s="34">
        <f>27312191.47+3018870.04</f>
        <v>30331061.509999998</v>
      </c>
      <c r="F175" s="34">
        <v>0</v>
      </c>
      <c r="G175" s="34">
        <v>561094.38</v>
      </c>
      <c r="H175" s="35">
        <f t="shared" si="93"/>
        <v>29769967.129999999</v>
      </c>
      <c r="I175" s="93">
        <v>339036541.49000001</v>
      </c>
      <c r="J175" s="39">
        <f t="shared" si="94"/>
        <v>7.2766328988924864E-3</v>
      </c>
      <c r="K175" s="34">
        <v>380263751.30000001</v>
      </c>
      <c r="L175" s="39">
        <f t="shared" si="95"/>
        <v>8.130709181077762E-3</v>
      </c>
      <c r="M175" s="39">
        <f t="shared" si="96"/>
        <v>0.12160108060569044</v>
      </c>
      <c r="N175" s="43">
        <f t="shared" si="100"/>
        <v>1.4755400115887933E-3</v>
      </c>
      <c r="O175" s="44">
        <f t="shared" si="101"/>
        <v>7.8287680664344189E-2</v>
      </c>
      <c r="P175" s="45">
        <f t="shared" si="102"/>
        <v>106.88276033358213</v>
      </c>
      <c r="Q175" s="45">
        <f t="shared" si="103"/>
        <v>8.367603409519111</v>
      </c>
      <c r="R175" s="35">
        <v>106.64</v>
      </c>
      <c r="S175" s="35">
        <v>107.01</v>
      </c>
      <c r="T175" s="34">
        <v>139</v>
      </c>
      <c r="U175" s="34">
        <v>3409271.66</v>
      </c>
      <c r="V175" s="34">
        <v>3557765.07</v>
      </c>
    </row>
    <row r="176" spans="1:22" ht="15" customHeight="1">
      <c r="A176" s="53">
        <v>144</v>
      </c>
      <c r="B176" s="79" t="s">
        <v>230</v>
      </c>
      <c r="C176" s="80" t="s">
        <v>229</v>
      </c>
      <c r="D176" s="34">
        <v>55513774.140000001</v>
      </c>
      <c r="E176" s="34">
        <v>0</v>
      </c>
      <c r="F176" s="34">
        <v>514248</v>
      </c>
      <c r="G176" s="34">
        <v>234225.95</v>
      </c>
      <c r="H176" s="35">
        <f t="shared" si="93"/>
        <v>280022.05</v>
      </c>
      <c r="I176" s="93">
        <v>115193021.16</v>
      </c>
      <c r="J176" s="39">
        <f t="shared" si="94"/>
        <v>2.4723509855659551E-3</v>
      </c>
      <c r="K176" s="34">
        <v>135406731.72</v>
      </c>
      <c r="L176" s="39">
        <f t="shared" si="95"/>
        <v>2.895234565513364E-3</v>
      </c>
      <c r="M176" s="39">
        <f t="shared" si="96"/>
        <v>0.17547686792521661</v>
      </c>
      <c r="N176" s="43">
        <f t="shared" si="100"/>
        <v>1.7297954616048391E-3</v>
      </c>
      <c r="O176" s="44">
        <f t="shared" si="101"/>
        <v>2.0680068593564604E-3</v>
      </c>
      <c r="P176" s="45">
        <f t="shared" si="102"/>
        <v>100.22213028659981</v>
      </c>
      <c r="Q176" s="45">
        <f t="shared" si="103"/>
        <v>0.20726005289200525</v>
      </c>
      <c r="R176" s="35">
        <v>100.22</v>
      </c>
      <c r="S176" s="35">
        <v>100.22</v>
      </c>
      <c r="T176" s="34">
        <v>49</v>
      </c>
      <c r="U176" s="34">
        <v>1150246.22</v>
      </c>
      <c r="V176" s="34">
        <v>1351066.19</v>
      </c>
    </row>
    <row r="177" spans="1:22" ht="17.25" customHeight="1">
      <c r="A177" s="53">
        <v>145</v>
      </c>
      <c r="B177" s="42" t="s">
        <v>203</v>
      </c>
      <c r="C177" s="42" t="s">
        <v>147</v>
      </c>
      <c r="D177" s="34">
        <v>1269011998.4100001</v>
      </c>
      <c r="E177" s="72">
        <v>11018828.390000001</v>
      </c>
      <c r="F177" s="34">
        <v>0</v>
      </c>
      <c r="G177" s="34">
        <v>1669205.12</v>
      </c>
      <c r="H177" s="35">
        <f t="shared" si="93"/>
        <v>9349623.2699999996</v>
      </c>
      <c r="I177" s="93">
        <v>919891012.73000002</v>
      </c>
      <c r="J177" s="39">
        <f t="shared" si="94"/>
        <v>1.9743326714014627E-2</v>
      </c>
      <c r="K177" s="34">
        <v>917782725.15999997</v>
      </c>
      <c r="L177" s="39">
        <f t="shared" si="95"/>
        <v>1.9623812167691566E-2</v>
      </c>
      <c r="M177" s="39">
        <f t="shared" si="96"/>
        <v>-2.2918884311557701E-3</v>
      </c>
      <c r="N177" s="43">
        <f t="shared" si="100"/>
        <v>1.8187366946888243E-3</v>
      </c>
      <c r="O177" s="44">
        <f t="shared" si="101"/>
        <v>1.0187185935941484E-2</v>
      </c>
      <c r="P177" s="45">
        <f t="shared" si="102"/>
        <v>103.11188784702752</v>
      </c>
      <c r="Q177" s="45">
        <f t="shared" si="103"/>
        <v>1.0504199737036144</v>
      </c>
      <c r="R177" s="34">
        <v>103.11</v>
      </c>
      <c r="S177" s="34">
        <v>103.11</v>
      </c>
      <c r="T177" s="72">
        <v>540</v>
      </c>
      <c r="U177" s="34">
        <v>8793366</v>
      </c>
      <c r="V177" s="34">
        <v>8900843</v>
      </c>
    </row>
    <row r="178" spans="1:22" ht="14.25">
      <c r="A178" s="53">
        <v>146</v>
      </c>
      <c r="B178" s="46" t="s">
        <v>204</v>
      </c>
      <c r="C178" s="46" t="s">
        <v>45</v>
      </c>
      <c r="D178" s="72">
        <v>8002607655.3800001</v>
      </c>
      <c r="E178" s="72">
        <v>62816315.840000004</v>
      </c>
      <c r="F178" s="34">
        <v>0</v>
      </c>
      <c r="G178" s="72">
        <v>13352197.24</v>
      </c>
      <c r="H178" s="35">
        <f t="shared" si="93"/>
        <v>49464118.600000001</v>
      </c>
      <c r="I178" s="92">
        <v>8214810719.2700005</v>
      </c>
      <c r="J178" s="39">
        <f t="shared" si="94"/>
        <v>0.17631185616544479</v>
      </c>
      <c r="K178" s="72">
        <v>8004081162.4300003</v>
      </c>
      <c r="L178" s="39">
        <f t="shared" si="95"/>
        <v>0.17114136167588259</v>
      </c>
      <c r="M178" s="39">
        <f t="shared" si="96"/>
        <v>-2.5652393468504214E-2</v>
      </c>
      <c r="N178" s="43">
        <f t="shared" si="100"/>
        <v>1.6681736440496485E-3</v>
      </c>
      <c r="O178" s="44">
        <f t="shared" si="101"/>
        <v>6.1798621973222136E-3</v>
      </c>
      <c r="P178" s="45">
        <f t="shared" si="102"/>
        <v>129.00945510105609</v>
      </c>
      <c r="Q178" s="45">
        <f t="shared" si="103"/>
        <v>0.79726065467615392</v>
      </c>
      <c r="R178" s="72">
        <v>129.01</v>
      </c>
      <c r="S178" s="72">
        <v>129.01</v>
      </c>
      <c r="T178" s="34">
        <v>1115</v>
      </c>
      <c r="U178" s="72">
        <v>63770825.890000001</v>
      </c>
      <c r="V178" s="72">
        <v>62042593.359999999</v>
      </c>
    </row>
    <row r="179" spans="1:22" ht="15" customHeight="1">
      <c r="A179" s="53">
        <v>147</v>
      </c>
      <c r="B179" s="42" t="s">
        <v>205</v>
      </c>
      <c r="C179" s="42" t="s">
        <v>49</v>
      </c>
      <c r="D179" s="62">
        <v>3095936236</v>
      </c>
      <c r="E179" s="62">
        <v>52836405</v>
      </c>
      <c r="F179" s="34">
        <v>0</v>
      </c>
      <c r="G179" s="34">
        <v>7855928</v>
      </c>
      <c r="H179" s="35">
        <f t="shared" si="93"/>
        <v>44980477</v>
      </c>
      <c r="I179" s="92">
        <v>5363750840</v>
      </c>
      <c r="J179" s="39">
        <f t="shared" si="94"/>
        <v>0.11512046946997721</v>
      </c>
      <c r="K179" s="72">
        <v>5039829098</v>
      </c>
      <c r="L179" s="39">
        <f t="shared" si="95"/>
        <v>0.10776042832923963</v>
      </c>
      <c r="M179" s="39">
        <f t="shared" si="96"/>
        <v>-6.0390900260385696E-2</v>
      </c>
      <c r="N179" s="43">
        <f t="shared" si="100"/>
        <v>1.5587687295026606E-3</v>
      </c>
      <c r="O179" s="44">
        <f t="shared" si="101"/>
        <v>8.9250004564341272E-3</v>
      </c>
      <c r="P179" s="45">
        <f t="shared" si="102"/>
        <v>1.181686243055692</v>
      </c>
      <c r="Q179" s="45">
        <f t="shared" si="103"/>
        <v>1.0546550258633981E-2</v>
      </c>
      <c r="R179" s="35">
        <v>1.18</v>
      </c>
      <c r="S179" s="35">
        <v>1.18</v>
      </c>
      <c r="T179" s="34">
        <v>203</v>
      </c>
      <c r="U179" s="34">
        <v>4352901498</v>
      </c>
      <c r="V179" s="34">
        <v>4264946916</v>
      </c>
    </row>
    <row r="180" spans="1:22" ht="15" customHeight="1">
      <c r="A180" s="119" t="s">
        <v>50</v>
      </c>
      <c r="B180" s="119"/>
      <c r="C180" s="119"/>
      <c r="D180" s="119"/>
      <c r="E180" s="119"/>
      <c r="F180" s="119"/>
      <c r="G180" s="119"/>
      <c r="H180" s="119"/>
      <c r="I180" s="51">
        <f>SUM(I165:I179)</f>
        <v>46592503181.190002</v>
      </c>
      <c r="J180" s="85">
        <f>(I180/$I$181)</f>
        <v>2.2361620782573088E-2</v>
      </c>
      <c r="K180" s="52">
        <f>SUM(K165:K179)</f>
        <v>46768829487.220001</v>
      </c>
      <c r="L180" s="85">
        <f>(K180/$K$181)</f>
        <v>1.7681022845160137E-2</v>
      </c>
      <c r="M180" s="39">
        <f t="shared" si="96"/>
        <v>3.7844351342166994E-3</v>
      </c>
      <c r="N180" s="43"/>
      <c r="O180" s="43"/>
      <c r="P180" s="50"/>
      <c r="Q180" s="50"/>
      <c r="R180" s="52"/>
      <c r="S180" s="52"/>
      <c r="T180" s="52">
        <f>SUM(T165:T179)</f>
        <v>11496</v>
      </c>
      <c r="U180" s="52"/>
      <c r="V180" s="52"/>
    </row>
    <row r="181" spans="1:22" ht="15" customHeight="1">
      <c r="A181" s="120" t="s">
        <v>206</v>
      </c>
      <c r="B181" s="120"/>
      <c r="C181" s="120"/>
      <c r="D181" s="120"/>
      <c r="E181" s="120"/>
      <c r="F181" s="120"/>
      <c r="G181" s="120"/>
      <c r="H181" s="120"/>
      <c r="I181" s="109">
        <f>SUM(I21,I54,I89,I118,I126,I155,I161,I180)</f>
        <v>2083592402993.4619</v>
      </c>
      <c r="J181" s="110"/>
      <c r="K181" s="111">
        <f>SUM(K21,K54,K89,K118,K126,K155,K161,K180)</f>
        <v>2645142755415.9927</v>
      </c>
      <c r="L181" s="66"/>
      <c r="M181" s="66"/>
      <c r="N181" s="67"/>
      <c r="O181" s="67"/>
      <c r="P181" s="68"/>
      <c r="Q181" s="68"/>
      <c r="R181" s="69"/>
      <c r="S181" s="69"/>
      <c r="T181" s="111">
        <f>SUM(T21,T54,T89,T118,T126,T155,T161,T180)</f>
        <v>692882</v>
      </c>
      <c r="U181" s="69"/>
      <c r="V181" s="69"/>
    </row>
    <row r="182" spans="1:22" ht="5.0999999999999996" customHeight="1">
      <c r="A182" s="15"/>
      <c r="B182" s="15"/>
      <c r="C182" s="15"/>
      <c r="D182" s="14"/>
      <c r="E182" s="14"/>
      <c r="F182" s="14"/>
      <c r="G182" s="14"/>
      <c r="H182" s="16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</row>
    <row r="183" spans="1:22">
      <c r="A183" s="17" t="s">
        <v>207</v>
      </c>
      <c r="B183" s="25" t="s">
        <v>246</v>
      </c>
      <c r="C183" s="18"/>
      <c r="D183" s="14"/>
      <c r="E183" s="14"/>
      <c r="F183" s="14"/>
      <c r="G183" s="14"/>
      <c r="H183" s="16"/>
      <c r="I183" s="19"/>
      <c r="J183" s="14"/>
      <c r="K183" s="19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20"/>
    </row>
    <row r="186" spans="1:22" ht="15">
      <c r="B186" s="21"/>
    </row>
  </sheetData>
  <sheetProtection password="CA3B" sheet="1" objects="1" scenarios="1"/>
  <mergeCells count="32">
    <mergeCell ref="A1:V1"/>
    <mergeCell ref="A3:V3"/>
    <mergeCell ref="A4:V4"/>
    <mergeCell ref="A21:H21"/>
    <mergeCell ref="A22:V22"/>
    <mergeCell ref="A23:V23"/>
    <mergeCell ref="A54:H54"/>
    <mergeCell ref="A55:V55"/>
    <mergeCell ref="A56:V56"/>
    <mergeCell ref="A89:H89"/>
    <mergeCell ref="A90:V90"/>
    <mergeCell ref="A91:V91"/>
    <mergeCell ref="A92:V92"/>
    <mergeCell ref="A106:V106"/>
    <mergeCell ref="A107:V107"/>
    <mergeCell ref="A118:H118"/>
    <mergeCell ref="A119:V119"/>
    <mergeCell ref="A120:V120"/>
    <mergeCell ref="A126:H126"/>
    <mergeCell ref="A127:V127"/>
    <mergeCell ref="A128:V128"/>
    <mergeCell ref="A155:H155"/>
    <mergeCell ref="A156:V156"/>
    <mergeCell ref="A157:V157"/>
    <mergeCell ref="A161:H161"/>
    <mergeCell ref="A180:H180"/>
    <mergeCell ref="A181:H181"/>
    <mergeCell ref="A162:V162"/>
    <mergeCell ref="A163:V163"/>
    <mergeCell ref="A164:V164"/>
    <mergeCell ref="A167:V167"/>
    <mergeCell ref="A168:V168"/>
  </mergeCells>
  <phoneticPr fontId="46" type="noConversion"/>
  <pageMargins left="0.7" right="0.7" top="0.75" bottom="0.75" header="0.3" footer="0.3"/>
  <pageSetup orientation="portrait"/>
  <ignoredErrors>
    <ignoredError sqref="G121 K121 R121:S121 D121:E121 G124 I121" numberStoredAsText="1"/>
    <ignoredError sqref="J126 J180 J21 J54 J118 J155 J161 J89" formula="1"/>
    <ignoredError sqref="M13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I4" sqref="I4"/>
    </sheetView>
  </sheetViews>
  <sheetFormatPr defaultColWidth="9" defaultRowHeight="15"/>
  <cols>
    <col min="1" max="1" width="34" customWidth="1"/>
    <col min="2" max="2" width="16" customWidth="1"/>
    <col min="3" max="3" width="14.28515625" customWidth="1"/>
  </cols>
  <sheetData>
    <row r="1" spans="1:4">
      <c r="A1" s="1"/>
      <c r="B1" s="1"/>
      <c r="C1" s="1"/>
      <c r="D1" s="1"/>
    </row>
    <row r="2" spans="1:4">
      <c r="A2" s="11"/>
      <c r="B2" s="11"/>
      <c r="C2" s="11"/>
      <c r="D2" s="11"/>
    </row>
    <row r="3" spans="1:4">
      <c r="A3" s="1"/>
      <c r="B3" s="1"/>
      <c r="C3" s="1"/>
      <c r="D3" s="1"/>
    </row>
    <row r="4" spans="1:4" ht="33" customHeight="1">
      <c r="A4" s="4" t="s">
        <v>208</v>
      </c>
      <c r="B4" s="132" t="s">
        <v>253</v>
      </c>
      <c r="C4" s="132" t="s">
        <v>254</v>
      </c>
      <c r="D4" s="1"/>
    </row>
    <row r="5" spans="1:4" ht="18.95" customHeight="1">
      <c r="A5" s="133" t="s">
        <v>19</v>
      </c>
      <c r="B5" s="134">
        <v>24.813480452169998</v>
      </c>
      <c r="C5" s="134">
        <f>'January 2024'!K21/1000000000</f>
        <v>29.579571642289327</v>
      </c>
      <c r="D5" s="1"/>
    </row>
    <row r="6" spans="1:4" ht="15.75">
      <c r="A6" s="4" t="s">
        <v>51</v>
      </c>
      <c r="B6" s="134">
        <v>877.05464123596983</v>
      </c>
      <c r="C6" s="134">
        <f>'January 2024'!K54/1000000000</f>
        <v>954.71678990712985</v>
      </c>
      <c r="D6" s="1"/>
    </row>
    <row r="7" spans="1:4" ht="15.75">
      <c r="A7" s="4" t="s">
        <v>209</v>
      </c>
      <c r="B7" s="134">
        <v>289.59781149676002</v>
      </c>
      <c r="C7" s="134">
        <f>'January 2024'!K89/1000000000</f>
        <v>297.26469795871998</v>
      </c>
      <c r="D7" s="1"/>
    </row>
    <row r="8" spans="1:4" ht="15.75">
      <c r="A8" s="4" t="s">
        <v>210</v>
      </c>
      <c r="B8" s="134">
        <v>704.14775334012222</v>
      </c>
      <c r="C8" s="134">
        <f>'January 2024'!K118/1000000000</f>
        <v>1167.7321175052934</v>
      </c>
      <c r="D8" s="1"/>
    </row>
    <row r="9" spans="1:4" ht="15.75">
      <c r="A9" s="4" t="s">
        <v>211</v>
      </c>
      <c r="B9" s="134">
        <v>94.621673097889996</v>
      </c>
      <c r="C9" s="134">
        <f>'January 2024'!K126/1000000000</f>
        <v>97.676603718220008</v>
      </c>
      <c r="D9" s="1"/>
    </row>
    <row r="10" spans="1:4" ht="15.75">
      <c r="A10" s="4" t="s">
        <v>165</v>
      </c>
      <c r="B10" s="134">
        <v>42.357057102540004</v>
      </c>
      <c r="C10" s="134">
        <f>'January 2024'!K155/1000000000</f>
        <v>46.187915048359997</v>
      </c>
      <c r="D10" s="1"/>
    </row>
    <row r="11" spans="1:4" ht="15.75">
      <c r="A11" s="4" t="s">
        <v>190</v>
      </c>
      <c r="B11" s="134">
        <v>4.4074830868200001</v>
      </c>
      <c r="C11" s="134">
        <f>'January 2024'!K161/1000000000</f>
        <v>5.2162301487600002</v>
      </c>
      <c r="D11" s="1"/>
    </row>
    <row r="12" spans="1:4" ht="15.75">
      <c r="A12" s="4" t="s">
        <v>212</v>
      </c>
      <c r="B12" s="134">
        <v>46.592503181190004</v>
      </c>
      <c r="C12" s="134">
        <f>'January 2024'!K180/1000000000</f>
        <v>46.768829487220003</v>
      </c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 ht="16.5">
      <c r="A16" s="1"/>
      <c r="B16" s="135"/>
      <c r="C16" s="136"/>
      <c r="D16" s="1"/>
    </row>
    <row r="17" spans="1:4" ht="16.5">
      <c r="A17" s="137"/>
      <c r="B17" s="5"/>
      <c r="C17" s="138"/>
      <c r="D17" s="1"/>
    </row>
    <row r="18" spans="1:4" ht="16.5">
      <c r="A18" s="4"/>
      <c r="B18" s="6"/>
      <c r="C18" s="7">
        <v>324257293662.39001</v>
      </c>
      <c r="D18" s="1"/>
    </row>
    <row r="19" spans="1:4" ht="16.5">
      <c r="A19" s="2"/>
      <c r="B19" s="5"/>
      <c r="C19" s="8">
        <v>329523427075.08801</v>
      </c>
      <c r="D19" s="1"/>
    </row>
    <row r="20" spans="1:4" ht="16.5">
      <c r="A20" s="2"/>
      <c r="B20" s="6"/>
      <c r="C20" s="7">
        <v>92979365311.570007</v>
      </c>
      <c r="D20" s="1"/>
    </row>
    <row r="21" spans="1:4" ht="16.5">
      <c r="A21" s="2"/>
      <c r="B21" s="5"/>
      <c r="C21" s="8">
        <v>33483827699.669998</v>
      </c>
      <c r="D21" s="1"/>
    </row>
    <row r="22" spans="1:4" ht="16.5">
      <c r="A22" s="2"/>
      <c r="B22" s="9"/>
      <c r="C22" s="10">
        <v>3211014587.77</v>
      </c>
      <c r="D22" s="1"/>
    </row>
    <row r="23" spans="1:4" ht="16.5">
      <c r="A23" s="2"/>
      <c r="B23" s="5"/>
      <c r="C23" s="8">
        <v>25485626359.523201</v>
      </c>
      <c r="D23" s="1"/>
    </row>
    <row r="24" spans="1:4" ht="16.5">
      <c r="A24" s="2"/>
      <c r="B24" s="5"/>
      <c r="C24" s="5"/>
      <c r="D24" s="1"/>
    </row>
    <row r="25" spans="1:4" ht="16.5">
      <c r="A25" s="2"/>
      <c r="B25" s="5"/>
      <c r="C25" s="5"/>
      <c r="D25" s="1"/>
    </row>
    <row r="26" spans="1:4" ht="16.5">
      <c r="A26" s="2"/>
      <c r="B26" s="5"/>
      <c r="C26" s="5"/>
      <c r="D26" s="1"/>
    </row>
    <row r="27" spans="1:4">
      <c r="B27" s="11"/>
      <c r="C27" s="11"/>
    </row>
    <row r="28" spans="1:4">
      <c r="B28" s="11"/>
      <c r="C28" s="11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90" zoomScaleNormal="90" workbookViewId="0">
      <selection activeCell="A17" sqref="A17"/>
    </sheetView>
  </sheetViews>
  <sheetFormatPr defaultColWidth="9" defaultRowHeight="15"/>
  <cols>
    <col min="1" max="1" width="26.7109375" customWidth="1"/>
    <col min="2" max="2" width="21.28515625" customWidth="1"/>
  </cols>
  <sheetData>
    <row r="1" spans="1:4">
      <c r="A1" s="112" t="s">
        <v>208</v>
      </c>
      <c r="B1" s="113" t="s">
        <v>254</v>
      </c>
      <c r="C1" s="1"/>
      <c r="D1" s="11"/>
    </row>
    <row r="2" spans="1:4">
      <c r="A2" s="112" t="s">
        <v>190</v>
      </c>
      <c r="B2" s="114">
        <f>'January 2024'!K161</f>
        <v>5216230148.7600002</v>
      </c>
      <c r="C2" s="1"/>
      <c r="D2" s="11"/>
    </row>
    <row r="3" spans="1:4">
      <c r="A3" s="112" t="s">
        <v>19</v>
      </c>
      <c r="B3" s="115">
        <f>'January 2024'!K21</f>
        <v>29579571642.289326</v>
      </c>
      <c r="C3" s="1"/>
      <c r="D3" s="11"/>
    </row>
    <row r="4" spans="1:4">
      <c r="A4" s="112" t="s">
        <v>165</v>
      </c>
      <c r="B4" s="116">
        <f>'January 2024'!K155</f>
        <v>46187915048.360001</v>
      </c>
      <c r="C4" s="1"/>
      <c r="D4" s="11"/>
    </row>
    <row r="5" spans="1:4">
      <c r="A5" s="112" t="s">
        <v>212</v>
      </c>
      <c r="B5" s="116">
        <f>'January 2024'!K180</f>
        <v>46768829487.220001</v>
      </c>
      <c r="C5" s="1"/>
      <c r="D5" s="11"/>
    </row>
    <row r="6" spans="1:4">
      <c r="A6" s="112" t="s">
        <v>211</v>
      </c>
      <c r="B6" s="117">
        <f>'January 2024'!K126</f>
        <v>97676603718.220001</v>
      </c>
      <c r="C6" s="1"/>
      <c r="D6" s="11"/>
    </row>
    <row r="7" spans="1:4">
      <c r="A7" s="112" t="s">
        <v>98</v>
      </c>
      <c r="B7" s="117">
        <f>'January 2024'!K89</f>
        <v>297264697958.71997</v>
      </c>
      <c r="C7" s="1"/>
      <c r="D7" s="11"/>
    </row>
    <row r="8" spans="1:4">
      <c r="A8" s="112" t="s">
        <v>51</v>
      </c>
      <c r="B8" s="116">
        <f>'January 2024'!K54</f>
        <v>954716789907.12988</v>
      </c>
      <c r="C8" s="1"/>
      <c r="D8" s="11"/>
    </row>
    <row r="9" spans="1:4">
      <c r="A9" s="112" t="s">
        <v>210</v>
      </c>
      <c r="B9" s="118">
        <f>'January 2024'!K118</f>
        <v>1167732117505.2935</v>
      </c>
      <c r="C9" s="1"/>
      <c r="D9" s="11"/>
    </row>
    <row r="10" spans="1:4">
      <c r="A10" s="1"/>
      <c r="B10" s="1"/>
      <c r="C10" s="1"/>
      <c r="D10" s="11"/>
    </row>
    <row r="11" spans="1:4">
      <c r="A11" s="112"/>
      <c r="B11" s="1"/>
      <c r="C11" s="1"/>
      <c r="D11" s="11"/>
    </row>
    <row r="12" spans="1:4">
      <c r="A12" s="103"/>
      <c r="B12" s="11"/>
      <c r="C12" s="11"/>
      <c r="D12" s="11"/>
    </row>
    <row r="13" spans="1:4" ht="15" customHeight="1">
      <c r="A13" s="26"/>
      <c r="B13" s="27"/>
      <c r="C13" s="11"/>
      <c r="D13" s="11"/>
    </row>
    <row r="14" spans="1:4">
      <c r="A14" s="28"/>
      <c r="B14" s="27"/>
      <c r="C14" s="11"/>
      <c r="D14" s="11"/>
    </row>
    <row r="15" spans="1:4">
      <c r="A15" s="28"/>
      <c r="B15" s="27"/>
      <c r="C15" s="11"/>
      <c r="D15" s="11"/>
    </row>
    <row r="16" spans="1:4">
      <c r="A16" s="29"/>
      <c r="B16" s="27"/>
      <c r="C16" s="11"/>
      <c r="D16" s="11"/>
    </row>
    <row r="17" spans="1:17">
      <c r="A17" s="29"/>
      <c r="B17" s="27"/>
      <c r="C17" s="11"/>
      <c r="D17" s="11"/>
    </row>
    <row r="18" spans="1:17">
      <c r="A18" s="28"/>
      <c r="B18" s="27"/>
      <c r="C18" s="11"/>
      <c r="D18" s="11"/>
    </row>
    <row r="19" spans="1:17" ht="15.75">
      <c r="A19" s="30"/>
      <c r="B19" s="27"/>
      <c r="C19" s="11"/>
      <c r="D19" s="11"/>
    </row>
    <row r="20" spans="1:17" ht="16.5">
      <c r="A20" s="31"/>
      <c r="B20" s="27"/>
      <c r="C20" s="11"/>
      <c r="D20" s="11"/>
    </row>
    <row r="21" spans="1:17" ht="16.5">
      <c r="A21" s="32"/>
      <c r="B21" s="33"/>
      <c r="C21" s="11"/>
      <c r="D21" s="11"/>
    </row>
    <row r="22" spans="1:17" ht="16.5">
      <c r="A22" s="11"/>
      <c r="B22" s="33"/>
      <c r="C22" s="11"/>
      <c r="D22" s="11"/>
    </row>
    <row r="23" spans="1:17">
      <c r="A23" s="11"/>
      <c r="B23" s="11"/>
      <c r="C23" s="11"/>
      <c r="D23" s="11"/>
    </row>
    <row r="32" spans="1:17" ht="15.95" customHeight="1">
      <c r="A32" s="131" t="s">
        <v>255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3"/>
    </row>
    <row r="33" spans="1:17" ht="16.5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3"/>
    </row>
  </sheetData>
  <sheetProtection password="CA3B" sheet="1" objects="1" scenarios="1"/>
  <sortState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A6" sqref="A6"/>
    </sheetView>
  </sheetViews>
  <sheetFormatPr defaultColWidth="9" defaultRowHeight="15"/>
  <cols>
    <col min="1" max="1" width="34.7109375" customWidth="1"/>
    <col min="2" max="2" width="15" customWidth="1"/>
  </cols>
  <sheetData>
    <row r="2" spans="1:3">
      <c r="A2" s="11"/>
      <c r="B2" s="11"/>
      <c r="C2" s="11"/>
    </row>
    <row r="3" spans="1:3">
      <c r="A3" s="11"/>
      <c r="B3" s="11"/>
      <c r="C3" s="11"/>
    </row>
    <row r="4" spans="1:3">
      <c r="A4" s="104"/>
      <c r="B4" s="104"/>
      <c r="C4" s="104"/>
    </row>
    <row r="5" spans="1:3" ht="15.75">
      <c r="A5" s="105" t="s">
        <v>208</v>
      </c>
      <c r="B5" s="106" t="s">
        <v>213</v>
      </c>
      <c r="C5" s="104"/>
    </row>
    <row r="6" spans="1:3" ht="16.5">
      <c r="A6" s="107" t="s">
        <v>19</v>
      </c>
      <c r="B6" s="108">
        <f>'January 2024'!T21</f>
        <v>48403</v>
      </c>
      <c r="C6" s="104"/>
    </row>
    <row r="7" spans="1:3" ht="16.5">
      <c r="A7" s="107" t="s">
        <v>51</v>
      </c>
      <c r="B7" s="108">
        <f>'January 2024'!T54</f>
        <v>271783</v>
      </c>
      <c r="C7" s="104"/>
    </row>
    <row r="8" spans="1:3" ht="16.5">
      <c r="A8" s="107" t="s">
        <v>209</v>
      </c>
      <c r="B8" s="108">
        <f>'January 2024'!T89</f>
        <v>49207</v>
      </c>
      <c r="C8" s="104"/>
    </row>
    <row r="9" spans="1:3" ht="16.5">
      <c r="A9" s="107" t="s">
        <v>210</v>
      </c>
      <c r="B9" s="108">
        <f>'January 2024'!T118</f>
        <v>13749</v>
      </c>
      <c r="C9" s="104"/>
    </row>
    <row r="10" spans="1:3" ht="16.5">
      <c r="A10" s="107" t="s">
        <v>211</v>
      </c>
      <c r="B10" s="108">
        <f>'January 2024'!T126</f>
        <v>217017</v>
      </c>
      <c r="C10" s="104"/>
    </row>
    <row r="11" spans="1:3" ht="16.5">
      <c r="A11" s="107" t="s">
        <v>165</v>
      </c>
      <c r="B11" s="108">
        <f>'January 2024'!T155</f>
        <v>68275</v>
      </c>
      <c r="C11" s="104"/>
    </row>
    <row r="12" spans="1:3" ht="16.5">
      <c r="A12" s="107" t="s">
        <v>190</v>
      </c>
      <c r="B12" s="108">
        <f>'January 2024'!T161</f>
        <v>12952</v>
      </c>
      <c r="C12" s="104"/>
    </row>
    <row r="13" spans="1:3" ht="16.5">
      <c r="A13" s="107" t="s">
        <v>212</v>
      </c>
      <c r="B13" s="108">
        <f>'January 2024'!T180</f>
        <v>11496</v>
      </c>
      <c r="C13" s="104"/>
    </row>
    <row r="14" spans="1:3">
      <c r="A14" s="104"/>
      <c r="B14" s="104"/>
      <c r="C14" s="104"/>
    </row>
    <row r="15" spans="1:3">
      <c r="A15" s="104"/>
      <c r="B15" s="104"/>
      <c r="C15" s="104"/>
    </row>
    <row r="16" spans="1:3">
      <c r="A16" s="104"/>
      <c r="B16" s="104"/>
      <c r="C16" s="104"/>
    </row>
    <row r="17" spans="1:3">
      <c r="A17" s="11"/>
      <c r="B17" s="11"/>
      <c r="C17" s="11"/>
    </row>
    <row r="18" spans="1:3">
      <c r="A18" s="11"/>
      <c r="B18" s="11"/>
      <c r="C18" s="11"/>
    </row>
    <row r="19" spans="1:3">
      <c r="A19" s="11"/>
      <c r="B19" s="11"/>
      <c r="C19" s="11"/>
    </row>
    <row r="20" spans="1:3">
      <c r="A20" s="11"/>
      <c r="B20" s="11"/>
      <c r="C20" s="11"/>
    </row>
    <row r="21" spans="1:3">
      <c r="A21" s="11"/>
      <c r="B21" s="11"/>
      <c r="C21" s="11"/>
    </row>
  </sheetData>
  <sheetProtection algorithmName="SHA-512" hashValue="eLta6Vbgq0uTV301IAhB3kng/goVEtGsKXSJ+ATI/3QPJAs8K87YzQoLd3FBxWjIzNniysN587kbrmQhCRrSXg==" saltValue="i1HItbOmKKU+XSWqWyt/k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2024</vt:lpstr>
      <vt:lpstr>NAV Comparison</vt:lpstr>
      <vt:lpstr>Market Share</vt:lpstr>
      <vt:lpstr>Unitholders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2023-10-09T09:40:00Z</dcterms:created>
  <dcterms:modified xsi:type="dcterms:W3CDTF">2024-10-04T10:29:22Z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EAD0CC35E94247C1A10AE25F678C36CB_13</vt:lpwstr>
  </property>
  <property fmtid="{D5CDD505-2E9C-101B-9397-08002B2CF9AE}" pid="3" name="KSOProductBuildVer">
    <vt:lpwstr>1033-12.2.0.13266</vt:lpwstr>
  </property>
</Properties>
</file>