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-120" yWindow="-120" windowWidth="20736" windowHeight="11160" tabRatio="604"/>
  </bookViews>
  <sheets>
    <sheet name="November" sheetId="7" r:id="rId1"/>
    <sheet name="NAV Comparison" sheetId="2" r:id="rId2"/>
    <sheet name="Market Share" sheetId="3" r:id="rId3"/>
    <sheet name="Unitholders" sheetId="6" r:id="rId4"/>
  </sheets>
  <definedNames>
    <definedName name="Component">"Group"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40" i="7" l="1"/>
  <c r="B10" i="6" s="1"/>
  <c r="K140" i="7"/>
  <c r="L136" i="7" s="1"/>
  <c r="B13" i="6"/>
  <c r="B12" i="6"/>
  <c r="B11" i="6"/>
  <c r="B9" i="6"/>
  <c r="B7" i="6"/>
  <c r="B6" i="6"/>
  <c r="B9" i="3"/>
  <c r="B8" i="3"/>
  <c r="B7" i="3"/>
  <c r="B6" i="3"/>
  <c r="B5" i="3"/>
  <c r="B4" i="3"/>
  <c r="B3" i="3"/>
  <c r="B2" i="3"/>
  <c r="C12" i="2"/>
  <c r="C11" i="2"/>
  <c r="C10" i="2"/>
  <c r="C8" i="2"/>
  <c r="C7" i="2"/>
  <c r="C6" i="2"/>
  <c r="C5" i="2"/>
  <c r="Q199" i="7"/>
  <c r="P199" i="7"/>
  <c r="O199" i="7"/>
  <c r="N199" i="7"/>
  <c r="N186" i="7"/>
  <c r="O186" i="7"/>
  <c r="P186" i="7"/>
  <c r="Q186" i="7"/>
  <c r="N187" i="7"/>
  <c r="O187" i="7"/>
  <c r="P187" i="7"/>
  <c r="Q187" i="7"/>
  <c r="N188" i="7"/>
  <c r="O188" i="7"/>
  <c r="P188" i="7"/>
  <c r="Q188" i="7"/>
  <c r="N189" i="7"/>
  <c r="O189" i="7"/>
  <c r="P189" i="7"/>
  <c r="Q189" i="7"/>
  <c r="N190" i="7"/>
  <c r="O190" i="7"/>
  <c r="P190" i="7"/>
  <c r="Q190" i="7"/>
  <c r="N191" i="7"/>
  <c r="O191" i="7"/>
  <c r="P191" i="7"/>
  <c r="Q191" i="7"/>
  <c r="N192" i="7"/>
  <c r="O192" i="7"/>
  <c r="P192" i="7"/>
  <c r="Q192" i="7"/>
  <c r="N193" i="7"/>
  <c r="O193" i="7"/>
  <c r="P193" i="7"/>
  <c r="Q193" i="7"/>
  <c r="N194" i="7"/>
  <c r="O194" i="7"/>
  <c r="P194" i="7"/>
  <c r="Q194" i="7"/>
  <c r="N195" i="7"/>
  <c r="O195" i="7"/>
  <c r="P195" i="7"/>
  <c r="Q195" i="7"/>
  <c r="N196" i="7"/>
  <c r="O196" i="7"/>
  <c r="P196" i="7"/>
  <c r="Q196" i="7"/>
  <c r="Q185" i="7"/>
  <c r="P185" i="7"/>
  <c r="O185" i="7"/>
  <c r="N185" i="7"/>
  <c r="N182" i="7"/>
  <c r="O182" i="7"/>
  <c r="P182" i="7"/>
  <c r="Q182" i="7"/>
  <c r="N175" i="7"/>
  <c r="O175" i="7"/>
  <c r="P175" i="7"/>
  <c r="Q175" i="7"/>
  <c r="N176" i="7"/>
  <c r="O176" i="7"/>
  <c r="P176" i="7"/>
  <c r="Q176" i="7"/>
  <c r="N144" i="7"/>
  <c r="O144" i="7"/>
  <c r="P144" i="7"/>
  <c r="Q144" i="7"/>
  <c r="N145" i="7"/>
  <c r="O145" i="7"/>
  <c r="P145" i="7"/>
  <c r="Q145" i="7"/>
  <c r="N146" i="7"/>
  <c r="P146" i="7"/>
  <c r="N147" i="7"/>
  <c r="O147" i="7"/>
  <c r="P147" i="7"/>
  <c r="Q147" i="7"/>
  <c r="N148" i="7"/>
  <c r="O148" i="7"/>
  <c r="P148" i="7"/>
  <c r="Q148" i="7"/>
  <c r="N149" i="7"/>
  <c r="O149" i="7"/>
  <c r="P149" i="7"/>
  <c r="Q149" i="7"/>
  <c r="N150" i="7"/>
  <c r="O150" i="7"/>
  <c r="P150" i="7"/>
  <c r="Q150" i="7"/>
  <c r="N151" i="7"/>
  <c r="O151" i="7"/>
  <c r="P151" i="7"/>
  <c r="Q151" i="7"/>
  <c r="N152" i="7"/>
  <c r="O152" i="7"/>
  <c r="P152" i="7"/>
  <c r="Q152" i="7"/>
  <c r="N153" i="7"/>
  <c r="O153" i="7"/>
  <c r="P153" i="7"/>
  <c r="Q153" i="7"/>
  <c r="N154" i="7"/>
  <c r="O154" i="7"/>
  <c r="P154" i="7"/>
  <c r="Q154" i="7"/>
  <c r="N155" i="7"/>
  <c r="O155" i="7"/>
  <c r="P155" i="7"/>
  <c r="Q155" i="7"/>
  <c r="N156" i="7"/>
  <c r="O156" i="7"/>
  <c r="P156" i="7"/>
  <c r="Q156" i="7"/>
  <c r="N157" i="7"/>
  <c r="O157" i="7"/>
  <c r="P157" i="7"/>
  <c r="Q157" i="7"/>
  <c r="N158" i="7"/>
  <c r="O158" i="7"/>
  <c r="P158" i="7"/>
  <c r="Q158" i="7"/>
  <c r="N159" i="7"/>
  <c r="O159" i="7"/>
  <c r="P159" i="7"/>
  <c r="Q159" i="7"/>
  <c r="N160" i="7"/>
  <c r="O160" i="7"/>
  <c r="P160" i="7"/>
  <c r="Q160" i="7"/>
  <c r="N161" i="7"/>
  <c r="O161" i="7"/>
  <c r="P161" i="7"/>
  <c r="Q161" i="7"/>
  <c r="N162" i="7"/>
  <c r="O162" i="7"/>
  <c r="P162" i="7"/>
  <c r="Q162" i="7"/>
  <c r="N163" i="7"/>
  <c r="O163" i="7"/>
  <c r="P163" i="7"/>
  <c r="Q163" i="7"/>
  <c r="N164" i="7"/>
  <c r="O164" i="7"/>
  <c r="P164" i="7"/>
  <c r="Q164" i="7"/>
  <c r="N165" i="7"/>
  <c r="O165" i="7"/>
  <c r="P165" i="7"/>
  <c r="Q165" i="7"/>
  <c r="N166" i="7"/>
  <c r="O166" i="7"/>
  <c r="P166" i="7"/>
  <c r="Q166" i="7"/>
  <c r="N167" i="7"/>
  <c r="O167" i="7"/>
  <c r="P167" i="7"/>
  <c r="Q167" i="7"/>
  <c r="N168" i="7"/>
  <c r="O168" i="7"/>
  <c r="P168" i="7"/>
  <c r="Q168" i="7"/>
  <c r="N169" i="7"/>
  <c r="O169" i="7"/>
  <c r="P169" i="7"/>
  <c r="Q169" i="7"/>
  <c r="N170" i="7"/>
  <c r="O170" i="7"/>
  <c r="P170" i="7"/>
  <c r="Q170" i="7"/>
  <c r="N136" i="7"/>
  <c r="O136" i="7"/>
  <c r="P136" i="7"/>
  <c r="Q136" i="7"/>
  <c r="N137" i="7"/>
  <c r="O137" i="7"/>
  <c r="P137" i="7"/>
  <c r="Q137" i="7"/>
  <c r="N138" i="7"/>
  <c r="O138" i="7"/>
  <c r="P138" i="7"/>
  <c r="Q138" i="7"/>
  <c r="N139" i="7"/>
  <c r="O139" i="7"/>
  <c r="P139" i="7"/>
  <c r="Q139" i="7"/>
  <c r="N120" i="7"/>
  <c r="O120" i="7"/>
  <c r="P120" i="7"/>
  <c r="Q120" i="7"/>
  <c r="N121" i="7"/>
  <c r="O121" i="7"/>
  <c r="P121" i="7"/>
  <c r="Q121" i="7"/>
  <c r="N122" i="7"/>
  <c r="O122" i="7"/>
  <c r="P122" i="7"/>
  <c r="Q122" i="7"/>
  <c r="N123" i="7"/>
  <c r="O123" i="7"/>
  <c r="P123" i="7"/>
  <c r="Q123" i="7"/>
  <c r="N124" i="7"/>
  <c r="O124" i="7"/>
  <c r="P124" i="7"/>
  <c r="Q124" i="7"/>
  <c r="N125" i="7"/>
  <c r="O125" i="7"/>
  <c r="P125" i="7"/>
  <c r="Q125" i="7"/>
  <c r="N126" i="7"/>
  <c r="O126" i="7"/>
  <c r="P126" i="7"/>
  <c r="Q126" i="7"/>
  <c r="N127" i="7"/>
  <c r="O127" i="7"/>
  <c r="P127" i="7"/>
  <c r="Q127" i="7"/>
  <c r="N128" i="7"/>
  <c r="O128" i="7"/>
  <c r="P128" i="7"/>
  <c r="Q128" i="7"/>
  <c r="N129" i="7"/>
  <c r="O129" i="7"/>
  <c r="P129" i="7"/>
  <c r="Q129" i="7"/>
  <c r="N130" i="7"/>
  <c r="O130" i="7"/>
  <c r="P130" i="7"/>
  <c r="Q130" i="7"/>
  <c r="N131" i="7"/>
  <c r="O131" i="7"/>
  <c r="P131" i="7"/>
  <c r="Q131" i="7"/>
  <c r="N103" i="7"/>
  <c r="O103" i="7"/>
  <c r="P103" i="7"/>
  <c r="Q103" i="7"/>
  <c r="N104" i="7"/>
  <c r="O104" i="7"/>
  <c r="P104" i="7"/>
  <c r="Q104" i="7"/>
  <c r="N105" i="7"/>
  <c r="O105" i="7"/>
  <c r="P105" i="7"/>
  <c r="Q105" i="7"/>
  <c r="N106" i="7"/>
  <c r="O106" i="7"/>
  <c r="P106" i="7"/>
  <c r="Q106" i="7"/>
  <c r="N107" i="7"/>
  <c r="O107" i="7"/>
  <c r="P107" i="7"/>
  <c r="Q107" i="7"/>
  <c r="N108" i="7"/>
  <c r="O108" i="7"/>
  <c r="P108" i="7"/>
  <c r="Q108" i="7"/>
  <c r="N109" i="7"/>
  <c r="O109" i="7"/>
  <c r="P109" i="7"/>
  <c r="Q109" i="7"/>
  <c r="N110" i="7"/>
  <c r="O110" i="7"/>
  <c r="P110" i="7"/>
  <c r="Q110" i="7"/>
  <c r="N111" i="7"/>
  <c r="O111" i="7"/>
  <c r="P111" i="7"/>
  <c r="Q111" i="7"/>
  <c r="N112" i="7"/>
  <c r="O112" i="7"/>
  <c r="P112" i="7"/>
  <c r="Q112" i="7"/>
  <c r="N113" i="7"/>
  <c r="O113" i="7"/>
  <c r="P113" i="7"/>
  <c r="Q113" i="7"/>
  <c r="N114" i="7"/>
  <c r="O114" i="7"/>
  <c r="P114" i="7"/>
  <c r="Q114" i="7"/>
  <c r="N115" i="7"/>
  <c r="O115" i="7"/>
  <c r="P115" i="7"/>
  <c r="Q115" i="7"/>
  <c r="N116" i="7"/>
  <c r="O116" i="7"/>
  <c r="P116" i="7"/>
  <c r="Q116" i="7"/>
  <c r="N65" i="7"/>
  <c r="O65" i="7"/>
  <c r="P65" i="7"/>
  <c r="Q65" i="7"/>
  <c r="N66" i="7"/>
  <c r="O66" i="7"/>
  <c r="P66" i="7"/>
  <c r="Q66" i="7"/>
  <c r="N67" i="7"/>
  <c r="O67" i="7"/>
  <c r="P67" i="7"/>
  <c r="Q67" i="7"/>
  <c r="N68" i="7"/>
  <c r="O68" i="7"/>
  <c r="P68" i="7"/>
  <c r="Q68" i="7"/>
  <c r="N69" i="7"/>
  <c r="P69" i="7"/>
  <c r="N70" i="7"/>
  <c r="O70" i="7"/>
  <c r="P70" i="7"/>
  <c r="Q70" i="7"/>
  <c r="N71" i="7"/>
  <c r="O71" i="7"/>
  <c r="P71" i="7"/>
  <c r="Q71" i="7"/>
  <c r="N72" i="7"/>
  <c r="O72" i="7"/>
  <c r="P72" i="7"/>
  <c r="Q72" i="7"/>
  <c r="N73" i="7"/>
  <c r="O73" i="7"/>
  <c r="P73" i="7"/>
  <c r="Q73" i="7"/>
  <c r="N74" i="7"/>
  <c r="O74" i="7"/>
  <c r="P74" i="7"/>
  <c r="Q74" i="7"/>
  <c r="N75" i="7"/>
  <c r="O75" i="7"/>
  <c r="P75" i="7"/>
  <c r="Q75" i="7"/>
  <c r="N76" i="7"/>
  <c r="O76" i="7"/>
  <c r="P76" i="7"/>
  <c r="Q76" i="7"/>
  <c r="N77" i="7"/>
  <c r="O77" i="7"/>
  <c r="P77" i="7"/>
  <c r="Q77" i="7"/>
  <c r="N78" i="7"/>
  <c r="O78" i="7"/>
  <c r="P78" i="7"/>
  <c r="Q78" i="7"/>
  <c r="N79" i="7"/>
  <c r="O79" i="7"/>
  <c r="P79" i="7"/>
  <c r="Q79" i="7"/>
  <c r="N80" i="7"/>
  <c r="O80" i="7"/>
  <c r="P80" i="7"/>
  <c r="Q80" i="7"/>
  <c r="N81" i="7"/>
  <c r="O81" i="7"/>
  <c r="P81" i="7"/>
  <c r="Q81" i="7"/>
  <c r="N82" i="7"/>
  <c r="O82" i="7"/>
  <c r="P82" i="7"/>
  <c r="Q82" i="7"/>
  <c r="N83" i="7"/>
  <c r="O83" i="7"/>
  <c r="P83" i="7"/>
  <c r="Q83" i="7"/>
  <c r="N84" i="7"/>
  <c r="O84" i="7"/>
  <c r="P84" i="7"/>
  <c r="Q84" i="7"/>
  <c r="N85" i="7"/>
  <c r="O85" i="7"/>
  <c r="P85" i="7"/>
  <c r="Q85" i="7"/>
  <c r="N86" i="7"/>
  <c r="O86" i="7"/>
  <c r="P86" i="7"/>
  <c r="Q86" i="7"/>
  <c r="N87" i="7"/>
  <c r="O87" i="7"/>
  <c r="P87" i="7"/>
  <c r="Q87" i="7"/>
  <c r="N88" i="7"/>
  <c r="O88" i="7"/>
  <c r="P88" i="7"/>
  <c r="Q88" i="7"/>
  <c r="N89" i="7"/>
  <c r="O89" i="7"/>
  <c r="P89" i="7"/>
  <c r="Q89" i="7"/>
  <c r="N90" i="7"/>
  <c r="O90" i="7"/>
  <c r="P90" i="7"/>
  <c r="Q90" i="7"/>
  <c r="N91" i="7"/>
  <c r="O91" i="7"/>
  <c r="P91" i="7"/>
  <c r="Q91" i="7"/>
  <c r="N92" i="7"/>
  <c r="O92" i="7"/>
  <c r="P92" i="7"/>
  <c r="Q92" i="7"/>
  <c r="N93" i="7"/>
  <c r="O93" i="7"/>
  <c r="P93" i="7"/>
  <c r="Q93" i="7"/>
  <c r="N94" i="7"/>
  <c r="O94" i="7"/>
  <c r="P94" i="7"/>
  <c r="Q94" i="7"/>
  <c r="N95" i="7"/>
  <c r="O95" i="7"/>
  <c r="P95" i="7"/>
  <c r="Q95" i="7"/>
  <c r="N96" i="7"/>
  <c r="O96" i="7"/>
  <c r="P96" i="7"/>
  <c r="Q96" i="7"/>
  <c r="N97" i="7"/>
  <c r="O97" i="7"/>
  <c r="P97" i="7"/>
  <c r="Q97" i="7"/>
  <c r="N28" i="7"/>
  <c r="O28" i="7"/>
  <c r="P28" i="7"/>
  <c r="Q28" i="7"/>
  <c r="N29" i="7"/>
  <c r="O29" i="7"/>
  <c r="P29" i="7"/>
  <c r="Q29" i="7"/>
  <c r="N30" i="7"/>
  <c r="O30" i="7"/>
  <c r="P30" i="7"/>
  <c r="Q30" i="7"/>
  <c r="N31" i="7"/>
  <c r="O31" i="7"/>
  <c r="P31" i="7"/>
  <c r="Q31" i="7"/>
  <c r="N32" i="7"/>
  <c r="O32" i="7"/>
  <c r="P32" i="7"/>
  <c r="Q32" i="7"/>
  <c r="N33" i="7"/>
  <c r="O33" i="7"/>
  <c r="P33" i="7"/>
  <c r="Q33" i="7"/>
  <c r="N34" i="7"/>
  <c r="O34" i="7"/>
  <c r="P34" i="7"/>
  <c r="Q34" i="7"/>
  <c r="N35" i="7"/>
  <c r="O35" i="7"/>
  <c r="P35" i="7"/>
  <c r="Q35" i="7"/>
  <c r="N36" i="7"/>
  <c r="O36" i="7"/>
  <c r="P36" i="7"/>
  <c r="Q36" i="7"/>
  <c r="N37" i="7"/>
  <c r="O37" i="7"/>
  <c r="P37" i="7"/>
  <c r="Q37" i="7"/>
  <c r="N38" i="7"/>
  <c r="O38" i="7"/>
  <c r="P38" i="7"/>
  <c r="Q38" i="7"/>
  <c r="N39" i="7"/>
  <c r="O39" i="7"/>
  <c r="P39" i="7"/>
  <c r="Q39" i="7"/>
  <c r="N40" i="7"/>
  <c r="O40" i="7"/>
  <c r="P40" i="7"/>
  <c r="Q40" i="7"/>
  <c r="N41" i="7"/>
  <c r="O41" i="7"/>
  <c r="P41" i="7"/>
  <c r="Q41" i="7"/>
  <c r="N42" i="7"/>
  <c r="O42" i="7"/>
  <c r="P42" i="7"/>
  <c r="Q42" i="7"/>
  <c r="N43" i="7"/>
  <c r="O43" i="7"/>
  <c r="P43" i="7"/>
  <c r="Q43" i="7"/>
  <c r="N44" i="7"/>
  <c r="O44" i="7"/>
  <c r="P44" i="7"/>
  <c r="Q44" i="7"/>
  <c r="N45" i="7"/>
  <c r="O45" i="7"/>
  <c r="P45" i="7"/>
  <c r="Q45" i="7"/>
  <c r="N46" i="7"/>
  <c r="O46" i="7"/>
  <c r="P46" i="7"/>
  <c r="Q46" i="7"/>
  <c r="N47" i="7"/>
  <c r="O47" i="7"/>
  <c r="P47" i="7"/>
  <c r="Q47" i="7"/>
  <c r="N48" i="7"/>
  <c r="O48" i="7"/>
  <c r="P48" i="7"/>
  <c r="Q48" i="7"/>
  <c r="N49" i="7"/>
  <c r="O49" i="7"/>
  <c r="P49" i="7"/>
  <c r="Q49" i="7"/>
  <c r="N50" i="7"/>
  <c r="O50" i="7"/>
  <c r="P50" i="7"/>
  <c r="Q50" i="7"/>
  <c r="N51" i="7"/>
  <c r="O51" i="7"/>
  <c r="P51" i="7"/>
  <c r="Q51" i="7"/>
  <c r="N52" i="7"/>
  <c r="O52" i="7"/>
  <c r="P52" i="7"/>
  <c r="Q52" i="7"/>
  <c r="N53" i="7"/>
  <c r="O53" i="7"/>
  <c r="P53" i="7"/>
  <c r="Q53" i="7"/>
  <c r="N54" i="7"/>
  <c r="O54" i="7"/>
  <c r="P54" i="7"/>
  <c r="Q54" i="7"/>
  <c r="N55" i="7"/>
  <c r="O55" i="7"/>
  <c r="P55" i="7"/>
  <c r="Q55" i="7"/>
  <c r="N56" i="7"/>
  <c r="O56" i="7"/>
  <c r="P56" i="7"/>
  <c r="Q56" i="7"/>
  <c r="N57" i="7"/>
  <c r="O57" i="7"/>
  <c r="P57" i="7"/>
  <c r="Q57" i="7"/>
  <c r="N58" i="7"/>
  <c r="O58" i="7"/>
  <c r="P58" i="7"/>
  <c r="Q58" i="7"/>
  <c r="N59" i="7"/>
  <c r="O59" i="7"/>
  <c r="P59" i="7"/>
  <c r="Q59" i="7"/>
  <c r="N60" i="7"/>
  <c r="O60" i="7"/>
  <c r="P60" i="7"/>
  <c r="Q60" i="7"/>
  <c r="N6" i="7"/>
  <c r="O6" i="7"/>
  <c r="P6" i="7"/>
  <c r="Q6" i="7"/>
  <c r="N7" i="7"/>
  <c r="O7" i="7"/>
  <c r="P7" i="7"/>
  <c r="Q7" i="7"/>
  <c r="N8" i="7"/>
  <c r="O8" i="7"/>
  <c r="P8" i="7"/>
  <c r="Q8" i="7"/>
  <c r="N9" i="7"/>
  <c r="O9" i="7"/>
  <c r="P9" i="7"/>
  <c r="Q9" i="7"/>
  <c r="N10" i="7"/>
  <c r="O10" i="7"/>
  <c r="P10" i="7"/>
  <c r="Q10" i="7"/>
  <c r="N11" i="7"/>
  <c r="O11" i="7"/>
  <c r="P11" i="7"/>
  <c r="Q11" i="7"/>
  <c r="N12" i="7"/>
  <c r="O12" i="7"/>
  <c r="P12" i="7"/>
  <c r="Q12" i="7"/>
  <c r="N13" i="7"/>
  <c r="O13" i="7"/>
  <c r="P13" i="7"/>
  <c r="Q13" i="7"/>
  <c r="N14" i="7"/>
  <c r="O14" i="7"/>
  <c r="P14" i="7"/>
  <c r="Q14" i="7"/>
  <c r="N15" i="7"/>
  <c r="O15" i="7"/>
  <c r="P15" i="7"/>
  <c r="Q15" i="7"/>
  <c r="N16" i="7"/>
  <c r="O16" i="7"/>
  <c r="P16" i="7"/>
  <c r="Q16" i="7"/>
  <c r="N17" i="7"/>
  <c r="O17" i="7"/>
  <c r="P17" i="7"/>
  <c r="Q17" i="7"/>
  <c r="N18" i="7"/>
  <c r="O18" i="7"/>
  <c r="P18" i="7"/>
  <c r="Q18" i="7"/>
  <c r="N19" i="7"/>
  <c r="O19" i="7"/>
  <c r="P19" i="7"/>
  <c r="Q19" i="7"/>
  <c r="N20" i="7"/>
  <c r="O20" i="7"/>
  <c r="P20" i="7"/>
  <c r="Q20" i="7"/>
  <c r="N21" i="7"/>
  <c r="O21" i="7"/>
  <c r="P21" i="7"/>
  <c r="Q21" i="7"/>
  <c r="N22" i="7"/>
  <c r="O22" i="7"/>
  <c r="P22" i="7"/>
  <c r="Q22" i="7"/>
  <c r="N23" i="7"/>
  <c r="O23" i="7"/>
  <c r="P23" i="7"/>
  <c r="Q23" i="7"/>
  <c r="M186" i="7"/>
  <c r="M187" i="7"/>
  <c r="M188" i="7"/>
  <c r="M189" i="7"/>
  <c r="M190" i="7"/>
  <c r="M191" i="7"/>
  <c r="M192" i="7"/>
  <c r="M193" i="7"/>
  <c r="M194" i="7"/>
  <c r="M195" i="7"/>
  <c r="M196" i="7"/>
  <c r="M185" i="7"/>
  <c r="M182" i="7"/>
  <c r="M175" i="7"/>
  <c r="M176" i="7"/>
  <c r="M177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36" i="7"/>
  <c r="M137" i="7"/>
  <c r="M138" i="7"/>
  <c r="M139" i="7"/>
  <c r="M140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L199" i="7"/>
  <c r="J199" i="7"/>
  <c r="L186" i="7"/>
  <c r="L187" i="7"/>
  <c r="L188" i="7"/>
  <c r="L189" i="7"/>
  <c r="L190" i="7"/>
  <c r="L191" i="7"/>
  <c r="L192" i="7"/>
  <c r="L193" i="7"/>
  <c r="L194" i="7"/>
  <c r="L195" i="7"/>
  <c r="L196" i="7"/>
  <c r="L185" i="7"/>
  <c r="J186" i="7"/>
  <c r="J187" i="7"/>
  <c r="J188" i="7"/>
  <c r="J189" i="7"/>
  <c r="J190" i="7"/>
  <c r="J191" i="7"/>
  <c r="J192" i="7"/>
  <c r="J193" i="7"/>
  <c r="J194" i="7"/>
  <c r="J195" i="7"/>
  <c r="J196" i="7"/>
  <c r="J185" i="7"/>
  <c r="L182" i="7"/>
  <c r="J182" i="7"/>
  <c r="L175" i="7"/>
  <c r="L176" i="7"/>
  <c r="J175" i="7"/>
  <c r="J176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36" i="7"/>
  <c r="J137" i="7"/>
  <c r="J138" i="7"/>
  <c r="J13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I140" i="7"/>
  <c r="I131" i="7"/>
  <c r="I130" i="7"/>
  <c r="I129" i="7"/>
  <c r="I128" i="7"/>
  <c r="I127" i="7"/>
  <c r="I126" i="7"/>
  <c r="I125" i="7"/>
  <c r="I124" i="7"/>
  <c r="I123" i="7"/>
  <c r="I121" i="7"/>
  <c r="I120" i="7"/>
  <c r="I119" i="7"/>
  <c r="I116" i="7"/>
  <c r="I114" i="7"/>
  <c r="I113" i="7"/>
  <c r="I112" i="7"/>
  <c r="I109" i="7"/>
  <c r="I108" i="7"/>
  <c r="I107" i="7"/>
  <c r="I106" i="7"/>
  <c r="I105" i="7"/>
  <c r="I104" i="7"/>
  <c r="I103" i="7"/>
  <c r="I102" i="7"/>
  <c r="I23" i="7"/>
  <c r="L139" i="7" l="1"/>
  <c r="C9" i="2"/>
  <c r="L138" i="7"/>
  <c r="L137" i="7"/>
  <c r="H36" i="7"/>
  <c r="T149" i="7"/>
  <c r="H149" i="7"/>
  <c r="H188" i="7"/>
  <c r="S107" i="7" l="1"/>
  <c r="R107" i="7"/>
  <c r="K107" i="7"/>
  <c r="G107" i="7"/>
  <c r="E107" i="7"/>
  <c r="D107" i="7"/>
  <c r="E10" i="7"/>
  <c r="K23" i="7"/>
  <c r="K103" i="7" l="1"/>
  <c r="G103" i="7"/>
  <c r="E103" i="7"/>
  <c r="D103" i="7"/>
  <c r="H15" i="7"/>
  <c r="S130" i="7"/>
  <c r="R130" i="7"/>
  <c r="K130" i="7"/>
  <c r="G130" i="7"/>
  <c r="E130" i="7"/>
  <c r="D130" i="7"/>
  <c r="H122" i="7" l="1"/>
  <c r="H74" i="7"/>
  <c r="H159" i="7"/>
  <c r="D159" i="7"/>
  <c r="H22" i="7"/>
  <c r="S123" i="7" l="1"/>
  <c r="R123" i="7"/>
  <c r="K123" i="7"/>
  <c r="G123" i="7"/>
  <c r="E123" i="7"/>
  <c r="D123" i="7"/>
  <c r="T148" i="7" l="1"/>
  <c r="S125" i="7" l="1"/>
  <c r="R125" i="7"/>
  <c r="K125" i="7"/>
  <c r="F125" i="7"/>
  <c r="G125" i="7"/>
  <c r="E125" i="7"/>
  <c r="D125" i="7"/>
  <c r="K104" i="7"/>
  <c r="G104" i="7"/>
  <c r="F104" i="7"/>
  <c r="E104" i="7"/>
  <c r="D104" i="7"/>
  <c r="D112" i="7"/>
  <c r="H144" i="7" l="1"/>
  <c r="H145" i="7"/>
  <c r="H146" i="7"/>
  <c r="H147" i="7"/>
  <c r="H148" i="7"/>
  <c r="H150" i="7"/>
  <c r="H151" i="7"/>
  <c r="H152" i="7"/>
  <c r="H153" i="7"/>
  <c r="H154" i="7"/>
  <c r="H155" i="7"/>
  <c r="H156" i="7"/>
  <c r="H158" i="7"/>
  <c r="H157" i="7"/>
  <c r="H160" i="7"/>
  <c r="H161" i="7"/>
  <c r="H162" i="7"/>
  <c r="H163" i="7"/>
  <c r="H164" i="7"/>
  <c r="H165" i="7"/>
  <c r="H166" i="7"/>
  <c r="H167" i="7"/>
  <c r="H168" i="7"/>
  <c r="H169" i="7"/>
  <c r="H170" i="7"/>
  <c r="H143" i="7"/>
  <c r="H199" i="7"/>
  <c r="K116" i="7"/>
  <c r="G116" i="7"/>
  <c r="E116" i="7"/>
  <c r="D116" i="7"/>
  <c r="K124" i="7"/>
  <c r="G124" i="7"/>
  <c r="E124" i="7"/>
  <c r="D124" i="7"/>
  <c r="O146" i="7" l="1"/>
  <c r="Q146" i="7"/>
  <c r="S128" i="7"/>
  <c r="R128" i="7"/>
  <c r="K128" i="7"/>
  <c r="G128" i="7"/>
  <c r="E128" i="7"/>
  <c r="D128" i="7"/>
  <c r="R120" i="7" l="1"/>
  <c r="S120" i="7"/>
  <c r="K120" i="7"/>
  <c r="G120" i="7"/>
  <c r="E120" i="7"/>
  <c r="D120" i="7"/>
  <c r="S112" i="7" l="1"/>
  <c r="R112" i="7"/>
  <c r="K112" i="7"/>
  <c r="G112" i="7"/>
  <c r="E112" i="7"/>
  <c r="T87" i="7" l="1"/>
  <c r="S105" i="7"/>
  <c r="R105" i="7"/>
  <c r="K105" i="7"/>
  <c r="G105" i="7"/>
  <c r="E105" i="7"/>
  <c r="D105" i="7"/>
  <c r="S119" i="7"/>
  <c r="R119" i="7"/>
  <c r="K119" i="7"/>
  <c r="G119" i="7"/>
  <c r="E119" i="7"/>
  <c r="D119" i="7"/>
  <c r="T49" i="7"/>
  <c r="T194" i="7"/>
  <c r="S127" i="7" l="1"/>
  <c r="R127" i="7"/>
  <c r="K127" i="7"/>
  <c r="G127" i="7"/>
  <c r="F127" i="7"/>
  <c r="E127" i="7"/>
  <c r="D127" i="7"/>
  <c r="S126" i="7"/>
  <c r="R126" i="7"/>
  <c r="K126" i="7"/>
  <c r="F126" i="7"/>
  <c r="G126" i="7"/>
  <c r="E126" i="7"/>
  <c r="D126" i="7"/>
  <c r="T115" i="7"/>
  <c r="S114" i="7" l="1"/>
  <c r="R114" i="7"/>
  <c r="K114" i="7"/>
  <c r="G114" i="7"/>
  <c r="E114" i="7"/>
  <c r="D114" i="7"/>
  <c r="S129" i="7"/>
  <c r="R129" i="7"/>
  <c r="K129" i="7"/>
  <c r="G129" i="7"/>
  <c r="E129" i="7"/>
  <c r="D129" i="7"/>
  <c r="P135" i="7" l="1"/>
  <c r="N135" i="7"/>
  <c r="M135" i="7"/>
  <c r="K106" i="7"/>
  <c r="G106" i="7"/>
  <c r="E106" i="7"/>
  <c r="D106" i="7"/>
  <c r="S109" i="7"/>
  <c r="R109" i="7"/>
  <c r="K109" i="7"/>
  <c r="G109" i="7"/>
  <c r="E109" i="7"/>
  <c r="D109" i="7"/>
  <c r="T41" i="7"/>
  <c r="K113" i="7"/>
  <c r="G113" i="7"/>
  <c r="E113" i="7"/>
  <c r="D113" i="7"/>
  <c r="S131" i="7" l="1"/>
  <c r="R131" i="7"/>
  <c r="K131" i="7"/>
  <c r="G131" i="7"/>
  <c r="E131" i="7"/>
  <c r="D131" i="7"/>
  <c r="S111" i="7"/>
  <c r="R111" i="7"/>
  <c r="R110" i="7" l="1"/>
  <c r="S110" i="7"/>
  <c r="H186" i="7"/>
  <c r="H187" i="7"/>
  <c r="H189" i="7"/>
  <c r="H190" i="7"/>
  <c r="H191" i="7"/>
  <c r="H192" i="7"/>
  <c r="H193" i="7"/>
  <c r="H194" i="7"/>
  <c r="H195" i="7"/>
  <c r="H196" i="7"/>
  <c r="S108" i="7"/>
  <c r="R108" i="7"/>
  <c r="K108" i="7"/>
  <c r="G108" i="7"/>
  <c r="E108" i="7"/>
  <c r="D108" i="7"/>
  <c r="T35" i="7" l="1"/>
  <c r="T121" i="7"/>
  <c r="S121" i="7"/>
  <c r="R121" i="7"/>
  <c r="K121" i="7"/>
  <c r="G121" i="7"/>
  <c r="E121" i="7"/>
  <c r="D121" i="7"/>
  <c r="S102" i="7" l="1"/>
  <c r="R102" i="7"/>
  <c r="K102" i="7"/>
  <c r="H185" i="7"/>
  <c r="H182" i="7"/>
  <c r="H181" i="7"/>
  <c r="H175" i="7"/>
  <c r="H176" i="7"/>
  <c r="H136" i="7"/>
  <c r="H137" i="7"/>
  <c r="H138" i="7"/>
  <c r="H139" i="7"/>
  <c r="H135" i="7"/>
  <c r="H120" i="7"/>
  <c r="H121" i="7"/>
  <c r="H123" i="7"/>
  <c r="H124" i="7"/>
  <c r="H125" i="7"/>
  <c r="H126" i="7"/>
  <c r="H127" i="7"/>
  <c r="H128" i="7"/>
  <c r="H129" i="7"/>
  <c r="H130" i="7"/>
  <c r="H131" i="7"/>
  <c r="H119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F102" i="7"/>
  <c r="Q135" i="7" l="1"/>
  <c r="O135" i="7"/>
  <c r="H65" i="7"/>
  <c r="H66" i="7"/>
  <c r="H67" i="7"/>
  <c r="H68" i="7"/>
  <c r="H69" i="7"/>
  <c r="H70" i="7"/>
  <c r="H71" i="7"/>
  <c r="H72" i="7"/>
  <c r="H73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64" i="7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3" i="7"/>
  <c r="H6" i="7"/>
  <c r="H7" i="7"/>
  <c r="H5" i="7"/>
  <c r="G102" i="7"/>
  <c r="E102" i="7"/>
  <c r="D102" i="7"/>
  <c r="O69" i="7" l="1"/>
  <c r="Q69" i="7"/>
  <c r="H102" i="7"/>
  <c r="H28" i="7"/>
  <c r="H29" i="7"/>
  <c r="H30" i="7"/>
  <c r="H31" i="7"/>
  <c r="H32" i="7"/>
  <c r="H33" i="7"/>
  <c r="H34" i="7"/>
  <c r="H35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M199" i="7" l="1"/>
  <c r="T200" i="7" l="1"/>
  <c r="K200" i="7"/>
  <c r="I200" i="7"/>
  <c r="Q181" i="7"/>
  <c r="P181" i="7"/>
  <c r="O181" i="7"/>
  <c r="N181" i="7"/>
  <c r="M181" i="7"/>
  <c r="T177" i="7"/>
  <c r="K177" i="7"/>
  <c r="I177" i="7"/>
  <c r="P174" i="7"/>
  <c r="N174" i="7"/>
  <c r="M174" i="7"/>
  <c r="H174" i="7"/>
  <c r="K171" i="7"/>
  <c r="I171" i="7"/>
  <c r="T171" i="7"/>
  <c r="P143" i="7"/>
  <c r="N143" i="7"/>
  <c r="M143" i="7"/>
  <c r="Q143" i="7"/>
  <c r="L135" i="7"/>
  <c r="T132" i="7"/>
  <c r="P102" i="7"/>
  <c r="N102" i="7"/>
  <c r="M102" i="7"/>
  <c r="Q102" i="7"/>
  <c r="T98" i="7"/>
  <c r="B8" i="6" s="1"/>
  <c r="K98" i="7"/>
  <c r="I98" i="7"/>
  <c r="P64" i="7"/>
  <c r="N64" i="7"/>
  <c r="M64" i="7"/>
  <c r="T61" i="7"/>
  <c r="K61" i="7"/>
  <c r="I61" i="7"/>
  <c r="P27" i="7"/>
  <c r="N27" i="7"/>
  <c r="M27" i="7"/>
  <c r="H27" i="7"/>
  <c r="Q27" i="7" s="1"/>
  <c r="T24" i="7"/>
  <c r="K24" i="7"/>
  <c r="I24" i="7"/>
  <c r="P5" i="7"/>
  <c r="N5" i="7"/>
  <c r="M5" i="7"/>
  <c r="Q5" i="7"/>
  <c r="M98" i="7" l="1"/>
  <c r="L72" i="7"/>
  <c r="L84" i="7"/>
  <c r="L96" i="7"/>
  <c r="L73" i="7"/>
  <c r="L85" i="7"/>
  <c r="L97" i="7"/>
  <c r="L74" i="7"/>
  <c r="L86" i="7"/>
  <c r="L82" i="7"/>
  <c r="L75" i="7"/>
  <c r="L87" i="7"/>
  <c r="L76" i="7"/>
  <c r="L88" i="7"/>
  <c r="L66" i="7"/>
  <c r="L93" i="7"/>
  <c r="L95" i="7"/>
  <c r="L65" i="7"/>
  <c r="L77" i="7"/>
  <c r="L89" i="7"/>
  <c r="L78" i="7"/>
  <c r="L90" i="7"/>
  <c r="L69" i="7"/>
  <c r="L83" i="7"/>
  <c r="L67" i="7"/>
  <c r="L79" i="7"/>
  <c r="L91" i="7"/>
  <c r="L68" i="7"/>
  <c r="L80" i="7"/>
  <c r="L92" i="7"/>
  <c r="L81" i="7"/>
  <c r="L70" i="7"/>
  <c r="L94" i="7"/>
  <c r="L71" i="7"/>
  <c r="L151" i="7"/>
  <c r="L163" i="7"/>
  <c r="L152" i="7"/>
  <c r="L155" i="7"/>
  <c r="L144" i="7"/>
  <c r="L156" i="7"/>
  <c r="L168" i="7"/>
  <c r="L145" i="7"/>
  <c r="L169" i="7"/>
  <c r="L164" i="7"/>
  <c r="L153" i="7"/>
  <c r="L165" i="7"/>
  <c r="L154" i="7"/>
  <c r="L166" i="7"/>
  <c r="L167" i="7"/>
  <c r="L146" i="7"/>
  <c r="L158" i="7"/>
  <c r="L170" i="7"/>
  <c r="L161" i="7"/>
  <c r="L162" i="7"/>
  <c r="L147" i="7"/>
  <c r="L159" i="7"/>
  <c r="M171" i="7"/>
  <c r="L148" i="7"/>
  <c r="L160" i="7"/>
  <c r="L149" i="7"/>
  <c r="L150" i="7"/>
  <c r="L157" i="7"/>
  <c r="J135" i="7"/>
  <c r="Q119" i="7"/>
  <c r="N119" i="7"/>
  <c r="J64" i="7"/>
  <c r="L181" i="7"/>
  <c r="O102" i="7"/>
  <c r="J143" i="7"/>
  <c r="L27" i="7"/>
  <c r="J181" i="7"/>
  <c r="M200" i="7"/>
  <c r="T201" i="7"/>
  <c r="L64" i="7"/>
  <c r="M119" i="7"/>
  <c r="P119" i="7"/>
  <c r="O143" i="7"/>
  <c r="L5" i="7"/>
  <c r="Q64" i="7"/>
  <c r="O64" i="7"/>
  <c r="K132" i="7"/>
  <c r="Q174" i="7"/>
  <c r="O174" i="7"/>
  <c r="L174" i="7"/>
  <c r="J5" i="7"/>
  <c r="O5" i="7"/>
  <c r="J27" i="7"/>
  <c r="O27" i="7"/>
  <c r="I132" i="7"/>
  <c r="L143" i="7"/>
  <c r="J174" i="7"/>
  <c r="O119" i="7" l="1"/>
  <c r="K201" i="7"/>
  <c r="L200" i="7" s="1"/>
  <c r="J102" i="7"/>
  <c r="J119" i="7"/>
  <c r="L102" i="7"/>
  <c r="L119" i="7"/>
  <c r="I201" i="7"/>
  <c r="J132" i="7" s="1"/>
  <c r="L140" i="7" l="1"/>
  <c r="L98" i="7"/>
  <c r="L177" i="7"/>
  <c r="L61" i="7"/>
  <c r="L24" i="7"/>
  <c r="L132" i="7"/>
  <c r="L171" i="7"/>
  <c r="J200" i="7"/>
  <c r="J140" i="7"/>
  <c r="J98" i="7"/>
  <c r="J171" i="7"/>
  <c r="J61" i="7"/>
  <c r="J24" i="7"/>
  <c r="J177" i="7"/>
</calcChain>
</file>

<file path=xl/sharedStrings.xml><?xml version="1.0" encoding="utf-8"?>
<sst xmlns="http://schemas.openxmlformats.org/spreadsheetml/2006/main" count="410" uniqueCount="274">
  <si>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</si>
  <si>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</si>
  <si>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</si>
  <si>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</si>
  <si>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</si>
  <si>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</si>
  <si>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</si>
  <si>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</si>
  <si>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</si>
  <si>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</si>
  <si>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</si>
  <si>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</si>
  <si>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</si>
  <si>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</si>
  <si>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</si>
  <si>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</si>
  <si>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</si>
  <si>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</si>
  <si>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</si>
  <si>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</si>
  <si>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</si>
  <si>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</si>
  <si>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</si>
  <si>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</si>
  <si>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</si>
  <si>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</si>
  <si>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</si>
  <si>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</si>
  <si>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</si>
  <si>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</si>
  <si>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</si>
  <si>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</si>
  <si>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</si>
  <si>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</si>
  <si>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</si>
  <si>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</si>
  <si>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</si>
  <si>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</si>
  <si>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</si>
  <si>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</si>
  <si>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</si>
  <si>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</si>
  <si>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</si>
  <si>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</si>
  <si>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</si>
  <si>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</si>
  <si>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</si>
  <si>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</si>
  <si>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</si>
  <si>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</si>
  <si>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</si>
  <si>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</si>
  <si>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</si>
  <si>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</si>
  <si>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</si>
  <si>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</si>
  <si>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</si>
  <si>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</si>
  <si>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</si>
  <si>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</si>
  <si>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</si>
  <si>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</si>
  <si>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</si>
  <si>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</si>
  <si>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</si>
  <si>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</si>
  <si>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</si>
  <si>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</si>
  <si>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</si>
  <si>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</si>
  <si>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</si>
  <si>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</si>
  <si>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</si>
  <si>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</si>
  <si>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</si>
  <si>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</si>
  <si>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</si>
  <si>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</si>
  <si>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</si>
  <si>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</si>
  <si>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</si>
  <si>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</si>
  <si>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</si>
  <si>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</si>
  <si>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</si>
  <si>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</si>
  <si>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</si>
  <si>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</si>
  <si>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</si>
  <si>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</si>
  <si>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</si>
  <si>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</si>
  <si>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</si>
  <si>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</si>
  <si>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</si>
  <si>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</si>
  <si>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</si>
  <si>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</si>
  <si>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</si>
  <si>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</si>
  <si>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</si>
  <si>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</si>
  <si>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</si>
  <si>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</si>
  <si>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</si>
  <si>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</si>
  <si>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</si>
  <si>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</si>
  <si>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</si>
  <si>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</si>
  <si>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</si>
  <si>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</si>
  <si>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</si>
  <si>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</si>
  <si>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</si>
  <si>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</si>
  <si>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</si>
  <si>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</si>
  <si>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</si>
  <si>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</si>
  <si>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</si>
  <si>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</si>
  <si>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</si>
  <si>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</si>
  <si>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</si>
  <si>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</si>
  <si>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</si>
  <si>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</si>
  <si>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</si>
  <si>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</si>
  <si>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</si>
  <si>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</si>
  <si>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</si>
  <si>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</si>
  <si>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</si>
  <si>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</si>
  <si>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</si>
  <si>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</si>
  <si>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</si>
  <si>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</si>
  <si>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</si>
  <si>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</si>
  <si>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</si>
  <si>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</si>
  <si>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</si>
  <si>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</si>
  <si>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</si>
  <si>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</si>
  <si>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</si>
  <si>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</si>
  <si>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</si>
  <si>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</si>
  <si>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</si>
  <si>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</si>
  <si>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</si>
  <si>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</si>
  <si>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</si>
  <si>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</si>
  <si>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</si>
  <si>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</si>
  <si>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</si>
  <si>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</si>
  <si>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</si>
  <si>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</si>
  <si>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</si>
  <si>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</si>
  <si>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</si>
  <si>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</si>
  <si>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</si>
  <si>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</si>
  <si>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</si>
  <si>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</si>
  <si>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</si>
  <si>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</si>
  <si>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</si>
  <si>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</si>
  <si>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</si>
  <si>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</si>
  <si>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</si>
  <si>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</si>
  <si>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</si>
  <si>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</si>
  <si>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</si>
  <si>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</si>
  <si>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</si>
  <si>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</si>
  <si>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</si>
  <si>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</si>
  <si>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</si>
  <si>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</si>
  <si>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</si>
  <si>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</si>
  <si>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</si>
  <si>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</si>
  <si>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</si>
  <si>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</si>
  <si>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</si>
  <si>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</si>
  <si>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</si>
  <si>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</si>
  <si>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</si>
  <si>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</si>
  <si>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</si>
  <si>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</si>
  <si>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</si>
  <si>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</si>
  <si>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</si>
  <si>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</si>
  <si>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</si>
  <si>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</si>
  <si>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</si>
  <si>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</si>
  <si>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</si>
  <si>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</si>
  <si>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</si>
  <si>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</si>
  <si>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</si>
  <si>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</si>
  <si>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</si>
  <si>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</si>
  <si>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</si>
  <si>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</si>
  <si>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</si>
  <si>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</si>
  <si>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</si>
  <si>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</si>
  <si>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</si>
  <si>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</si>
  <si>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</si>
  <si>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</si>
  <si>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</si>
  <si>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</si>
  <si>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</si>
  <si>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</si>
  <si>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</si>
  <si>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</si>
  <si>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</si>
  <si>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</si>
  <si>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</si>
  <si>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</si>
  <si>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</si>
  <si>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</si>
  <si>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</si>
  <si>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</si>
  <si>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</si>
  <si>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</si>
  <si>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</si>
  <si>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</si>
  <si>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</si>
  <si>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</si>
  <si>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</si>
  <si>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</si>
  <si>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</si>
  <si>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</si>
  <si>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</si>
  <si>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</si>
  <si>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</si>
  <si>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</si>
  <si>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</si>
  <si>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</si>
  <si>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Halo Asset Management Limited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</si>
  <si>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</si>
  <si>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</si>
  <si>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</si>
  <si>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</si>
  <si>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</si>
  <si>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</si>
  <si>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</si>
  <si>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29th November, 2024 = N1,663.89</t>
    </r>
  </si>
  <si>
    <t>Chapel Hill Denham Money Market Fund</t>
  </si>
  <si>
    <t>NET ASSET VALUE (N) PREVIOUS - OCTOBER</t>
  </si>
  <si>
    <t>Oct 2024</t>
  </si>
  <si>
    <t>Nov 2024</t>
  </si>
  <si>
    <t>MONTHLY UPDATE ON REGISTERED MUTUAL FUNDS AS AT 30TH NOVEMBER,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</si>
</sst>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  <numFmt numFmtId="176" formatCode="_-* #,##0.0_-;\-* #,##0.0_-;_-* &quot;-&quot;??_-;_-@_-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theme="0"/>
      <name val="Times New Roman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464">
    <xf numFmtId="0" fontId="0" fillId="0" borderId="0"/>
    <xf numFmtId="164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27" borderId="0" applyNumberFormat="0" applyBorder="0" applyAlignment="0" applyProtection="0"/>
    <xf numFmtId="17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0" fontId="10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9" fillId="2" borderId="2" xfId="1" applyFont="1" applyFill="1" applyBorder="1"/>
    <xf numFmtId="172" fontId="19" fillId="2" borderId="2" xfId="0" applyNumberFormat="1" applyFont="1" applyFill="1" applyBorder="1" applyAlignment="1">
      <alignment horizontal="right"/>
    </xf>
    <xf numFmtId="164" fontId="19" fillId="2" borderId="2" xfId="1" applyFont="1" applyFill="1" applyBorder="1" applyAlignment="1"/>
    <xf numFmtId="10" fontId="19" fillId="2" borderId="2" xfId="0" applyNumberFormat="1" applyFont="1" applyFill="1" applyBorder="1" applyAlignment="1">
      <alignment horizontal="center"/>
    </xf>
    <xf numFmtId="0" fontId="21" fillId="9" borderId="0" xfId="0" applyFont="1" applyFill="1" applyAlignment="1">
      <alignment horizontal="right" vertical="center"/>
    </xf>
    <xf numFmtId="0" fontId="22" fillId="2" borderId="0" xfId="0" applyFont="1" applyFill="1"/>
    <xf numFmtId="0" fontId="23" fillId="0" borderId="0" xfId="0" applyFont="1"/>
    <xf numFmtId="0" fontId="3" fillId="2" borderId="0" xfId="0" applyFont="1" applyFill="1"/>
    <xf numFmtId="173" fontId="19" fillId="2" borderId="2" xfId="0" applyNumberFormat="1" applyFont="1" applyFill="1" applyBorder="1" applyAlignment="1">
      <alignment horizontal="center" wrapText="1"/>
    </xf>
    <xf numFmtId="164" fontId="19" fillId="2" borderId="2" xfId="1" applyFont="1" applyFill="1" applyBorder="1" applyAlignment="1">
      <alignment horizontal="right"/>
    </xf>
    <xf numFmtId="164" fontId="19" fillId="0" borderId="2" xfId="1" applyFont="1" applyBorder="1"/>
    <xf numFmtId="164" fontId="19" fillId="0" borderId="2" xfId="1" applyFont="1" applyFill="1" applyBorder="1"/>
    <xf numFmtId="49" fontId="19" fillId="2" borderId="2" xfId="0" applyNumberFormat="1" applyFont="1" applyFill="1" applyBorder="1" applyAlignment="1">
      <alignment wrapText="1"/>
    </xf>
    <xf numFmtId="172" fontId="19" fillId="2" borderId="2" xfId="0" applyNumberFormat="1" applyFont="1" applyFill="1" applyBorder="1" applyAlignment="1">
      <alignment horizontal="left"/>
    </xf>
    <xf numFmtId="10" fontId="20" fillId="6" borderId="2" xfId="0" applyNumberFormat="1" applyFont="1" applyFill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72" fontId="19" fillId="6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/>
    <xf numFmtId="49" fontId="19" fillId="2" borderId="2" xfId="0" applyNumberFormat="1" applyFont="1" applyFill="1" applyBorder="1"/>
    <xf numFmtId="49" fontId="19" fillId="2" borderId="2" xfId="0" applyNumberFormat="1" applyFont="1" applyFill="1" applyBorder="1" applyAlignment="1">
      <alignment vertical="center" wrapText="1"/>
    </xf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>
      <alignment wrapText="1"/>
    </xf>
    <xf numFmtId="4" fontId="19" fillId="2" borderId="2" xfId="0" applyNumberFormat="1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49" fontId="19" fillId="2" borderId="2" xfId="0" applyNumberFormat="1" applyFont="1" applyFill="1" applyBorder="1" applyAlignment="1">
      <alignment vertical="top" wrapText="1"/>
    </xf>
    <xf numFmtId="2" fontId="19" fillId="2" borderId="2" xfId="0" applyNumberFormat="1" applyFont="1" applyFill="1" applyBorder="1"/>
    <xf numFmtId="172" fontId="20" fillId="2" borderId="2" xfId="0" applyNumberFormat="1" applyFont="1" applyFill="1" applyBorder="1"/>
    <xf numFmtId="173" fontId="19" fillId="2" borderId="2" xfId="0" applyNumberFormat="1" applyFont="1" applyFill="1" applyBorder="1" applyAlignment="1">
      <alignment horizontal="right" wrapText="1"/>
    </xf>
    <xf numFmtId="174" fontId="19" fillId="2" borderId="2" xfId="1" applyNumberFormat="1" applyFont="1" applyFill="1" applyBorder="1" applyAlignment="1">
      <alignment horizontal="center" wrapText="1"/>
    </xf>
    <xf numFmtId="164" fontId="19" fillId="2" borderId="2" xfId="1" applyFont="1" applyFill="1" applyBorder="1" applyAlignment="1">
      <alignment horizontal="left" vertical="top" wrapText="1"/>
    </xf>
    <xf numFmtId="164" fontId="19" fillId="2" borderId="2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center" vertical="top" wrapText="1"/>
    </xf>
    <xf numFmtId="176" fontId="19" fillId="2" borderId="2" xfId="1" applyNumberFormat="1" applyFont="1" applyFill="1" applyBorder="1" applyAlignment="1">
      <alignment horizontal="right" vertical="top" wrapText="1"/>
    </xf>
    <xf numFmtId="0" fontId="19" fillId="2" borderId="2" xfId="0" applyFont="1" applyFill="1" applyBorder="1"/>
    <xf numFmtId="172" fontId="19" fillId="2" borderId="2" xfId="0" applyNumberFormat="1" applyFont="1" applyFill="1" applyBorder="1" applyAlignment="1">
      <alignment horizontal="right" wrapText="1"/>
    </xf>
    <xf numFmtId="164" fontId="19" fillId="2" borderId="2" xfId="1" applyFont="1" applyFill="1" applyBorder="1" applyAlignment="1">
      <alignment horizontal="left"/>
    </xf>
    <xf numFmtId="2" fontId="19" fillId="2" borderId="2" xfId="0" applyNumberFormat="1" applyFont="1" applyFill="1" applyBorder="1" applyAlignment="1">
      <alignment wrapText="1"/>
    </xf>
    <xf numFmtId="2" fontId="19" fillId="2" borderId="2" xfId="463" applyNumberFormat="1" applyFont="1" applyFill="1" applyBorder="1" applyAlignment="1">
      <alignment wrapText="1"/>
    </xf>
    <xf numFmtId="49" fontId="7" fillId="5" borderId="2" xfId="0" applyNumberFormat="1" applyFont="1" applyFill="1" applyBorder="1" applyAlignment="1">
      <alignment horizontal="center" vertical="top" wrapText="1"/>
    </xf>
    <xf numFmtId="0" fontId="19" fillId="0" borderId="2" xfId="0" applyFont="1" applyBorder="1"/>
    <xf numFmtId="4" fontId="19" fillId="0" borderId="2" xfId="0" applyNumberFormat="1" applyFont="1" applyBorder="1"/>
    <xf numFmtId="171" fontId="19" fillId="0" borderId="2" xfId="0" applyNumberFormat="1" applyFont="1" applyFill="1" applyBorder="1" applyAlignment="1" applyProtection="1"/>
    <xf numFmtId="174" fontId="19" fillId="0" borderId="2" xfId="0" applyNumberFormat="1" applyFont="1" applyFill="1" applyBorder="1" applyAlignment="1" applyProtection="1"/>
    <xf numFmtId="164" fontId="7" fillId="5" borderId="2" xfId="1" applyFont="1" applyFill="1" applyBorder="1" applyAlignment="1">
      <alignment horizontal="center" vertical="top" wrapText="1"/>
    </xf>
    <xf numFmtId="172" fontId="20" fillId="2" borderId="2" xfId="0" applyNumberFormat="1" applyFont="1" applyFill="1" applyBorder="1" applyAlignment="1">
      <alignment horizontal="left"/>
    </xf>
    <xf numFmtId="10" fontId="20" fillId="2" borderId="2" xfId="0" applyNumberFormat="1" applyFont="1" applyFill="1" applyBorder="1" applyAlignment="1">
      <alignment horizontal="center"/>
    </xf>
    <xf numFmtId="172" fontId="20" fillId="6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/>
    <xf numFmtId="172" fontId="20" fillId="6" borderId="2" xfId="0" applyNumberFormat="1" applyFont="1" applyFill="1" applyBorder="1" applyAlignment="1">
      <alignment horizontal="center" vertical="center"/>
    </xf>
    <xf numFmtId="164" fontId="20" fillId="2" borderId="2" xfId="1" applyFont="1" applyFill="1" applyBorder="1" applyAlignment="1"/>
    <xf numFmtId="164" fontId="20" fillId="2" borderId="2" xfId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right" vertical="center"/>
    </xf>
    <xf numFmtId="173" fontId="19" fillId="2" borderId="2" xfId="0" applyNumberFormat="1" applyFont="1" applyFill="1" applyBorder="1"/>
    <xf numFmtId="10" fontId="20" fillId="5" borderId="2" xfId="0" applyNumberFormat="1" applyFont="1" applyFill="1" applyBorder="1"/>
    <xf numFmtId="10" fontId="20" fillId="5" borderId="2" xfId="0" applyNumberFormat="1" applyFont="1" applyFill="1" applyBorder="1" applyAlignment="1">
      <alignment horizontal="right" vertical="center"/>
    </xf>
    <xf numFmtId="172" fontId="20" fillId="5" borderId="2" xfId="0" applyNumberFormat="1" applyFont="1" applyFill="1" applyBorder="1" applyAlignment="1">
      <alignment horizontal="right" vertical="center"/>
    </xf>
    <xf numFmtId="164" fontId="20" fillId="5" borderId="2" xfId="1" applyFont="1" applyFill="1" applyBorder="1"/>
    <xf numFmtId="0" fontId="19" fillId="2" borderId="2" xfId="0" applyNumberFormat="1" applyFont="1" applyFill="1" applyBorder="1" applyAlignment="1">
      <alignment horizontal="right" wrapText="1"/>
    </xf>
    <xf numFmtId="0" fontId="24" fillId="9" borderId="0" xfId="0" applyFont="1" applyFill="1" applyAlignment="1">
      <alignment horizontal="left"/>
    </xf>
    <xf numFmtId="164" fontId="19" fillId="2" borderId="4" xfId="1" applyFont="1" applyFill="1" applyBorder="1" applyAlignment="1">
      <alignment horizontal="left"/>
    </xf>
    <xf numFmtId="164" fontId="19" fillId="2" borderId="4" xfId="1" applyFont="1" applyFill="1" applyBorder="1"/>
    <xf numFmtId="164" fontId="19" fillId="2" borderId="4" xfId="1" applyFont="1" applyFill="1" applyBorder="1" applyAlignment="1"/>
    <xf numFmtId="164" fontId="19" fillId="7" borderId="2" xfId="1" applyFont="1" applyFill="1" applyBorder="1" applyAlignment="1">
      <alignment horizontal="left"/>
    </xf>
    <xf numFmtId="164" fontId="19" fillId="0" borderId="2" xfId="1" applyFont="1" applyBorder="1" applyAlignment="1"/>
    <xf numFmtId="164" fontId="19" fillId="7" borderId="2" xfId="1" applyFont="1" applyFill="1" applyBorder="1"/>
    <xf numFmtId="164" fontId="19" fillId="0" borderId="2" xfId="1" applyFont="1" applyBorder="1" applyAlignment="1">
      <alignment horizontal="right"/>
    </xf>
    <xf numFmtId="164" fontId="19" fillId="2" borderId="2" xfId="1" applyFont="1" applyFill="1" applyBorder="1" applyAlignment="1">
      <alignment horizontal="center"/>
    </xf>
    <xf numFmtId="164" fontId="19" fillId="0" borderId="2" xfId="1" applyFont="1" applyBorder="1" applyAlignment="1">
      <alignment vertical="center"/>
    </xf>
    <xf numFmtId="164" fontId="19" fillId="0" borderId="2" xfId="1" applyFont="1" applyFill="1" applyBorder="1" applyAlignment="1">
      <alignment horizontal="right"/>
    </xf>
    <xf numFmtId="164" fontId="19" fillId="0" borderId="2" xfId="1" applyFont="1" applyFill="1" applyBorder="1" applyAlignment="1">
      <alignment horizontal="left"/>
    </xf>
    <xf numFmtId="164" fontId="7" fillId="5" borderId="2" xfId="1" applyFont="1" applyFill="1" applyBorder="1"/>
    <xf numFmtId="10" fontId="7" fillId="5" borderId="2" xfId="0" applyNumberFormat="1" applyFont="1" applyFill="1" applyBorder="1"/>
    <xf numFmtId="0" fontId="26" fillId="0" borderId="0" xfId="0" applyFont="1" applyAlignment="1">
      <alignment horizontal="right"/>
    </xf>
    <xf numFmtId="164" fontId="28" fillId="2" borderId="0" xfId="1" applyFont="1" applyFill="1" applyBorder="1"/>
    <xf numFmtId="4" fontId="29" fillId="2" borderId="0" xfId="0" applyNumberFormat="1" applyFont="1" applyFill="1"/>
    <xf numFmtId="4" fontId="29" fillId="2" borderId="0" xfId="0" applyNumberFormat="1" applyFont="1" applyFill="1" applyAlignment="1">
      <alignment horizontal="right"/>
    </xf>
    <xf numFmtId="4" fontId="28" fillId="2" borderId="0" xfId="0" applyNumberFormat="1" applyFont="1" applyFill="1" applyAlignment="1">
      <alignment horizontal="right"/>
    </xf>
    <xf numFmtId="0" fontId="27" fillId="0" borderId="0" xfId="0" applyFont="1" applyAlignment="1">
      <alignment horizontal="right"/>
    </xf>
    <xf numFmtId="4" fontId="28" fillId="2" borderId="0" xfId="0" applyNumberFormat="1" applyFont="1" applyFill="1"/>
    <xf numFmtId="164" fontId="29" fillId="2" borderId="0" xfId="1" applyFont="1" applyFill="1" applyBorder="1" applyAlignment="1">
      <alignment horizontal="right" vertical="top" wrapText="1"/>
    </xf>
    <xf numFmtId="164" fontId="28" fillId="2" borderId="0" xfId="1" applyFont="1" applyFill="1" applyBorder="1" applyAlignment="1">
      <alignment horizontal="right" vertical="top" wrapText="1"/>
    </xf>
    <xf numFmtId="43" fontId="4" fillId="0" borderId="0" xfId="200" applyFont="1"/>
    <xf numFmtId="4" fontId="28" fillId="2" borderId="2" xfId="0" applyNumberFormat="1" applyFont="1" applyFill="1" applyBorder="1"/>
    <xf numFmtId="4" fontId="28" fillId="2" borderId="2" xfId="0" applyNumberFormat="1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4" fontId="29" fillId="2" borderId="1" xfId="0" applyNumberFormat="1" applyFont="1" applyFill="1" applyBorder="1" applyAlignment="1">
      <alignment horizontal="right"/>
    </xf>
    <xf numFmtId="164" fontId="20" fillId="2" borderId="2" xfId="1" applyFont="1" applyFill="1" applyBorder="1" applyAlignment="1">
      <alignment horizontal="left"/>
    </xf>
    <xf numFmtId="164" fontId="19" fillId="0" borderId="2" xfId="1" applyFont="1" applyFill="1" applyBorder="1" applyAlignment="1" applyProtection="1"/>
    <xf numFmtId="49" fontId="7" fillId="2" borderId="2" xfId="0" applyNumberFormat="1" applyFont="1" applyFill="1" applyBorder="1" applyAlignment="1">
      <alignment horizontal="center" vertical="top" wrapText="1"/>
    </xf>
    <xf numFmtId="49" fontId="20" fillId="2" borderId="2" xfId="0" applyNumberFormat="1" applyFont="1" applyFill="1" applyBorder="1" applyAlignment="1">
      <alignment horizontal="center" vertical="top" wrapText="1"/>
    </xf>
    <xf numFmtId="49" fontId="20" fillId="2" borderId="2" xfId="0" applyNumberFormat="1" applyFont="1" applyFill="1" applyBorder="1" applyAlignment="1">
      <alignment horizontal="right"/>
    </xf>
    <xf numFmtId="173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 wrapText="1"/>
    </xf>
    <xf numFmtId="172" fontId="20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173" fontId="20" fillId="2" borderId="2" xfId="0" applyNumberFormat="1" applyFont="1" applyFill="1" applyBorder="1" applyAlignment="1">
      <alignment horizontal="center" wrapText="1"/>
    </xf>
    <xf numFmtId="49" fontId="7" fillId="5" borderId="2" xfId="0" applyNumberFormat="1" applyFont="1" applyFill="1" applyBorder="1" applyAlignment="1">
      <alignment horizontal="right"/>
    </xf>
    <xf numFmtId="0" fontId="20" fillId="2" borderId="2" xfId="0" applyFont="1" applyFill="1" applyBorder="1" applyAlignment="1">
      <alignment horizontal="center" wrapText="1"/>
    </xf>
    <xf numFmtId="2" fontId="20" fillId="2" borderId="2" xfId="0" applyNumberFormat="1" applyFont="1" applyFill="1" applyBorder="1" applyAlignment="1">
      <alignment horizontal="center" wrapText="1"/>
    </xf>
    <xf numFmtId="49" fontId="32" fillId="4" borderId="2" xfId="0" applyNumberFormat="1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1" fillId="0" borderId="0" xfId="0" applyFont="1"/>
    <xf numFmtId="0" fontId="33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4" fillId="0" borderId="1" xfId="0" applyFont="1" applyBorder="1" applyAlignment="1">
      <alignment horizontal="right"/>
    </xf>
    <xf numFmtId="171" fontId="31" fillId="0" borderId="0" xfId="200" applyNumberFormat="1" applyFont="1"/>
    <xf numFmtId="0" fontId="35" fillId="0" borderId="2" xfId="0" applyFont="1" applyBorder="1" applyAlignment="1">
      <alignment horizontal="right"/>
    </xf>
    <xf numFmtId="16" fontId="35" fillId="2" borderId="2" xfId="0" quotePrefix="1" applyNumberFormat="1" applyFont="1" applyFill="1" applyBorder="1" applyAlignment="1">
      <alignment horizontal="right"/>
    </xf>
    <xf numFmtId="164" fontId="36" fillId="2" borderId="2" xfId="1" applyFont="1" applyFill="1" applyBorder="1" applyAlignment="1">
      <alignment horizontal="right" vertical="top" wrapText="1"/>
    </xf>
    <xf numFmtId="164" fontId="36" fillId="2" borderId="2" xfId="1" applyFont="1" applyFill="1" applyBorder="1"/>
    <xf numFmtId="4" fontId="36" fillId="2" borderId="2" xfId="0" applyNumberFormat="1" applyFont="1" applyFill="1" applyBorder="1"/>
    <xf numFmtId="4" fontId="36" fillId="2" borderId="2" xfId="0" applyNumberFormat="1" applyFont="1" applyFill="1" applyBorder="1" applyAlignment="1">
      <alignment horizontal="right"/>
    </xf>
    <xf numFmtId="164" fontId="37" fillId="2" borderId="2" xfId="1" applyFont="1" applyFill="1" applyBorder="1"/>
    <xf numFmtId="43" fontId="31" fillId="0" borderId="0" xfId="200" applyFont="1"/>
    <xf numFmtId="0" fontId="36" fillId="0" borderId="0" xfId="0" applyFont="1"/>
    <xf numFmtId="0" fontId="35" fillId="0" borderId="0" xfId="0" applyFont="1" applyAlignment="1">
      <alignment horizontal="right"/>
    </xf>
    <xf numFmtId="16" fontId="35" fillId="2" borderId="0" xfId="0" quotePrefix="1" applyNumberFormat="1" applyFont="1" applyFill="1" applyAlignment="1">
      <alignment horizontal="right" wrapText="1"/>
    </xf>
    <xf numFmtId="0" fontId="35" fillId="0" borderId="0" xfId="0" applyFont="1" applyAlignment="1">
      <alignment horizontal="right" wrapText="1"/>
    </xf>
    <xf numFmtId="43" fontId="36" fillId="0" borderId="0" xfId="200" applyFont="1" applyBorder="1"/>
    <xf numFmtId="16" fontId="35" fillId="2" borderId="0" xfId="0" applyNumberFormat="1" applyFont="1" applyFill="1"/>
    <xf numFmtId="164" fontId="36" fillId="0" borderId="0" xfId="1" applyFont="1" applyBorder="1"/>
    <xf numFmtId="4" fontId="36" fillId="2" borderId="0" xfId="0" applyNumberFormat="1" applyFont="1" applyFill="1"/>
    <xf numFmtId="172" fontId="36" fillId="2" borderId="0" xfId="0" applyNumberFormat="1" applyFont="1" applyFill="1"/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Oct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30.628950018609999</c:v>
                </c:pt>
                <c:pt idx="1">
                  <c:v>1510.5252124151007</c:v>
                </c:pt>
                <c:pt idx="2">
                  <c:v>209.49459869465005</c:v>
                </c:pt>
                <c:pt idx="3">
                  <c:v>1786.413448419692</c:v>
                </c:pt>
                <c:pt idx="4">
                  <c:v>99.346313362030003</c:v>
                </c:pt>
                <c:pt idx="5">
                  <c:v>52.694261751090004</c:v>
                </c:pt>
                <c:pt idx="6">
                  <c:v>5.4822518282099999</c:v>
                </c:pt>
                <c:pt idx="7">
                  <c:v>50.610103410020002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Nov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31.228529608879999</c:v>
                </c:pt>
                <c:pt idx="1">
                  <c:v>1584.1650796173797</c:v>
                </c:pt>
                <c:pt idx="2">
                  <c:v>199.84515983545998</c:v>
                </c:pt>
                <c:pt idx="3">
                  <c:v>1813.5641643351717</c:v>
                </c:pt>
                <c:pt idx="4">
                  <c:v>99.731344023310001</c:v>
                </c:pt>
                <c:pt idx="5">
                  <c:v>53.404869418139995</c:v>
                </c:pt>
                <c:pt idx="6">
                  <c:v>5.6402502335799998</c:v>
                </c:pt>
                <c:pt idx="7">
                  <c:v>51.205357909578012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Nov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0.16387243416296915"/>
                  <c:y val="-0.1429328983576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4.1958195051844678E-2"/>
                  <c:y val="0.136559003230298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5640250233.5799999</c:v>
                </c:pt>
                <c:pt idx="1">
                  <c:v>31228529608.879997</c:v>
                </c:pt>
                <c:pt idx="2" formatCode="#,##0.00">
                  <c:v>51205357909.578011</c:v>
                </c:pt>
                <c:pt idx="3" formatCode="#,##0.00">
                  <c:v>53404869418.139992</c:v>
                </c:pt>
                <c:pt idx="4" formatCode="#,##0.00">
                  <c:v>99731344023.309998</c:v>
                </c:pt>
                <c:pt idx="5" formatCode="#,##0.00">
                  <c:v>199845159835.45999</c:v>
                </c:pt>
                <c:pt idx="6" formatCode="#,##0.00">
                  <c:v>1584165079617.3796</c:v>
                </c:pt>
                <c:pt idx="7" formatCode="#,##0.00">
                  <c:v>1813564164335.1716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49299</c:v>
                </c:pt>
                <c:pt idx="1">
                  <c:v>332496</c:v>
                </c:pt>
                <c:pt idx="2">
                  <c:v>44929</c:v>
                </c:pt>
                <c:pt idx="3">
                  <c:v>18691</c:v>
                </c:pt>
                <c:pt idx="4">
                  <c:v>216846</c:v>
                </c:pt>
                <c:pt idx="5">
                  <c:v>69149</c:v>
                </c:pt>
                <c:pt idx="6">
                  <c:v>13307</c:v>
                </c:pt>
                <c:pt idx="7">
                  <c:v>28344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3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4" customWidth="1"/>
    <col min="2" max="2" width="44.6640625" style="17" customWidth="1"/>
    <col min="3" max="3" width="43.88671875" style="17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10" t="s">
        <v>273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5"/>
    </row>
    <row r="2" spans="1:23" ht="48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54" t="s">
        <v>7</v>
      </c>
      <c r="I2" s="49" t="s">
        <v>270</v>
      </c>
      <c r="J2" s="49" t="s">
        <v>8</v>
      </c>
      <c r="K2" s="49" t="s">
        <v>9</v>
      </c>
      <c r="L2" s="49" t="s">
        <v>8</v>
      </c>
      <c r="M2" s="49" t="s">
        <v>10</v>
      </c>
      <c r="N2" s="49" t="s">
        <v>11</v>
      </c>
      <c r="O2" s="49" t="s">
        <v>12</v>
      </c>
      <c r="P2" s="49" t="s">
        <v>13</v>
      </c>
      <c r="Q2" s="49" t="s">
        <v>14</v>
      </c>
      <c r="R2" s="49" t="s">
        <v>15</v>
      </c>
      <c r="S2" s="49" t="s">
        <v>16</v>
      </c>
      <c r="T2" s="49" t="s">
        <v>17</v>
      </c>
      <c r="U2" s="49" t="s">
        <v>18</v>
      </c>
      <c r="V2" s="49" t="s">
        <v>19</v>
      </c>
    </row>
    <row r="3" spans="1:23" ht="6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3" ht="16.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3" ht="15" customHeight="1">
      <c r="A5" s="19">
        <v>1</v>
      </c>
      <c r="B5" s="23" t="s">
        <v>21</v>
      </c>
      <c r="C5" s="23" t="s">
        <v>22</v>
      </c>
      <c r="D5" s="11">
        <v>1188839111.48</v>
      </c>
      <c r="E5" s="11">
        <v>6082397.7699999996</v>
      </c>
      <c r="F5" s="11">
        <v>390266697.38</v>
      </c>
      <c r="G5" s="11">
        <v>2210218.35</v>
      </c>
      <c r="H5" s="13">
        <f>(E5+F5)-G5</f>
        <v>394138876.79999995</v>
      </c>
      <c r="I5" s="46">
        <v>1165610519.8699999</v>
      </c>
      <c r="J5" s="14">
        <f t="shared" ref="J5:J23" si="0">(I5/$I$24)</f>
        <v>3.8055843218973581E-2</v>
      </c>
      <c r="K5" s="46">
        <v>1202992174.52</v>
      </c>
      <c r="L5" s="14">
        <f>(K5/$K$24)</f>
        <v>3.8522216370312959E-2</v>
      </c>
      <c r="M5" s="14">
        <f t="shared" ref="M5:M24" si="1">((K5-I5)/I5)</f>
        <v>3.2070450646043636E-2</v>
      </c>
      <c r="N5" s="25">
        <f t="shared" ref="N5" si="2">(G5/K5)</f>
        <v>1.837267437655518E-3</v>
      </c>
      <c r="O5" s="26">
        <f t="shared" ref="O5" si="3">H5/K5</f>
        <v>0.32763212026484162</v>
      </c>
      <c r="P5" s="27">
        <f t="shared" ref="P5" si="4">K5/V5</f>
        <v>376.68952598910357</v>
      </c>
      <c r="Q5" s="27">
        <f t="shared" ref="Q5" si="5">H5/V5</f>
        <v>123.41558808136816</v>
      </c>
      <c r="R5" s="11">
        <v>376.68950000000001</v>
      </c>
      <c r="S5" s="11">
        <v>381.82619999999997</v>
      </c>
      <c r="T5" s="11">
        <v>1696</v>
      </c>
      <c r="U5" s="11">
        <v>3190760.61</v>
      </c>
      <c r="V5" s="11">
        <v>3193590.72</v>
      </c>
    </row>
    <row r="6" spans="1:23">
      <c r="A6" s="19">
        <v>2</v>
      </c>
      <c r="B6" s="23" t="s">
        <v>23</v>
      </c>
      <c r="C6" s="23" t="s">
        <v>24</v>
      </c>
      <c r="D6" s="11">
        <v>628338246.19000006</v>
      </c>
      <c r="E6" s="11">
        <v>1996045.65</v>
      </c>
      <c r="F6" s="11">
        <v>0</v>
      </c>
      <c r="G6" s="11">
        <v>843212.75</v>
      </c>
      <c r="H6" s="13">
        <f t="shared" ref="H6:H23" si="6">(E6+F6)-G6</f>
        <v>1152832.8999999999</v>
      </c>
      <c r="I6" s="46">
        <v>613453577.28999996</v>
      </c>
      <c r="J6" s="14">
        <f t="shared" si="0"/>
        <v>2.0028553930750766E-2</v>
      </c>
      <c r="K6" s="46">
        <v>633336203.47000003</v>
      </c>
      <c r="L6" s="14">
        <f t="shared" ref="L6:L23" si="7">(K6/$K$24)</f>
        <v>2.0280692411784495E-2</v>
      </c>
      <c r="M6" s="14">
        <f t="shared" si="1"/>
        <v>3.2410971124879243E-2</v>
      </c>
      <c r="N6" s="25">
        <f t="shared" ref="N6:N23" si="8">(G6/K6)</f>
        <v>1.3313825190792862E-3</v>
      </c>
      <c r="O6" s="26">
        <f t="shared" ref="O6:O23" si="9">H6/K6</f>
        <v>1.8202542246656952E-3</v>
      </c>
      <c r="P6" s="27">
        <f t="shared" ref="P6:P23" si="10">K6/V6</f>
        <v>244.48006756930076</v>
      </c>
      <c r="Q6" s="27">
        <f t="shared" ref="Q6:Q23" si="11">H6/V6</f>
        <v>0.4450158758395743</v>
      </c>
      <c r="R6" s="11">
        <v>245.73</v>
      </c>
      <c r="S6" s="11">
        <v>248.58</v>
      </c>
      <c r="T6" s="11">
        <v>355</v>
      </c>
      <c r="U6" s="11">
        <v>2645507.46</v>
      </c>
      <c r="V6" s="11">
        <v>2590543.31</v>
      </c>
    </row>
    <row r="7" spans="1:23">
      <c r="A7" s="19">
        <v>3</v>
      </c>
      <c r="B7" s="23" t="s">
        <v>25</v>
      </c>
      <c r="C7" s="29" t="s">
        <v>26</v>
      </c>
      <c r="D7" s="11">
        <v>3249534512.6500001</v>
      </c>
      <c r="E7" s="11">
        <v>131345153.98</v>
      </c>
      <c r="F7" s="11">
        <v>10978296.380000001</v>
      </c>
      <c r="G7" s="11">
        <v>10098651.859999999</v>
      </c>
      <c r="H7" s="13">
        <f t="shared" si="6"/>
        <v>132224798.50000001</v>
      </c>
      <c r="I7" s="46">
        <v>3757074191</v>
      </c>
      <c r="J7" s="14">
        <f t="shared" si="0"/>
        <v>0.12266415233683232</v>
      </c>
      <c r="K7" s="46">
        <v>3874154202</v>
      </c>
      <c r="L7" s="14">
        <f t="shared" si="7"/>
        <v>0.12405816894108149</v>
      </c>
      <c r="M7" s="14">
        <f t="shared" si="1"/>
        <v>3.1162549645802298E-2</v>
      </c>
      <c r="N7" s="25">
        <f t="shared" si="8"/>
        <v>2.6066726654263412E-3</v>
      </c>
      <c r="O7" s="26">
        <f t="shared" si="9"/>
        <v>3.4129978210918933E-2</v>
      </c>
      <c r="P7" s="27">
        <f t="shared" si="10"/>
        <v>35.253970377251427</v>
      </c>
      <c r="Q7" s="27">
        <f t="shared" si="11"/>
        <v>1.2032172408239725</v>
      </c>
      <c r="R7" s="11">
        <v>35.0777</v>
      </c>
      <c r="S7" s="11">
        <v>36.135399999999997</v>
      </c>
      <c r="T7" s="11">
        <v>6616</v>
      </c>
      <c r="U7" s="11">
        <v>109833157</v>
      </c>
      <c r="V7" s="11">
        <v>109892706</v>
      </c>
    </row>
    <row r="8" spans="1:23">
      <c r="A8" s="19">
        <v>4</v>
      </c>
      <c r="B8" s="30" t="s">
        <v>27</v>
      </c>
      <c r="C8" s="30" t="s">
        <v>28</v>
      </c>
      <c r="D8" s="11">
        <v>517850142.08999997</v>
      </c>
      <c r="E8" s="11">
        <v>2124983.23</v>
      </c>
      <c r="F8" s="11">
        <v>0</v>
      </c>
      <c r="G8" s="11">
        <v>897241.63</v>
      </c>
      <c r="H8" s="13">
        <f t="shared" si="6"/>
        <v>1227741.6000000001</v>
      </c>
      <c r="I8" s="21">
        <v>557355498.35000002</v>
      </c>
      <c r="J8" s="14">
        <f t="shared" si="0"/>
        <v>1.81970161566542E-2</v>
      </c>
      <c r="K8" s="46">
        <v>589228192.46000004</v>
      </c>
      <c r="L8" s="14">
        <f t="shared" si="7"/>
        <v>1.886826564810307E-2</v>
      </c>
      <c r="M8" s="14">
        <f t="shared" si="1"/>
        <v>5.7185574026552548E-2</v>
      </c>
      <c r="N8" s="25">
        <f t="shared" si="8"/>
        <v>1.5227404959257946E-3</v>
      </c>
      <c r="O8" s="26">
        <f t="shared" si="9"/>
        <v>2.083643681192912E-3</v>
      </c>
      <c r="P8" s="27">
        <f t="shared" si="10"/>
        <v>214.70883934148191</v>
      </c>
      <c r="Q8" s="27">
        <f t="shared" si="11"/>
        <v>0.44737671639014287</v>
      </c>
      <c r="R8" s="11">
        <v>214.7088</v>
      </c>
      <c r="S8" s="11">
        <v>214.7088</v>
      </c>
      <c r="T8" s="11">
        <v>1848</v>
      </c>
      <c r="U8" s="11">
        <v>2740705.16</v>
      </c>
      <c r="V8" s="11">
        <v>2744312.69</v>
      </c>
    </row>
    <row r="9" spans="1:23">
      <c r="A9" s="19">
        <v>5</v>
      </c>
      <c r="B9" s="23" t="s">
        <v>215</v>
      </c>
      <c r="C9" s="29" t="s">
        <v>106</v>
      </c>
      <c r="D9" s="11">
        <v>924856138.69000006</v>
      </c>
      <c r="E9" s="11">
        <v>5139569.8499999996</v>
      </c>
      <c r="F9" s="11">
        <v>19246851.350000001</v>
      </c>
      <c r="G9" s="11">
        <v>1426226.53</v>
      </c>
      <c r="H9" s="13">
        <f t="shared" si="6"/>
        <v>22960194.670000002</v>
      </c>
      <c r="I9" s="21">
        <v>915512560.52999997</v>
      </c>
      <c r="J9" s="14">
        <f t="shared" si="0"/>
        <v>2.9890432416838943E-2</v>
      </c>
      <c r="K9" s="46">
        <v>930872418.38999999</v>
      </c>
      <c r="L9" s="14">
        <f t="shared" si="7"/>
        <v>2.9808397322853827E-2</v>
      </c>
      <c r="M9" s="14">
        <f t="shared" si="1"/>
        <v>1.6777331652454916E-2</v>
      </c>
      <c r="N9" s="25">
        <f t="shared" si="8"/>
        <v>1.5321396378536437E-3</v>
      </c>
      <c r="O9" s="26">
        <f t="shared" si="9"/>
        <v>2.4665243288345618E-2</v>
      </c>
      <c r="P9" s="27">
        <f t="shared" si="10"/>
        <v>1.1958119425194891</v>
      </c>
      <c r="Q9" s="27">
        <f t="shared" si="11"/>
        <v>2.9494992489352365E-2</v>
      </c>
      <c r="R9" s="11">
        <v>1.1651</v>
      </c>
      <c r="S9" s="11">
        <v>1.1765000000000001</v>
      </c>
      <c r="T9" s="11">
        <v>506</v>
      </c>
      <c r="U9" s="11">
        <v>784956081.95000005</v>
      </c>
      <c r="V9" s="11">
        <v>778443821.54999995</v>
      </c>
    </row>
    <row r="10" spans="1:23">
      <c r="A10" s="19">
        <v>6</v>
      </c>
      <c r="B10" s="33" t="s">
        <v>214</v>
      </c>
      <c r="C10" s="34" t="s">
        <v>48</v>
      </c>
      <c r="D10" s="11">
        <v>84486247.450000003</v>
      </c>
      <c r="E10" s="11">
        <f>221691.63+558586.53</f>
        <v>780278.16</v>
      </c>
      <c r="F10" s="21">
        <v>-554071.81000000006</v>
      </c>
      <c r="G10" s="11">
        <v>2583035.06</v>
      </c>
      <c r="H10" s="13">
        <f t="shared" si="6"/>
        <v>-2356828.71</v>
      </c>
      <c r="I10" s="21">
        <v>93474872.989999995</v>
      </c>
      <c r="J10" s="14">
        <f t="shared" si="0"/>
        <v>3.0518471228430989E-3</v>
      </c>
      <c r="K10" s="21">
        <v>93576871.670000002</v>
      </c>
      <c r="L10" s="14">
        <f t="shared" si="7"/>
        <v>2.9965186591235128E-3</v>
      </c>
      <c r="M10" s="14">
        <f t="shared" si="1"/>
        <v>1.0911882170828843E-3</v>
      </c>
      <c r="N10" s="25">
        <f t="shared" si="8"/>
        <v>2.7603349138546812E-2</v>
      </c>
      <c r="O10" s="26">
        <f t="shared" si="9"/>
        <v>-2.5186017313245795E-2</v>
      </c>
      <c r="P10" s="27">
        <f t="shared" si="10"/>
        <v>168.67040517164571</v>
      </c>
      <c r="Q10" s="27">
        <f t="shared" si="11"/>
        <v>-4.2481357448852517</v>
      </c>
      <c r="R10" s="11">
        <v>167.8655</v>
      </c>
      <c r="S10" s="11">
        <v>168.4171</v>
      </c>
      <c r="T10" s="11">
        <v>95</v>
      </c>
      <c r="U10" s="11">
        <v>555393.05000000005</v>
      </c>
      <c r="V10" s="11">
        <v>554791.29</v>
      </c>
    </row>
    <row r="11" spans="1:23">
      <c r="A11" s="19">
        <v>7</v>
      </c>
      <c r="B11" s="23" t="s">
        <v>29</v>
      </c>
      <c r="C11" s="23" t="s">
        <v>30</v>
      </c>
      <c r="D11" s="11">
        <v>1084852767.8099999</v>
      </c>
      <c r="E11" s="11">
        <v>3663882.25</v>
      </c>
      <c r="F11" s="11">
        <v>-14759468.42</v>
      </c>
      <c r="G11" s="11">
        <v>1908234.34</v>
      </c>
      <c r="H11" s="13">
        <f t="shared" si="6"/>
        <v>-13003820.51</v>
      </c>
      <c r="I11" s="20">
        <v>1159663780.0799999</v>
      </c>
      <c r="J11" s="14">
        <f t="shared" si="0"/>
        <v>3.7861689002574167E-2</v>
      </c>
      <c r="K11" s="46">
        <v>1068695624.0700001</v>
      </c>
      <c r="L11" s="14">
        <f t="shared" si="7"/>
        <v>3.4221772124874907E-2</v>
      </c>
      <c r="M11" s="14">
        <f t="shared" si="1"/>
        <v>-7.8443560601439491E-2</v>
      </c>
      <c r="N11" s="25">
        <f t="shared" si="8"/>
        <v>1.7855732699014119E-3</v>
      </c>
      <c r="O11" s="26">
        <f t="shared" si="9"/>
        <v>-1.2167936517299938E-2</v>
      </c>
      <c r="P11" s="27">
        <f t="shared" si="10"/>
        <v>299.69341355196337</v>
      </c>
      <c r="Q11" s="27">
        <f t="shared" si="11"/>
        <v>-3.6466504307532075</v>
      </c>
      <c r="R11" s="11">
        <v>299.69</v>
      </c>
      <c r="S11" s="11">
        <v>303.87</v>
      </c>
      <c r="T11" s="11">
        <v>1638</v>
      </c>
      <c r="U11" s="11">
        <v>3915747</v>
      </c>
      <c r="V11" s="11">
        <v>3565963</v>
      </c>
    </row>
    <row r="12" spans="1:23">
      <c r="A12" s="19">
        <v>8</v>
      </c>
      <c r="B12" s="23" t="s">
        <v>31</v>
      </c>
      <c r="C12" s="29" t="s">
        <v>32</v>
      </c>
      <c r="D12" s="11">
        <v>417582861.88999999</v>
      </c>
      <c r="E12" s="11">
        <v>2930146.53</v>
      </c>
      <c r="F12" s="11">
        <v>34953074.450000003</v>
      </c>
      <c r="G12" s="11">
        <v>1420109.35</v>
      </c>
      <c r="H12" s="13">
        <f t="shared" si="6"/>
        <v>36463111.630000003</v>
      </c>
      <c r="I12" s="46">
        <v>401547731.64999998</v>
      </c>
      <c r="J12" s="14">
        <f t="shared" si="0"/>
        <v>1.3110071726455579E-2</v>
      </c>
      <c r="K12" s="46">
        <v>405064878.20999998</v>
      </c>
      <c r="L12" s="14">
        <f t="shared" si="7"/>
        <v>1.297098785255703E-2</v>
      </c>
      <c r="M12" s="14">
        <f t="shared" si="1"/>
        <v>8.7589750427619004E-3</v>
      </c>
      <c r="N12" s="25">
        <f t="shared" si="8"/>
        <v>3.5058812214861174E-3</v>
      </c>
      <c r="O12" s="26">
        <f t="shared" si="9"/>
        <v>9.0017954138932363E-2</v>
      </c>
      <c r="P12" s="27">
        <f t="shared" si="10"/>
        <v>203.20841188714257</v>
      </c>
      <c r="Q12" s="27">
        <f t="shared" si="11"/>
        <v>18.292405501902078</v>
      </c>
      <c r="R12" s="11">
        <v>203.21</v>
      </c>
      <c r="S12" s="11">
        <v>212.22</v>
      </c>
      <c r="T12" s="11">
        <v>2468</v>
      </c>
      <c r="U12" s="11">
        <v>1993347</v>
      </c>
      <c r="V12" s="11">
        <v>1993347</v>
      </c>
    </row>
    <row r="13" spans="1:23">
      <c r="A13" s="19">
        <v>9</v>
      </c>
      <c r="B13" s="23" t="s">
        <v>33</v>
      </c>
      <c r="C13" s="23" t="s">
        <v>34</v>
      </c>
      <c r="D13" s="11">
        <v>58232922.219999999</v>
      </c>
      <c r="E13" s="11">
        <v>373482.64</v>
      </c>
      <c r="F13" s="11">
        <v>787840.45</v>
      </c>
      <c r="G13" s="11">
        <v>60624.41</v>
      </c>
      <c r="H13" s="13">
        <f t="shared" si="6"/>
        <v>1100698.68</v>
      </c>
      <c r="I13" s="46">
        <v>55756695.969999999</v>
      </c>
      <c r="J13" s="14">
        <f t="shared" si="0"/>
        <v>1.8203920126586941E-3</v>
      </c>
      <c r="K13" s="46">
        <v>56948918.579999998</v>
      </c>
      <c r="L13" s="14">
        <f t="shared" si="7"/>
        <v>1.8236183161120167E-3</v>
      </c>
      <c r="M13" s="14">
        <f t="shared" si="1"/>
        <v>2.138259072312099E-2</v>
      </c>
      <c r="N13" s="25">
        <f t="shared" si="8"/>
        <v>1.0645401442493907E-3</v>
      </c>
      <c r="O13" s="26">
        <f t="shared" si="9"/>
        <v>1.9327824082449853E-2</v>
      </c>
      <c r="P13" s="27">
        <f t="shared" si="10"/>
        <v>206.28774292473034</v>
      </c>
      <c r="Q13" s="27">
        <f t="shared" si="11"/>
        <v>3.9870932056148276</v>
      </c>
      <c r="R13" s="11">
        <v>202.84</v>
      </c>
      <c r="S13" s="11">
        <v>209.22</v>
      </c>
      <c r="T13" s="11">
        <v>16</v>
      </c>
      <c r="U13" s="11">
        <v>276065.45</v>
      </c>
      <c r="V13" s="11">
        <v>276065.45</v>
      </c>
      <c r="W13" s="6"/>
    </row>
    <row r="14" spans="1:23">
      <c r="A14" s="19">
        <v>10</v>
      </c>
      <c r="B14" s="29" t="s">
        <v>35</v>
      </c>
      <c r="C14" s="29" t="s">
        <v>36</v>
      </c>
      <c r="D14" s="11">
        <v>581113951.28999996</v>
      </c>
      <c r="E14" s="11">
        <v>1880616.8</v>
      </c>
      <c r="F14" s="11">
        <v>-6505328.3499999996</v>
      </c>
      <c r="G14" s="11">
        <v>1157784.76</v>
      </c>
      <c r="H14" s="13">
        <f t="shared" si="6"/>
        <v>-5782496.3099999996</v>
      </c>
      <c r="I14" s="21">
        <v>582399253.63</v>
      </c>
      <c r="J14" s="14">
        <f t="shared" si="0"/>
        <v>1.9014665970467061E-2</v>
      </c>
      <c r="K14" s="46">
        <v>575935318.01999998</v>
      </c>
      <c r="L14" s="14">
        <f t="shared" si="7"/>
        <v>1.8442601212201478E-2</v>
      </c>
      <c r="M14" s="14">
        <f t="shared" si="1"/>
        <v>-1.1098804762731672E-2</v>
      </c>
      <c r="N14" s="25">
        <f t="shared" si="8"/>
        <v>2.0102687294474876E-3</v>
      </c>
      <c r="O14" s="26">
        <f t="shared" si="9"/>
        <v>-1.0040183557208409E-2</v>
      </c>
      <c r="P14" s="27">
        <f t="shared" si="10"/>
        <v>1.9737794373218951</v>
      </c>
      <c r="Q14" s="27">
        <f t="shared" si="11"/>
        <v>-1.9817107852155357E-2</v>
      </c>
      <c r="R14" s="11">
        <v>1.97</v>
      </c>
      <c r="S14" s="11">
        <v>2.0099999999999998</v>
      </c>
      <c r="T14" s="11">
        <v>474</v>
      </c>
      <c r="U14" s="11">
        <v>292048145.64999998</v>
      </c>
      <c r="V14" s="11">
        <v>291793149.29000002</v>
      </c>
    </row>
    <row r="15" spans="1:23">
      <c r="A15" s="19">
        <v>11</v>
      </c>
      <c r="B15" s="33" t="s">
        <v>259</v>
      </c>
      <c r="C15" s="34" t="s">
        <v>260</v>
      </c>
      <c r="D15" s="11">
        <v>14239505.369999999</v>
      </c>
      <c r="E15" s="11">
        <v>103458.2</v>
      </c>
      <c r="F15" s="11">
        <v>276734.36</v>
      </c>
      <c r="G15" s="11">
        <v>78292.02</v>
      </c>
      <c r="H15" s="13">
        <f t="shared" si="6"/>
        <v>301900.53999999998</v>
      </c>
      <c r="I15" s="21">
        <v>14586093.84</v>
      </c>
      <c r="J15" s="14">
        <f t="shared" si="0"/>
        <v>4.7621919233723528E-4</v>
      </c>
      <c r="K15" s="46">
        <v>14577874.390000001</v>
      </c>
      <c r="L15" s="14">
        <f t="shared" si="7"/>
        <v>4.6681270532361873E-4</v>
      </c>
      <c r="M15" s="14">
        <f t="shared" si="1"/>
        <v>-5.6351276017837929E-4</v>
      </c>
      <c r="N15" s="25">
        <f t="shared" si="8"/>
        <v>5.3706060228990628E-3</v>
      </c>
      <c r="O15" s="26">
        <f t="shared" si="9"/>
        <v>2.0709503451826625E-2</v>
      </c>
      <c r="P15" s="27">
        <f t="shared" si="10"/>
        <v>12.658415548329115</v>
      </c>
      <c r="Q15" s="27">
        <f t="shared" si="11"/>
        <v>0.26214950049277763</v>
      </c>
      <c r="R15" s="11">
        <v>12.61</v>
      </c>
      <c r="S15" s="11">
        <v>13.33</v>
      </c>
      <c r="T15" s="11">
        <v>25</v>
      </c>
      <c r="U15" s="21">
        <v>1156435</v>
      </c>
      <c r="V15" s="21">
        <v>1151635</v>
      </c>
    </row>
    <row r="16" spans="1:23">
      <c r="A16" s="19">
        <v>11</v>
      </c>
      <c r="B16" s="23" t="s">
        <v>37</v>
      </c>
      <c r="C16" s="29" t="s">
        <v>38</v>
      </c>
      <c r="D16" s="11">
        <v>1724289350.46</v>
      </c>
      <c r="E16" s="11">
        <v>7006782.4800000004</v>
      </c>
      <c r="F16" s="11">
        <v>0</v>
      </c>
      <c r="G16" s="11">
        <v>3086072.82</v>
      </c>
      <c r="H16" s="13">
        <f t="shared" si="6"/>
        <v>3920709.6600000006</v>
      </c>
      <c r="I16" s="46">
        <v>1690339230.95</v>
      </c>
      <c r="J16" s="14">
        <f t="shared" si="0"/>
        <v>5.5187632286544538E-2</v>
      </c>
      <c r="K16" s="46">
        <v>1713987453.1700001</v>
      </c>
      <c r="L16" s="14">
        <f t="shared" si="7"/>
        <v>5.488530759010244E-2</v>
      </c>
      <c r="M16" s="14">
        <f t="shared" si="1"/>
        <v>1.3990222664777955E-2</v>
      </c>
      <c r="N16" s="25">
        <f t="shared" si="8"/>
        <v>1.8005224100633547E-3</v>
      </c>
      <c r="O16" s="26">
        <f t="shared" si="9"/>
        <v>2.2874786234570697E-3</v>
      </c>
      <c r="P16" s="27">
        <f t="shared" si="10"/>
        <v>3.5358648786741194</v>
      </c>
      <c r="Q16" s="27">
        <f t="shared" si="11"/>
        <v>8.0882153253996735E-3</v>
      </c>
      <c r="R16" s="11">
        <v>3.49</v>
      </c>
      <c r="S16" s="11">
        <v>3.56</v>
      </c>
      <c r="T16" s="11">
        <v>3661</v>
      </c>
      <c r="U16" s="11">
        <v>484751011</v>
      </c>
      <c r="V16" s="11">
        <v>484743482</v>
      </c>
    </row>
    <row r="17" spans="1:23">
      <c r="A17" s="19">
        <v>12</v>
      </c>
      <c r="B17" s="23" t="s">
        <v>39</v>
      </c>
      <c r="C17" s="23" t="s">
        <v>40</v>
      </c>
      <c r="D17" s="11">
        <v>669258911.42999995</v>
      </c>
      <c r="E17" s="11">
        <v>6056822.4699999997</v>
      </c>
      <c r="F17" s="11">
        <v>19252372.469999999</v>
      </c>
      <c r="G17" s="11">
        <v>968896.83</v>
      </c>
      <c r="H17" s="13">
        <f t="shared" si="6"/>
        <v>24340298.109999999</v>
      </c>
      <c r="I17" s="73">
        <v>644191315.09000003</v>
      </c>
      <c r="J17" s="14">
        <f t="shared" si="0"/>
        <v>2.103210572672562E-2</v>
      </c>
      <c r="K17" s="46">
        <v>679980082.90999997</v>
      </c>
      <c r="L17" s="14">
        <f t="shared" si="7"/>
        <v>2.1774322756350464E-2</v>
      </c>
      <c r="M17" s="14">
        <f t="shared" si="1"/>
        <v>5.5556116609550815E-2</v>
      </c>
      <c r="N17" s="25">
        <f t="shared" si="8"/>
        <v>1.424890014209784E-3</v>
      </c>
      <c r="O17" s="26">
        <f t="shared" si="9"/>
        <v>3.5795604491582741E-2</v>
      </c>
      <c r="P17" s="27">
        <f t="shared" si="10"/>
        <v>22.853378720374991</v>
      </c>
      <c r="Q17" s="27">
        <f t="shared" si="11"/>
        <v>0.81805050597089646</v>
      </c>
      <c r="R17" s="11">
        <v>22.45</v>
      </c>
      <c r="S17" s="11">
        <v>22.58</v>
      </c>
      <c r="T17" s="11">
        <v>351</v>
      </c>
      <c r="U17" s="11">
        <v>29410671.93</v>
      </c>
      <c r="V17" s="11">
        <v>29754028.550000001</v>
      </c>
    </row>
    <row r="18" spans="1:23">
      <c r="A18" s="19">
        <v>13</v>
      </c>
      <c r="B18" s="30" t="s">
        <v>41</v>
      </c>
      <c r="C18" s="30" t="s">
        <v>42</v>
      </c>
      <c r="D18" s="11">
        <v>127851753.33</v>
      </c>
      <c r="E18" s="11">
        <v>2488823.4700000002</v>
      </c>
      <c r="F18" s="11">
        <v>56006512.350000001</v>
      </c>
      <c r="G18" s="11">
        <v>242609.79</v>
      </c>
      <c r="H18" s="13">
        <f t="shared" si="6"/>
        <v>58252726.030000001</v>
      </c>
      <c r="I18" s="46">
        <v>130126542.91</v>
      </c>
      <c r="J18" s="14">
        <f t="shared" si="0"/>
        <v>4.2484820025151292E-3</v>
      </c>
      <c r="K18" s="46">
        <v>131859769.65000001</v>
      </c>
      <c r="L18" s="14">
        <f t="shared" si="7"/>
        <v>4.2224136487202706E-3</v>
      </c>
      <c r="M18" s="14">
        <f t="shared" si="1"/>
        <v>1.3319548043313261E-2</v>
      </c>
      <c r="N18" s="25">
        <f t="shared" si="8"/>
        <v>1.8399075824564813E-3</v>
      </c>
      <c r="O18" s="26">
        <f t="shared" si="9"/>
        <v>0.44177785373523892</v>
      </c>
      <c r="P18" s="27">
        <f t="shared" si="10"/>
        <v>1.4245070802413358</v>
      </c>
      <c r="Q18" s="27">
        <f t="shared" si="11"/>
        <v>0.62931568053966902</v>
      </c>
      <c r="R18" s="11">
        <v>1.39</v>
      </c>
      <c r="S18" s="11">
        <v>1.44</v>
      </c>
      <c r="T18" s="11">
        <v>22</v>
      </c>
      <c r="U18" s="11">
        <v>92558246.780000001</v>
      </c>
      <c r="V18" s="11">
        <v>92565190.780000001</v>
      </c>
    </row>
    <row r="19" spans="1:23">
      <c r="A19" s="19">
        <v>14</v>
      </c>
      <c r="B19" s="23" t="s">
        <v>43</v>
      </c>
      <c r="C19" s="23" t="s">
        <v>44</v>
      </c>
      <c r="D19" s="11">
        <v>1647766976.23</v>
      </c>
      <c r="E19" s="11">
        <v>-1197969.27</v>
      </c>
      <c r="F19" s="11">
        <v>149882205.59</v>
      </c>
      <c r="G19" s="11">
        <v>2748909.58</v>
      </c>
      <c r="H19" s="13">
        <f t="shared" si="6"/>
        <v>145935326.73999998</v>
      </c>
      <c r="I19" s="46">
        <v>1622555847.22</v>
      </c>
      <c r="J19" s="14">
        <f t="shared" si="0"/>
        <v>5.2974582747176875E-2</v>
      </c>
      <c r="K19" s="46">
        <v>1640802377.21</v>
      </c>
      <c r="L19" s="14">
        <f t="shared" si="7"/>
        <v>5.2541775029440685E-2</v>
      </c>
      <c r="M19" s="14">
        <f t="shared" si="1"/>
        <v>1.124554820178463E-2</v>
      </c>
      <c r="N19" s="25">
        <f t="shared" si="8"/>
        <v>1.6753447082848646E-3</v>
      </c>
      <c r="O19" s="26">
        <f t="shared" si="9"/>
        <v>8.89414403385657E-2</v>
      </c>
      <c r="P19" s="27">
        <f t="shared" si="10"/>
        <v>29.327876175805635</v>
      </c>
      <c r="Q19" s="27">
        <f t="shared" si="11"/>
        <v>2.6084635491472592</v>
      </c>
      <c r="R19" s="11">
        <v>29.33</v>
      </c>
      <c r="S19" s="11">
        <v>29.46</v>
      </c>
      <c r="T19" s="11">
        <v>9029</v>
      </c>
      <c r="U19" s="11">
        <v>55530246</v>
      </c>
      <c r="V19" s="11">
        <v>55946853</v>
      </c>
    </row>
    <row r="20" spans="1:23">
      <c r="A20" s="19">
        <v>15</v>
      </c>
      <c r="B20" s="29" t="s">
        <v>45</v>
      </c>
      <c r="C20" s="23" t="s">
        <v>46</v>
      </c>
      <c r="D20" s="11">
        <v>686369984.79999995</v>
      </c>
      <c r="E20" s="11">
        <v>14378419.220000001</v>
      </c>
      <c r="F20" s="11">
        <v>8146971.4500000002</v>
      </c>
      <c r="G20" s="11">
        <v>1441593.83</v>
      </c>
      <c r="H20" s="13">
        <f t="shared" si="6"/>
        <v>21083796.840000004</v>
      </c>
      <c r="I20" s="21">
        <v>679695461.10000002</v>
      </c>
      <c r="J20" s="14">
        <f t="shared" si="0"/>
        <v>2.2191275270194391E-2</v>
      </c>
      <c r="K20" s="46">
        <v>709717763.85000002</v>
      </c>
      <c r="L20" s="14">
        <f t="shared" si="7"/>
        <v>2.2726582799088561E-2</v>
      </c>
      <c r="M20" s="14">
        <f t="shared" si="1"/>
        <v>4.4170226915172792E-2</v>
      </c>
      <c r="N20" s="25">
        <f t="shared" si="8"/>
        <v>2.0312212874309334E-3</v>
      </c>
      <c r="O20" s="26">
        <f t="shared" si="9"/>
        <v>2.9707297624378043E-2</v>
      </c>
      <c r="P20" s="27">
        <f t="shared" si="10"/>
        <v>7572.565101410295</v>
      </c>
      <c r="Q20" s="27">
        <f t="shared" si="11"/>
        <v>224.96044524757414</v>
      </c>
      <c r="R20" s="11">
        <v>7513.4</v>
      </c>
      <c r="S20" s="11">
        <v>7613.12</v>
      </c>
      <c r="T20" s="11">
        <v>19</v>
      </c>
      <c r="U20" s="11">
        <v>92531.520000000004</v>
      </c>
      <c r="V20" s="11">
        <v>93722.240000000005</v>
      </c>
    </row>
    <row r="21" spans="1:23">
      <c r="A21" s="19">
        <v>16</v>
      </c>
      <c r="B21" s="23" t="s">
        <v>47</v>
      </c>
      <c r="C21" s="23" t="s">
        <v>46</v>
      </c>
      <c r="D21" s="11">
        <v>12214477097.76</v>
      </c>
      <c r="E21" s="11">
        <v>28248374.550000001</v>
      </c>
      <c r="F21" s="11">
        <v>171430839.80000001</v>
      </c>
      <c r="G21" s="11">
        <v>33419204.57</v>
      </c>
      <c r="H21" s="13">
        <f t="shared" si="6"/>
        <v>166260009.78000003</v>
      </c>
      <c r="I21" s="21">
        <v>11972292907.27</v>
      </c>
      <c r="J21" s="14">
        <f t="shared" si="0"/>
        <v>0.39088159731220612</v>
      </c>
      <c r="K21" s="46">
        <v>12151443518.950001</v>
      </c>
      <c r="L21" s="14">
        <f t="shared" si="7"/>
        <v>0.38911353403890886</v>
      </c>
      <c r="M21" s="14">
        <f t="shared" si="1"/>
        <v>1.4963767848614338E-2</v>
      </c>
      <c r="N21" s="25">
        <f t="shared" si="8"/>
        <v>2.7502250673249835E-3</v>
      </c>
      <c r="O21" s="26">
        <f t="shared" si="9"/>
        <v>1.3682325850481875E-2</v>
      </c>
      <c r="P21" s="27">
        <f t="shared" si="10"/>
        <v>24369.557272686619</v>
      </c>
      <c r="Q21" s="27">
        <f t="shared" si="11"/>
        <v>333.4322234368787</v>
      </c>
      <c r="R21" s="11">
        <v>24150.720000000001</v>
      </c>
      <c r="S21" s="11">
        <v>24519.54</v>
      </c>
      <c r="T21" s="11">
        <v>17446</v>
      </c>
      <c r="U21" s="11">
        <v>498279.27</v>
      </c>
      <c r="V21" s="11">
        <v>498632.1</v>
      </c>
    </row>
    <row r="22" spans="1:23">
      <c r="A22" s="19">
        <v>17</v>
      </c>
      <c r="B22" s="23" t="s">
        <v>49</v>
      </c>
      <c r="C22" s="23" t="s">
        <v>50</v>
      </c>
      <c r="D22" s="11">
        <v>2737961948</v>
      </c>
      <c r="E22" s="11">
        <v>19219018</v>
      </c>
      <c r="F22" s="11">
        <v>-1348314</v>
      </c>
      <c r="G22" s="11">
        <v>6078468</v>
      </c>
      <c r="H22" s="13">
        <f t="shared" ref="H22" si="12">(E22+F22)-G22</f>
        <v>11792236</v>
      </c>
      <c r="I22" s="74">
        <v>3455304267</v>
      </c>
      <c r="J22" s="14">
        <f t="shared" si="0"/>
        <v>0.11281171130256096</v>
      </c>
      <c r="K22" s="46">
        <v>3520395469</v>
      </c>
      <c r="L22" s="14">
        <f t="shared" si="7"/>
        <v>0.11273010651128951</v>
      </c>
      <c r="M22" s="14">
        <f t="shared" si="1"/>
        <v>1.8838052156985339E-2</v>
      </c>
      <c r="N22" s="25">
        <f t="shared" si="8"/>
        <v>1.7266435130728775E-3</v>
      </c>
      <c r="O22" s="26">
        <f t="shared" si="9"/>
        <v>3.3496907105580644E-3</v>
      </c>
      <c r="P22" s="27">
        <f t="shared" si="10"/>
        <v>1.4099531408535513</v>
      </c>
      <c r="Q22" s="27">
        <f t="shared" si="11"/>
        <v>4.7229069382393064E-3</v>
      </c>
      <c r="R22" s="11">
        <v>1.41</v>
      </c>
      <c r="S22" s="11">
        <v>1.42</v>
      </c>
      <c r="T22" s="11">
        <v>3010</v>
      </c>
      <c r="U22" s="11">
        <v>2476371769</v>
      </c>
      <c r="V22" s="11">
        <v>2496817353</v>
      </c>
    </row>
    <row r="23" spans="1:23">
      <c r="A23" s="19">
        <v>19</v>
      </c>
      <c r="B23" s="34" t="s">
        <v>261</v>
      </c>
      <c r="C23" s="34" t="s">
        <v>262</v>
      </c>
      <c r="D23" s="11">
        <v>1047874764.27</v>
      </c>
      <c r="E23" s="11">
        <v>1797263.5</v>
      </c>
      <c r="F23" s="11">
        <v>83310927.689999998</v>
      </c>
      <c r="G23" s="11">
        <v>3744189.92</v>
      </c>
      <c r="H23" s="13">
        <f t="shared" si="6"/>
        <v>81364001.269999996</v>
      </c>
      <c r="I23" s="74">
        <f>1121650681.85-3641009.98</f>
        <v>1118009671.8699999</v>
      </c>
      <c r="J23" s="14">
        <f t="shared" si="0"/>
        <v>3.6501730264690849E-2</v>
      </c>
      <c r="K23" s="46">
        <f>1241758466.14-6797967.78</f>
        <v>1234960498.3600001</v>
      </c>
      <c r="L23" s="14">
        <f t="shared" si="7"/>
        <v>3.954590606177092E-2</v>
      </c>
      <c r="M23" s="14">
        <f t="shared" si="1"/>
        <v>0.10460627437541442</v>
      </c>
      <c r="N23" s="25">
        <f t="shared" si="8"/>
        <v>3.0318297022230269E-3</v>
      </c>
      <c r="O23" s="26">
        <f t="shared" si="9"/>
        <v>6.5883889709872967E-2</v>
      </c>
      <c r="P23" s="27">
        <f t="shared" si="10"/>
        <v>118.30747442249498</v>
      </c>
      <c r="Q23" s="27">
        <f t="shared" si="11"/>
        <v>7.7945565967052755</v>
      </c>
      <c r="R23" s="11">
        <v>115.84</v>
      </c>
      <c r="S23" s="11">
        <v>119.9</v>
      </c>
      <c r="T23" s="11">
        <v>24</v>
      </c>
      <c r="U23" s="11">
        <v>10140480</v>
      </c>
      <c r="V23" s="11">
        <v>10438567</v>
      </c>
    </row>
    <row r="24" spans="1:23">
      <c r="A24" s="101" t="s">
        <v>51</v>
      </c>
      <c r="B24" s="101"/>
      <c r="C24" s="101"/>
      <c r="D24" s="101"/>
      <c r="E24" s="101"/>
      <c r="F24" s="101"/>
      <c r="G24" s="101"/>
      <c r="H24" s="101"/>
      <c r="I24" s="55">
        <f>SUM(I5:I23)</f>
        <v>30628950018.609997</v>
      </c>
      <c r="J24" s="56">
        <f>(I24/$I$201)</f>
        <v>8.1781986984615987E-3</v>
      </c>
      <c r="K24" s="97">
        <f>SUM(K5:K23)</f>
        <v>31228529608.879997</v>
      </c>
      <c r="L24" s="56">
        <f>(K24/$K$201)</f>
        <v>8.1350040708470257E-3</v>
      </c>
      <c r="M24" s="56">
        <f t="shared" si="1"/>
        <v>1.9575584207284249E-2</v>
      </c>
      <c r="N24" s="25"/>
      <c r="O24" s="25"/>
      <c r="P24" s="57"/>
      <c r="Q24" s="57"/>
      <c r="R24" s="58"/>
      <c r="S24" s="58"/>
      <c r="T24" s="58">
        <f>SUM(T5:T23)</f>
        <v>49299</v>
      </c>
      <c r="U24" s="58"/>
      <c r="V24" s="58"/>
    </row>
    <row r="25" spans="1:23" ht="6" customHeight="1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5"/>
    </row>
    <row r="26" spans="1:23">
      <c r="A26" s="100" t="s">
        <v>52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</row>
    <row r="27" spans="1:23" ht="12.9" customHeight="1">
      <c r="A27" s="19">
        <v>20</v>
      </c>
      <c r="B27" s="23" t="s">
        <v>53</v>
      </c>
      <c r="C27" s="23" t="s">
        <v>22</v>
      </c>
      <c r="D27" s="22">
        <v>1564773745.8900001</v>
      </c>
      <c r="E27" s="22">
        <v>27880017.09</v>
      </c>
      <c r="F27" s="22">
        <v>0</v>
      </c>
      <c r="G27" s="22">
        <v>2993899.99</v>
      </c>
      <c r="H27" s="13">
        <f>(E27+F27)-G27</f>
        <v>24886117.100000001</v>
      </c>
      <c r="I27" s="75">
        <v>1365540603.5799999</v>
      </c>
      <c r="J27" s="14">
        <f t="shared" ref="J27:J60" si="13">(I27/$I$61)</f>
        <v>9.0401708780266413E-4</v>
      </c>
      <c r="K27" s="75">
        <v>1554344768.1400001</v>
      </c>
      <c r="L27" s="14">
        <f t="shared" ref="L27:L60" si="14">(K27/$K$61)</f>
        <v>9.8117600756318776E-4</v>
      </c>
      <c r="M27" s="14">
        <f t="shared" ref="M27:M61" si="15">((K27-I27)/I27)</f>
        <v>0.13826331056360941</v>
      </c>
      <c r="N27" s="25">
        <f t="shared" ref="N27" si="16">(G27/K27)</f>
        <v>1.9261492375225334E-3</v>
      </c>
      <c r="O27" s="26">
        <f t="shared" ref="O27" si="17">H27/K27</f>
        <v>1.6010680262256015E-2</v>
      </c>
      <c r="P27" s="31">
        <f t="shared" ref="P27" si="18">K27/V27</f>
        <v>100.83162894795738</v>
      </c>
      <c r="Q27" s="31">
        <f t="shared" ref="Q27" si="19">H27/V27</f>
        <v>1.6143829714081837</v>
      </c>
      <c r="R27" s="11">
        <v>100</v>
      </c>
      <c r="S27" s="11">
        <v>100</v>
      </c>
      <c r="T27" s="11">
        <v>908</v>
      </c>
      <c r="U27" s="22">
        <v>13528570</v>
      </c>
      <c r="V27" s="22">
        <v>15415250</v>
      </c>
    </row>
    <row r="28" spans="1:23" ht="15" customHeight="1">
      <c r="A28" s="19">
        <v>21</v>
      </c>
      <c r="B28" s="23" t="s">
        <v>54</v>
      </c>
      <c r="C28" s="23" t="s">
        <v>55</v>
      </c>
      <c r="D28" s="22">
        <v>9923486904.2700005</v>
      </c>
      <c r="E28" s="22">
        <v>183363526.56</v>
      </c>
      <c r="F28" s="22">
        <v>0</v>
      </c>
      <c r="G28" s="22">
        <v>15768941.310000001</v>
      </c>
      <c r="H28" s="13">
        <f t="shared" ref="H28:H60" si="20">(E28+F28)-G28</f>
        <v>167594585.25</v>
      </c>
      <c r="I28" s="11">
        <v>9104271408.6499996</v>
      </c>
      <c r="J28" s="14">
        <f t="shared" si="13"/>
        <v>6.027222408352689E-3</v>
      </c>
      <c r="K28" s="75">
        <v>9906583374.9500008</v>
      </c>
      <c r="L28" s="14">
        <f t="shared" si="14"/>
        <v>6.2535044500177462E-3</v>
      </c>
      <c r="M28" s="14">
        <f t="shared" si="15"/>
        <v>8.8124785640476599E-2</v>
      </c>
      <c r="N28" s="25">
        <f t="shared" ref="N28:N60" si="21">(G28/K28)</f>
        <v>1.5917638516901483E-3</v>
      </c>
      <c r="O28" s="26">
        <f t="shared" ref="O28:O60" si="22">H28/K28</f>
        <v>1.6917496063656341E-2</v>
      </c>
      <c r="P28" s="31">
        <f t="shared" ref="P28:P60" si="23">K28/V28</f>
        <v>103.4890992161059</v>
      </c>
      <c r="Q28" s="31">
        <f t="shared" ref="Q28:Q60" si="24">H28/V28</f>
        <v>1.7507764286198122</v>
      </c>
      <c r="R28" s="11">
        <v>100</v>
      </c>
      <c r="S28" s="11">
        <v>100</v>
      </c>
      <c r="T28" s="11">
        <v>1851</v>
      </c>
      <c r="U28" s="22">
        <v>89169229.930000007</v>
      </c>
      <c r="V28" s="22">
        <v>95725863.400000006</v>
      </c>
    </row>
    <row r="29" spans="1:23">
      <c r="A29" s="19">
        <v>22</v>
      </c>
      <c r="B29" s="23" t="s">
        <v>56</v>
      </c>
      <c r="C29" s="23" t="s">
        <v>24</v>
      </c>
      <c r="D29" s="22">
        <v>1011427155.41</v>
      </c>
      <c r="E29" s="22">
        <v>18281124.789999999</v>
      </c>
      <c r="F29" s="22">
        <v>0</v>
      </c>
      <c r="G29" s="22">
        <v>1336501.25</v>
      </c>
      <c r="H29" s="13">
        <f t="shared" si="20"/>
        <v>16944623.539999999</v>
      </c>
      <c r="I29" s="11">
        <v>970995439.25999999</v>
      </c>
      <c r="J29" s="14">
        <f t="shared" si="13"/>
        <v>6.4281974989846449E-4</v>
      </c>
      <c r="K29" s="75">
        <v>1018801624.4400001</v>
      </c>
      <c r="L29" s="14">
        <f t="shared" si="14"/>
        <v>6.4311582015560476E-4</v>
      </c>
      <c r="M29" s="14">
        <f t="shared" si="15"/>
        <v>4.923420156992022E-2</v>
      </c>
      <c r="N29" s="25">
        <f t="shared" si="21"/>
        <v>1.3118365910877187E-3</v>
      </c>
      <c r="O29" s="26">
        <f t="shared" si="22"/>
        <v>1.6631916492392592E-2</v>
      </c>
      <c r="P29" s="31">
        <f t="shared" si="23"/>
        <v>95.993602799773527</v>
      </c>
      <c r="Q29" s="31">
        <f t="shared" si="24"/>
        <v>1.5965575855697369</v>
      </c>
      <c r="R29" s="11">
        <v>100</v>
      </c>
      <c r="S29" s="11">
        <v>100</v>
      </c>
      <c r="T29" s="11">
        <v>1379</v>
      </c>
      <c r="U29" s="22">
        <v>10305657.550000001</v>
      </c>
      <c r="V29" s="22">
        <v>10613224.16</v>
      </c>
    </row>
    <row r="30" spans="1:23">
      <c r="A30" s="19">
        <v>23</v>
      </c>
      <c r="B30" s="23" t="s">
        <v>57</v>
      </c>
      <c r="C30" s="29" t="s">
        <v>58</v>
      </c>
      <c r="D30" s="22">
        <v>41606533606.870003</v>
      </c>
      <c r="E30" s="22">
        <v>1927752907.3499999</v>
      </c>
      <c r="F30" s="22">
        <v>0</v>
      </c>
      <c r="G30" s="22">
        <v>185388820.46000001</v>
      </c>
      <c r="H30" s="13">
        <f t="shared" si="20"/>
        <v>1742364086.8899999</v>
      </c>
      <c r="I30" s="21">
        <v>112557356692</v>
      </c>
      <c r="J30" s="14">
        <f t="shared" si="13"/>
        <v>7.4515377675846844E-2</v>
      </c>
      <c r="K30" s="75">
        <v>113347259247</v>
      </c>
      <c r="L30" s="14">
        <f t="shared" si="14"/>
        <v>7.1550156423329667E-2</v>
      </c>
      <c r="M30" s="14">
        <f t="shared" si="15"/>
        <v>7.0177781196610334E-3</v>
      </c>
      <c r="N30" s="25">
        <f t="shared" si="21"/>
        <v>1.6355827365530831E-3</v>
      </c>
      <c r="O30" s="26">
        <f t="shared" si="22"/>
        <v>1.5371911932101839E-2</v>
      </c>
      <c r="P30" s="31">
        <f t="shared" si="23"/>
        <v>1</v>
      </c>
      <c r="Q30" s="31">
        <f t="shared" si="24"/>
        <v>1.5371911932101839E-2</v>
      </c>
      <c r="R30" s="11">
        <v>1</v>
      </c>
      <c r="S30" s="11">
        <v>1</v>
      </c>
      <c r="T30" s="11">
        <v>63256</v>
      </c>
      <c r="U30" s="22">
        <v>112557356692</v>
      </c>
      <c r="V30" s="22">
        <v>113347259247</v>
      </c>
    </row>
    <row r="31" spans="1:23" ht="15" customHeight="1">
      <c r="A31" s="19">
        <v>24</v>
      </c>
      <c r="B31" s="23" t="s">
        <v>59</v>
      </c>
      <c r="C31" s="23" t="s">
        <v>28</v>
      </c>
      <c r="D31" s="22">
        <v>34475332792.239998</v>
      </c>
      <c r="E31" s="22">
        <v>1337814315.2</v>
      </c>
      <c r="F31" s="22">
        <v>0</v>
      </c>
      <c r="G31" s="22">
        <v>109513188.81</v>
      </c>
      <c r="H31" s="13">
        <f t="shared" si="20"/>
        <v>1228301126.3900001</v>
      </c>
      <c r="I31" s="21">
        <v>73246643380.300003</v>
      </c>
      <c r="J31" s="14">
        <f t="shared" si="13"/>
        <v>4.8490844626942531E-2</v>
      </c>
      <c r="K31" s="75">
        <v>76745380457.089996</v>
      </c>
      <c r="L31" s="14">
        <f t="shared" si="14"/>
        <v>4.8445317627899082E-2</v>
      </c>
      <c r="M31" s="14">
        <f t="shared" si="15"/>
        <v>4.776651755390874E-2</v>
      </c>
      <c r="N31" s="25">
        <f t="shared" si="21"/>
        <v>1.4269678273499628E-3</v>
      </c>
      <c r="O31" s="26">
        <f t="shared" si="22"/>
        <v>1.6004886796759966E-2</v>
      </c>
      <c r="P31" s="31">
        <f t="shared" si="23"/>
        <v>1.0321292880955983</v>
      </c>
      <c r="Q31" s="31">
        <f t="shared" si="24"/>
        <v>1.6519112415590509E-2</v>
      </c>
      <c r="R31" s="11">
        <v>1</v>
      </c>
      <c r="S31" s="11">
        <v>1</v>
      </c>
      <c r="T31" s="11">
        <v>30777</v>
      </c>
      <c r="U31" s="22">
        <v>72056056509.059998</v>
      </c>
      <c r="V31" s="22">
        <v>74356363434.559998</v>
      </c>
    </row>
    <row r="32" spans="1:23">
      <c r="A32" s="19">
        <v>25</v>
      </c>
      <c r="B32" s="29" t="s">
        <v>269</v>
      </c>
      <c r="C32" s="29" t="s">
        <v>44</v>
      </c>
      <c r="D32" s="22">
        <v>10617871361.129999</v>
      </c>
      <c r="E32" s="22">
        <v>178073349.31</v>
      </c>
      <c r="F32" s="22">
        <v>0</v>
      </c>
      <c r="G32" s="22">
        <v>17746730.690000001</v>
      </c>
      <c r="H32" s="13">
        <f t="shared" si="20"/>
        <v>160326618.62</v>
      </c>
      <c r="I32" s="11">
        <v>10756843706.42</v>
      </c>
      <c r="J32" s="14">
        <f t="shared" si="13"/>
        <v>7.121260617173969E-3</v>
      </c>
      <c r="K32" s="75">
        <v>10261846963.799999</v>
      </c>
      <c r="L32" s="14">
        <f t="shared" si="14"/>
        <v>6.4777636471310953E-3</v>
      </c>
      <c r="M32" s="14">
        <f t="shared" si="15"/>
        <v>-4.6016913151259442E-2</v>
      </c>
      <c r="N32" s="25">
        <f t="shared" si="21"/>
        <v>1.72938952925374E-3</v>
      </c>
      <c r="O32" s="26">
        <f t="shared" si="22"/>
        <v>1.5623563592945111E-2</v>
      </c>
      <c r="P32" s="31">
        <f t="shared" si="23"/>
        <v>100.00000122590019</v>
      </c>
      <c r="Q32" s="31">
        <f t="shared" si="24"/>
        <v>1.5623563784474408</v>
      </c>
      <c r="R32" s="11">
        <v>100</v>
      </c>
      <c r="S32" s="11">
        <v>100</v>
      </c>
      <c r="T32" s="11">
        <v>2083</v>
      </c>
      <c r="U32" s="22">
        <v>107568435.31</v>
      </c>
      <c r="V32" s="22">
        <v>102618468.38</v>
      </c>
    </row>
    <row r="33" spans="1:22">
      <c r="A33" s="19">
        <v>26</v>
      </c>
      <c r="B33" s="32" t="s">
        <v>221</v>
      </c>
      <c r="C33" s="32" t="s">
        <v>222</v>
      </c>
      <c r="D33" s="22">
        <v>346344845.41000003</v>
      </c>
      <c r="E33" s="22">
        <v>15156309.42</v>
      </c>
      <c r="F33" s="22">
        <v>0</v>
      </c>
      <c r="G33" s="22">
        <v>374501.16</v>
      </c>
      <c r="H33" s="13">
        <f t="shared" si="20"/>
        <v>14781808.26</v>
      </c>
      <c r="I33" s="11">
        <v>338435074.10000002</v>
      </c>
      <c r="J33" s="14">
        <f t="shared" si="13"/>
        <v>2.2405125801170422E-4</v>
      </c>
      <c r="K33" s="75">
        <v>335851189.80000001</v>
      </c>
      <c r="L33" s="14">
        <f t="shared" si="14"/>
        <v>2.1200517175969913E-4</v>
      </c>
      <c r="M33" s="14">
        <f t="shared" si="15"/>
        <v>-7.6348005799083685E-3</v>
      </c>
      <c r="N33" s="25">
        <f t="shared" si="21"/>
        <v>1.1150806409916728E-3</v>
      </c>
      <c r="O33" s="26">
        <f t="shared" si="22"/>
        <v>4.4012969758429596E-2</v>
      </c>
      <c r="P33" s="31">
        <f t="shared" si="23"/>
        <v>1.021569882232036</v>
      </c>
      <c r="Q33" s="31">
        <f t="shared" si="24"/>
        <v>4.4962324332801083E-2</v>
      </c>
      <c r="R33" s="11">
        <v>1</v>
      </c>
      <c r="S33" s="11">
        <v>1</v>
      </c>
      <c r="T33" s="11">
        <v>274</v>
      </c>
      <c r="U33" s="22">
        <v>349650456.33999997</v>
      </c>
      <c r="V33" s="22">
        <v>328759877.94999999</v>
      </c>
    </row>
    <row r="34" spans="1:22">
      <c r="A34" s="19">
        <v>27</v>
      </c>
      <c r="B34" s="23" t="s">
        <v>237</v>
      </c>
      <c r="C34" s="23" t="s">
        <v>60</v>
      </c>
      <c r="D34" s="22">
        <v>32427941698.790001</v>
      </c>
      <c r="E34" s="22">
        <v>617527769.88</v>
      </c>
      <c r="F34" s="22">
        <v>0</v>
      </c>
      <c r="G34" s="22">
        <v>48944887.479999997</v>
      </c>
      <c r="H34" s="13">
        <f t="shared" si="20"/>
        <v>568582882.39999998</v>
      </c>
      <c r="I34" s="11">
        <v>30676657723.189999</v>
      </c>
      <c r="J34" s="14">
        <f t="shared" si="13"/>
        <v>2.0308603571166269E-2</v>
      </c>
      <c r="K34" s="75">
        <v>31161435872.240002</v>
      </c>
      <c r="L34" s="14">
        <f t="shared" si="14"/>
        <v>1.9670573649916815E-2</v>
      </c>
      <c r="M34" s="14">
        <f t="shared" si="15"/>
        <v>1.5802834631607712E-2</v>
      </c>
      <c r="N34" s="25">
        <f t="shared" si="21"/>
        <v>1.5706878104292455E-3</v>
      </c>
      <c r="O34" s="26">
        <f t="shared" si="22"/>
        <v>1.8246363381044291E-2</v>
      </c>
      <c r="P34" s="31">
        <f t="shared" si="23"/>
        <v>100.00000000077019</v>
      </c>
      <c r="Q34" s="31">
        <f t="shared" si="24"/>
        <v>1.8246363381184822</v>
      </c>
      <c r="R34" s="11">
        <v>100</v>
      </c>
      <c r="S34" s="11">
        <v>100</v>
      </c>
      <c r="T34" s="11">
        <v>3192</v>
      </c>
      <c r="U34" s="22">
        <v>306766577.23000002</v>
      </c>
      <c r="V34" s="22">
        <v>311614358.72000003</v>
      </c>
    </row>
    <row r="35" spans="1:22">
      <c r="A35" s="19">
        <v>28</v>
      </c>
      <c r="B35" s="23" t="s">
        <v>61</v>
      </c>
      <c r="C35" s="23" t="s">
        <v>62</v>
      </c>
      <c r="D35" s="22">
        <v>6499982694.3699999</v>
      </c>
      <c r="E35" s="22">
        <v>258042817.83000001</v>
      </c>
      <c r="F35" s="22">
        <v>0</v>
      </c>
      <c r="G35" s="22">
        <v>15425422.52</v>
      </c>
      <c r="H35" s="13">
        <f t="shared" si="20"/>
        <v>242617395.31</v>
      </c>
      <c r="I35" s="21">
        <v>12863132100</v>
      </c>
      <c r="J35" s="14">
        <f t="shared" si="13"/>
        <v>8.5156685861825527E-3</v>
      </c>
      <c r="K35" s="75">
        <v>13661808300</v>
      </c>
      <c r="L35" s="14">
        <f t="shared" si="14"/>
        <v>8.6239802125291833E-3</v>
      </c>
      <c r="M35" s="14">
        <f t="shared" si="15"/>
        <v>6.2090336458567506E-2</v>
      </c>
      <c r="N35" s="25">
        <f t="shared" si="21"/>
        <v>1.1290908334587011E-3</v>
      </c>
      <c r="O35" s="26">
        <f t="shared" si="22"/>
        <v>1.775880542182692E-2</v>
      </c>
      <c r="P35" s="31">
        <f t="shared" si="23"/>
        <v>100</v>
      </c>
      <c r="Q35" s="31">
        <f t="shared" si="24"/>
        <v>1.775880542182692</v>
      </c>
      <c r="R35" s="11">
        <v>100</v>
      </c>
      <c r="S35" s="11">
        <v>100</v>
      </c>
      <c r="T35" s="11">
        <f>6050+253+130</f>
        <v>6433</v>
      </c>
      <c r="U35" s="22">
        <v>128631321</v>
      </c>
      <c r="V35" s="22">
        <v>136618083</v>
      </c>
    </row>
    <row r="36" spans="1:22">
      <c r="A36" s="19">
        <v>29</v>
      </c>
      <c r="B36" s="23" t="s">
        <v>63</v>
      </c>
      <c r="C36" s="29" t="s">
        <v>64</v>
      </c>
      <c r="D36" s="71">
        <v>39263942.280000001</v>
      </c>
      <c r="E36" s="71">
        <v>275433.01</v>
      </c>
      <c r="F36" s="71"/>
      <c r="G36" s="71">
        <v>41437.480000000003</v>
      </c>
      <c r="H36" s="72">
        <f t="shared" si="20"/>
        <v>233995.53</v>
      </c>
      <c r="I36" s="71">
        <v>39203248.560000002</v>
      </c>
      <c r="J36" s="14">
        <f t="shared" si="13"/>
        <v>2.5953389084661459E-5</v>
      </c>
      <c r="K36" s="71">
        <v>39203248.560000002</v>
      </c>
      <c r="L36" s="14">
        <f t="shared" si="14"/>
        <v>2.4746946555259687E-5</v>
      </c>
      <c r="M36" s="14">
        <f t="shared" si="15"/>
        <v>0</v>
      </c>
      <c r="N36" s="25">
        <f t="shared" si="21"/>
        <v>1.056990977076314E-3</v>
      </c>
      <c r="O36" s="26">
        <f t="shared" si="22"/>
        <v>5.9687790832403404E-3</v>
      </c>
      <c r="P36" s="31">
        <f t="shared" si="23"/>
        <v>101.87107246798604</v>
      </c>
      <c r="Q36" s="31">
        <f t="shared" si="24"/>
        <v>0.608045926534176</v>
      </c>
      <c r="R36" s="71">
        <v>10</v>
      </c>
      <c r="S36" s="71">
        <v>10</v>
      </c>
      <c r="T36" s="71">
        <v>86</v>
      </c>
      <c r="U36" s="71">
        <v>384832</v>
      </c>
      <c r="V36" s="71">
        <v>384832</v>
      </c>
    </row>
    <row r="37" spans="1:22">
      <c r="A37" s="19">
        <v>30</v>
      </c>
      <c r="B37" s="23" t="s">
        <v>65</v>
      </c>
      <c r="C37" s="23" t="s">
        <v>66</v>
      </c>
      <c r="D37" s="22">
        <v>7963859386.8199997</v>
      </c>
      <c r="E37" s="22">
        <v>150792745.56999999</v>
      </c>
      <c r="F37" s="22">
        <v>0</v>
      </c>
      <c r="G37" s="22">
        <v>13402661.130000001</v>
      </c>
      <c r="H37" s="13">
        <f t="shared" si="20"/>
        <v>137390084.44</v>
      </c>
      <c r="I37" s="20">
        <v>8533499947.8000002</v>
      </c>
      <c r="J37" s="14">
        <f t="shared" si="13"/>
        <v>5.6493594927530064E-3</v>
      </c>
      <c r="K37" s="75">
        <v>8123428519.3400002</v>
      </c>
      <c r="L37" s="14">
        <f t="shared" si="14"/>
        <v>5.1278926823093689E-3</v>
      </c>
      <c r="M37" s="14">
        <f t="shared" si="15"/>
        <v>-4.8054307255924869E-2</v>
      </c>
      <c r="N37" s="25">
        <f t="shared" si="21"/>
        <v>1.6498774006678796E-3</v>
      </c>
      <c r="O37" s="26">
        <f t="shared" si="22"/>
        <v>1.6912820013483969E-2</v>
      </c>
      <c r="P37" s="31">
        <f t="shared" si="23"/>
        <v>1</v>
      </c>
      <c r="Q37" s="31">
        <f t="shared" si="24"/>
        <v>1.6912820013483969E-2</v>
      </c>
      <c r="R37" s="11">
        <v>1</v>
      </c>
      <c r="S37" s="11">
        <v>1</v>
      </c>
      <c r="T37" s="11">
        <v>3250</v>
      </c>
      <c r="U37" s="22">
        <v>8533499947.8000002</v>
      </c>
      <c r="V37" s="22">
        <v>8123428519.3400002</v>
      </c>
    </row>
    <row r="38" spans="1:22">
      <c r="A38" s="19">
        <v>31</v>
      </c>
      <c r="B38" s="23" t="s">
        <v>67</v>
      </c>
      <c r="C38" s="23" t="s">
        <v>68</v>
      </c>
      <c r="D38" s="22">
        <v>11201708622.98</v>
      </c>
      <c r="E38" s="22">
        <v>549269248.69000006</v>
      </c>
      <c r="F38" s="22"/>
      <c r="G38" s="22">
        <v>38805663.780000001</v>
      </c>
      <c r="H38" s="13">
        <f t="shared" si="20"/>
        <v>510463584.91000009</v>
      </c>
      <c r="I38" s="21">
        <v>19606226113.950001</v>
      </c>
      <c r="J38" s="14">
        <f t="shared" si="13"/>
        <v>1.2979741054836564E-2</v>
      </c>
      <c r="K38" s="75">
        <v>29460357935.360001</v>
      </c>
      <c r="L38" s="14">
        <f t="shared" si="14"/>
        <v>1.8596772719214026E-2</v>
      </c>
      <c r="M38" s="14">
        <f t="shared" si="15"/>
        <v>0.50260217158256171</v>
      </c>
      <c r="N38" s="25">
        <f t="shared" si="21"/>
        <v>1.3172163035203056E-3</v>
      </c>
      <c r="O38" s="26">
        <f t="shared" si="22"/>
        <v>1.7327134518529137E-2</v>
      </c>
      <c r="P38" s="31">
        <f t="shared" si="23"/>
        <v>100.0000001200257</v>
      </c>
      <c r="Q38" s="31">
        <f t="shared" si="24"/>
        <v>1.7327134539326152</v>
      </c>
      <c r="R38" s="11">
        <v>100</v>
      </c>
      <c r="S38" s="11">
        <v>100</v>
      </c>
      <c r="T38" s="11">
        <v>6118</v>
      </c>
      <c r="U38" s="22">
        <v>196062261</v>
      </c>
      <c r="V38" s="22">
        <v>294603579</v>
      </c>
    </row>
    <row r="39" spans="1:22">
      <c r="A39" s="19">
        <v>32</v>
      </c>
      <c r="B39" s="23" t="s">
        <v>69</v>
      </c>
      <c r="C39" s="23" t="s">
        <v>68</v>
      </c>
      <c r="D39" s="22">
        <v>927868360.85000002</v>
      </c>
      <c r="E39" s="22">
        <v>15342147.6</v>
      </c>
      <c r="F39" s="22">
        <v>0</v>
      </c>
      <c r="G39" s="22">
        <v>973537.79</v>
      </c>
      <c r="H39" s="13">
        <f t="shared" si="20"/>
        <v>14368609.809999999</v>
      </c>
      <c r="I39" s="11">
        <v>443864819.12</v>
      </c>
      <c r="J39" s="14">
        <f t="shared" si="13"/>
        <v>2.9384800430462695E-4</v>
      </c>
      <c r="K39" s="75">
        <v>1400425112.1500001</v>
      </c>
      <c r="L39" s="14">
        <f t="shared" si="14"/>
        <v>8.8401463342964361E-4</v>
      </c>
      <c r="M39" s="14">
        <f t="shared" si="15"/>
        <v>2.1550712104790435</v>
      </c>
      <c r="N39" s="25">
        <f t="shared" si="21"/>
        <v>6.9517304535147756E-4</v>
      </c>
      <c r="O39" s="26">
        <f t="shared" si="22"/>
        <v>1.0260177202864219E-2</v>
      </c>
      <c r="P39" s="31">
        <f t="shared" si="23"/>
        <v>1000303.6515357144</v>
      </c>
      <c r="Q39" s="31">
        <f t="shared" si="24"/>
        <v>10263.29272142857</v>
      </c>
      <c r="R39" s="11">
        <v>1000</v>
      </c>
      <c r="S39" s="11">
        <v>1000</v>
      </c>
      <c r="T39" s="11">
        <v>24</v>
      </c>
      <c r="U39" s="22">
        <v>444</v>
      </c>
      <c r="V39" s="22">
        <v>1400</v>
      </c>
    </row>
    <row r="40" spans="1:22">
      <c r="A40" s="19">
        <v>33</v>
      </c>
      <c r="B40" s="29" t="s">
        <v>70</v>
      </c>
      <c r="C40" s="29" t="s">
        <v>71</v>
      </c>
      <c r="D40" s="22">
        <v>3554977647.5</v>
      </c>
      <c r="E40" s="22">
        <v>68769968.950000003</v>
      </c>
      <c r="F40" s="22">
        <v>0</v>
      </c>
      <c r="G40" s="22">
        <v>4067496.62</v>
      </c>
      <c r="H40" s="13">
        <f t="shared" si="20"/>
        <v>64702472.330000006</v>
      </c>
      <c r="I40" s="76">
        <v>3803588441.1700001</v>
      </c>
      <c r="J40" s="14">
        <f t="shared" si="13"/>
        <v>2.5180569049149727E-3</v>
      </c>
      <c r="K40" s="75">
        <v>3431677514.1700001</v>
      </c>
      <c r="L40" s="14">
        <f t="shared" si="14"/>
        <v>2.1662373185241824E-3</v>
      </c>
      <c r="M40" s="14">
        <f t="shared" si="15"/>
        <v>-9.7778961302553175E-2</v>
      </c>
      <c r="N40" s="25">
        <f t="shared" si="21"/>
        <v>1.1852793868901115E-3</v>
      </c>
      <c r="O40" s="26">
        <f t="shared" si="22"/>
        <v>1.8854473377184225E-2</v>
      </c>
      <c r="P40" s="31">
        <f t="shared" si="23"/>
        <v>0.93913061326006064</v>
      </c>
      <c r="Q40" s="31">
        <f t="shared" si="24"/>
        <v>1.7706813145410508E-2</v>
      </c>
      <c r="R40" s="11">
        <v>1</v>
      </c>
      <c r="S40" s="11">
        <v>1</v>
      </c>
      <c r="T40" s="11">
        <v>685</v>
      </c>
      <c r="U40" s="22">
        <v>3714369313.8499999</v>
      </c>
      <c r="V40" s="22">
        <v>3654100362.3099999</v>
      </c>
    </row>
    <row r="41" spans="1:22" ht="12.75" customHeight="1">
      <c r="A41" s="19">
        <v>34</v>
      </c>
      <c r="B41" s="23" t="s">
        <v>72</v>
      </c>
      <c r="C41" s="23" t="s">
        <v>73</v>
      </c>
      <c r="D41" s="22">
        <v>572806979.85000002</v>
      </c>
      <c r="E41" s="22">
        <v>11590454.359999999</v>
      </c>
      <c r="F41" s="22">
        <v>0</v>
      </c>
      <c r="G41" s="22">
        <v>962305.53</v>
      </c>
      <c r="H41" s="13">
        <f t="shared" si="20"/>
        <v>10628148.83</v>
      </c>
      <c r="I41" s="20">
        <v>570875349.5</v>
      </c>
      <c r="J41" s="14">
        <f t="shared" si="13"/>
        <v>3.7793169210810918E-4</v>
      </c>
      <c r="K41" s="75">
        <v>689614536.90999997</v>
      </c>
      <c r="L41" s="14">
        <f t="shared" si="14"/>
        <v>4.3531734525833712E-4</v>
      </c>
      <c r="M41" s="14">
        <f t="shared" si="15"/>
        <v>0.20799494585638956</v>
      </c>
      <c r="N41" s="25">
        <f t="shared" si="21"/>
        <v>1.3954252390210103E-3</v>
      </c>
      <c r="O41" s="26">
        <f t="shared" si="22"/>
        <v>1.5411723885088368E-2</v>
      </c>
      <c r="P41" s="31">
        <f t="shared" si="23"/>
        <v>1.2441661111685971</v>
      </c>
      <c r="Q41" s="31">
        <f t="shared" si="24"/>
        <v>1.9174744572514578E-2</v>
      </c>
      <c r="R41" s="11">
        <v>1</v>
      </c>
      <c r="S41" s="11">
        <v>1</v>
      </c>
      <c r="T41" s="11">
        <f>723+20+10</f>
        <v>753</v>
      </c>
      <c r="U41" s="22">
        <v>421087867.25999999</v>
      </c>
      <c r="V41" s="22">
        <v>554278508.88999999</v>
      </c>
    </row>
    <row r="42" spans="1:22">
      <c r="A42" s="19">
        <v>35</v>
      </c>
      <c r="B42" s="23" t="s">
        <v>74</v>
      </c>
      <c r="C42" s="23" t="s">
        <v>75</v>
      </c>
      <c r="D42" s="22">
        <v>351254732799.90997</v>
      </c>
      <c r="E42" s="22">
        <v>6522900893.8999996</v>
      </c>
      <c r="F42" s="22">
        <v>0</v>
      </c>
      <c r="G42" s="22">
        <v>457305525.62</v>
      </c>
      <c r="H42" s="13">
        <f t="shared" si="20"/>
        <v>6065595368.2799997</v>
      </c>
      <c r="I42" s="21">
        <v>333466218891.67999</v>
      </c>
      <c r="J42" s="14">
        <f t="shared" si="13"/>
        <v>0.22076176958246074</v>
      </c>
      <c r="K42" s="75">
        <v>338711177544.69</v>
      </c>
      <c r="L42" s="14">
        <f t="shared" si="14"/>
        <v>0.21381053142927395</v>
      </c>
      <c r="M42" s="14">
        <f t="shared" si="15"/>
        <v>1.572860564540042E-2</v>
      </c>
      <c r="N42" s="25">
        <f t="shared" si="21"/>
        <v>1.3501341435939549E-3</v>
      </c>
      <c r="O42" s="26">
        <f t="shared" si="22"/>
        <v>1.7907868917256788E-2</v>
      </c>
      <c r="P42" s="31">
        <f t="shared" si="23"/>
        <v>100.06251273622436</v>
      </c>
      <c r="Q42" s="31">
        <f t="shared" si="24"/>
        <v>1.791906361611644</v>
      </c>
      <c r="R42" s="11">
        <v>100</v>
      </c>
      <c r="S42" s="11">
        <v>100</v>
      </c>
      <c r="T42" s="11">
        <v>29638</v>
      </c>
      <c r="U42" s="22">
        <v>3332658991</v>
      </c>
      <c r="V42" s="22">
        <v>3384995722</v>
      </c>
    </row>
    <row r="43" spans="1:22" ht="16.95" customHeight="1">
      <c r="A43" s="19">
        <v>36</v>
      </c>
      <c r="B43" s="23" t="s">
        <v>76</v>
      </c>
      <c r="C43" s="23" t="s">
        <v>77</v>
      </c>
      <c r="D43" s="22">
        <v>772195580.36000001</v>
      </c>
      <c r="E43" s="22">
        <v>12514546.66</v>
      </c>
      <c r="F43" s="22">
        <v>0</v>
      </c>
      <c r="G43" s="22">
        <v>2010302.71</v>
      </c>
      <c r="H43" s="13">
        <f t="shared" si="20"/>
        <v>10504243.949999999</v>
      </c>
      <c r="I43" s="11">
        <v>764133710.04999995</v>
      </c>
      <c r="J43" s="14">
        <f t="shared" si="13"/>
        <v>5.0587286049219007E-4</v>
      </c>
      <c r="K43" s="75">
        <v>742050933.13999999</v>
      </c>
      <c r="L43" s="14">
        <f t="shared" si="14"/>
        <v>4.6841768114168136E-4</v>
      </c>
      <c r="M43" s="14">
        <f t="shared" si="15"/>
        <v>-2.889910053641661E-2</v>
      </c>
      <c r="N43" s="25">
        <f t="shared" si="21"/>
        <v>2.7091168816315249E-3</v>
      </c>
      <c r="O43" s="26">
        <f t="shared" si="22"/>
        <v>1.4155691315623213E-2</v>
      </c>
      <c r="P43" s="31">
        <f t="shared" si="23"/>
        <v>9.902268953720279</v>
      </c>
      <c r="Q43" s="31">
        <f t="shared" si="24"/>
        <v>0.14017346263314351</v>
      </c>
      <c r="R43" s="11">
        <v>10</v>
      </c>
      <c r="S43" s="11">
        <v>10</v>
      </c>
      <c r="T43" s="11">
        <v>398</v>
      </c>
      <c r="U43" s="22">
        <v>77494111</v>
      </c>
      <c r="V43" s="22">
        <v>74937465</v>
      </c>
    </row>
    <row r="44" spans="1:22">
      <c r="A44" s="19">
        <v>37</v>
      </c>
      <c r="B44" s="23" t="s">
        <v>78</v>
      </c>
      <c r="C44" s="23" t="s">
        <v>79</v>
      </c>
      <c r="D44" s="22">
        <v>2197716251.1799998</v>
      </c>
      <c r="E44" s="22">
        <v>70594887.540000007</v>
      </c>
      <c r="F44" s="22">
        <v>0</v>
      </c>
      <c r="G44" s="22">
        <v>8582333.0500000007</v>
      </c>
      <c r="H44" s="13">
        <f t="shared" si="20"/>
        <v>62012554.49000001</v>
      </c>
      <c r="I44" s="11">
        <v>4477136409.7200003</v>
      </c>
      <c r="J44" s="14">
        <f t="shared" si="13"/>
        <v>2.9639600669503149E-3</v>
      </c>
      <c r="K44" s="75">
        <v>4816570836.3699999</v>
      </c>
      <c r="L44" s="14">
        <f t="shared" si="14"/>
        <v>3.0404475507901847E-3</v>
      </c>
      <c r="M44" s="14">
        <f t="shared" si="15"/>
        <v>7.5815073651335954E-2</v>
      </c>
      <c r="N44" s="25">
        <f t="shared" si="21"/>
        <v>1.781834699740046E-3</v>
      </c>
      <c r="O44" s="26">
        <f t="shared" si="22"/>
        <v>1.2874834938944998E-2</v>
      </c>
      <c r="P44" s="31">
        <f t="shared" si="23"/>
        <v>99.996074879505613</v>
      </c>
      <c r="Q44" s="31">
        <f t="shared" si="24"/>
        <v>1.2874329586160191</v>
      </c>
      <c r="R44" s="11">
        <v>100</v>
      </c>
      <c r="S44" s="11">
        <v>100</v>
      </c>
      <c r="T44" s="11">
        <v>777</v>
      </c>
      <c r="U44" s="22">
        <v>44670288</v>
      </c>
      <c r="V44" s="22">
        <v>48167599</v>
      </c>
    </row>
    <row r="45" spans="1:22">
      <c r="A45" s="19">
        <v>38</v>
      </c>
      <c r="B45" s="33" t="s">
        <v>257</v>
      </c>
      <c r="C45" s="33" t="s">
        <v>233</v>
      </c>
      <c r="D45" s="22">
        <v>66157778.079999998</v>
      </c>
      <c r="E45" s="22">
        <v>2211516.4500000002</v>
      </c>
      <c r="F45" s="22">
        <v>0</v>
      </c>
      <c r="G45" s="22">
        <v>66607.12</v>
      </c>
      <c r="H45" s="13">
        <f t="shared" si="20"/>
        <v>2144909.33</v>
      </c>
      <c r="I45" s="11">
        <v>60582480.329999998</v>
      </c>
      <c r="J45" s="14">
        <f t="shared" si="13"/>
        <v>4.0106897807510145E-5</v>
      </c>
      <c r="K45" s="75">
        <v>66237167.140000001</v>
      </c>
      <c r="L45" s="14">
        <f t="shared" si="14"/>
        <v>4.1812035874441911E-5</v>
      </c>
      <c r="M45" s="14">
        <f t="shared" si="15"/>
        <v>9.3338648057957496E-2</v>
      </c>
      <c r="N45" s="25">
        <f t="shared" si="21"/>
        <v>1.0055852760009808E-3</v>
      </c>
      <c r="O45" s="26">
        <f t="shared" si="22"/>
        <v>3.2382262445893609E-2</v>
      </c>
      <c r="P45" s="31">
        <f t="shared" si="23"/>
        <v>1.0198064166365131</v>
      </c>
      <c r="Q45" s="31">
        <f t="shared" si="24"/>
        <v>3.3023639027529889E-2</v>
      </c>
      <c r="R45" s="11">
        <v>1</v>
      </c>
      <c r="S45" s="11">
        <v>1</v>
      </c>
      <c r="T45" s="11">
        <v>43</v>
      </c>
      <c r="U45" s="22">
        <v>59740725</v>
      </c>
      <c r="V45" s="22">
        <v>64950726</v>
      </c>
    </row>
    <row r="46" spans="1:22">
      <c r="A46" s="19">
        <v>39</v>
      </c>
      <c r="B46" s="29" t="s">
        <v>80</v>
      </c>
      <c r="C46" s="29" t="s">
        <v>36</v>
      </c>
      <c r="D46" s="22">
        <v>44532570844.709999</v>
      </c>
      <c r="E46" s="22">
        <v>787869790.5</v>
      </c>
      <c r="F46" s="22">
        <v>0</v>
      </c>
      <c r="G46" s="22">
        <v>46983417.5</v>
      </c>
      <c r="H46" s="13">
        <f t="shared" si="20"/>
        <v>740886373</v>
      </c>
      <c r="I46" s="21">
        <v>37984538469.190002</v>
      </c>
      <c r="J46" s="14">
        <f t="shared" si="13"/>
        <v>2.5146576936943998E-2</v>
      </c>
      <c r="K46" s="75">
        <v>43519202837.660004</v>
      </c>
      <c r="L46" s="14">
        <f t="shared" si="14"/>
        <v>2.7471381232675014E-2</v>
      </c>
      <c r="M46" s="14">
        <f t="shared" si="15"/>
        <v>0.14570834848919581</v>
      </c>
      <c r="N46" s="25">
        <f t="shared" si="21"/>
        <v>1.0796019788152503E-3</v>
      </c>
      <c r="O46" s="26">
        <f t="shared" si="22"/>
        <v>1.7024355334902014E-2</v>
      </c>
      <c r="P46" s="31">
        <f t="shared" si="23"/>
        <v>99.999999999218744</v>
      </c>
      <c r="Q46" s="31">
        <f t="shared" si="24"/>
        <v>1.7024355334769012</v>
      </c>
      <c r="R46" s="11">
        <v>100</v>
      </c>
      <c r="S46" s="11">
        <v>100</v>
      </c>
      <c r="T46" s="11">
        <v>12803</v>
      </c>
      <c r="U46" s="22">
        <v>411898480.95999998</v>
      </c>
      <c r="V46" s="22">
        <v>435192028.38</v>
      </c>
    </row>
    <row r="47" spans="1:22">
      <c r="A47" s="19">
        <v>40</v>
      </c>
      <c r="B47" s="23" t="s">
        <v>81</v>
      </c>
      <c r="C47" s="23" t="s">
        <v>38</v>
      </c>
      <c r="D47" s="22">
        <v>7222131328.9499998</v>
      </c>
      <c r="E47" s="22">
        <v>140586604.41</v>
      </c>
      <c r="F47" s="22">
        <v>0</v>
      </c>
      <c r="G47" s="22">
        <v>11137341.630000001</v>
      </c>
      <c r="H47" s="13">
        <f t="shared" si="20"/>
        <v>129449262.78</v>
      </c>
      <c r="I47" s="11">
        <v>6602774768.6800003</v>
      </c>
      <c r="J47" s="14">
        <f t="shared" si="13"/>
        <v>4.3711781269265707E-3</v>
      </c>
      <c r="K47" s="75">
        <v>7186671083.21</v>
      </c>
      <c r="L47" s="14">
        <f t="shared" si="14"/>
        <v>4.5365670381686376E-3</v>
      </c>
      <c r="M47" s="14">
        <f t="shared" si="15"/>
        <v>8.8431960044993305E-2</v>
      </c>
      <c r="N47" s="25">
        <f t="shared" si="21"/>
        <v>1.5497219089405428E-3</v>
      </c>
      <c r="O47" s="26">
        <f t="shared" si="22"/>
        <v>1.8012409539992495E-2</v>
      </c>
      <c r="P47" s="31">
        <f t="shared" si="23"/>
        <v>0.99967650829473242</v>
      </c>
      <c r="Q47" s="31">
        <f t="shared" si="24"/>
        <v>1.8006582674914427E-2</v>
      </c>
      <c r="R47" s="11">
        <v>1</v>
      </c>
      <c r="S47" s="11">
        <v>1</v>
      </c>
      <c r="T47" s="11">
        <v>1134</v>
      </c>
      <c r="U47" s="22">
        <v>6604352816</v>
      </c>
      <c r="V47" s="22">
        <v>7188996664</v>
      </c>
    </row>
    <row r="48" spans="1:22">
      <c r="A48" s="19">
        <v>41</v>
      </c>
      <c r="B48" s="23" t="s">
        <v>82</v>
      </c>
      <c r="C48" s="23" t="s">
        <v>40</v>
      </c>
      <c r="D48" s="22">
        <v>15760582231.469999</v>
      </c>
      <c r="E48" s="22">
        <v>288503866.33999997</v>
      </c>
      <c r="F48" s="22">
        <v>0</v>
      </c>
      <c r="G48" s="22">
        <v>19521952.260000002</v>
      </c>
      <c r="H48" s="13">
        <f t="shared" si="20"/>
        <v>268981914.07999998</v>
      </c>
      <c r="I48" s="21">
        <v>14607742274.43</v>
      </c>
      <c r="J48" s="14">
        <f t="shared" si="13"/>
        <v>9.6706378379970478E-3</v>
      </c>
      <c r="K48" s="75">
        <v>15785679740.58</v>
      </c>
      <c r="L48" s="14">
        <f t="shared" si="14"/>
        <v>9.9646684197790079E-3</v>
      </c>
      <c r="M48" s="14">
        <f t="shared" si="15"/>
        <v>8.0637886678211076E-2</v>
      </c>
      <c r="N48" s="25">
        <f t="shared" si="21"/>
        <v>1.2366874648935911E-3</v>
      </c>
      <c r="O48" s="26">
        <f t="shared" si="22"/>
        <v>1.7039615556657492E-2</v>
      </c>
      <c r="P48" s="31">
        <f t="shared" si="23"/>
        <v>10.234461064629167</v>
      </c>
      <c r="Q48" s="31">
        <f t="shared" si="24"/>
        <v>0.17439128197086057</v>
      </c>
      <c r="R48" s="11">
        <v>10</v>
      </c>
      <c r="S48" s="11">
        <v>10</v>
      </c>
      <c r="T48" s="11">
        <v>3003</v>
      </c>
      <c r="U48" s="22">
        <v>1448221314.28</v>
      </c>
      <c r="V48" s="22">
        <v>1542404591.79</v>
      </c>
    </row>
    <row r="49" spans="1:23" ht="14.1" customHeight="1">
      <c r="A49" s="19">
        <v>42</v>
      </c>
      <c r="B49" s="23" t="s">
        <v>83</v>
      </c>
      <c r="C49" s="23" t="s">
        <v>84</v>
      </c>
      <c r="D49" s="22">
        <v>5258055583.71</v>
      </c>
      <c r="E49" s="22">
        <v>210916627.84</v>
      </c>
      <c r="F49" s="22">
        <v>0</v>
      </c>
      <c r="G49" s="22">
        <v>13486829.42</v>
      </c>
      <c r="H49" s="13">
        <f t="shared" si="20"/>
        <v>197429798.42000002</v>
      </c>
      <c r="I49" s="77">
        <v>10191118405</v>
      </c>
      <c r="J49" s="14">
        <f t="shared" si="13"/>
        <v>6.7467383670517809E-3</v>
      </c>
      <c r="K49" s="75">
        <v>11876142605</v>
      </c>
      <c r="L49" s="14">
        <f t="shared" si="14"/>
        <v>7.4967834841230194E-3</v>
      </c>
      <c r="M49" s="14">
        <f t="shared" si="15"/>
        <v>0.16534242200279881</v>
      </c>
      <c r="N49" s="25">
        <f t="shared" si="21"/>
        <v>1.1356237347909482E-3</v>
      </c>
      <c r="O49" s="26">
        <f t="shared" si="22"/>
        <v>1.6624067678075848E-2</v>
      </c>
      <c r="P49" s="31">
        <f t="shared" si="23"/>
        <v>100.00000004210121</v>
      </c>
      <c r="Q49" s="31">
        <f t="shared" si="24"/>
        <v>1.6624067685074784</v>
      </c>
      <c r="R49" s="11">
        <v>100</v>
      </c>
      <c r="S49" s="11">
        <v>100</v>
      </c>
      <c r="T49" s="11">
        <f>2962+91+56</f>
        <v>3109</v>
      </c>
      <c r="U49" s="22">
        <v>101911184</v>
      </c>
      <c r="V49" s="22">
        <v>118761426</v>
      </c>
    </row>
    <row r="50" spans="1:23">
      <c r="A50" s="19">
        <v>43</v>
      </c>
      <c r="B50" s="23" t="s">
        <v>85</v>
      </c>
      <c r="C50" s="29" t="s">
        <v>86</v>
      </c>
      <c r="D50" s="22">
        <v>206756997.94</v>
      </c>
      <c r="E50" s="22">
        <v>2908389.97</v>
      </c>
      <c r="F50" s="22">
        <v>0</v>
      </c>
      <c r="G50" s="22">
        <v>3454644.18</v>
      </c>
      <c r="H50" s="13">
        <f t="shared" si="20"/>
        <v>-546254.21</v>
      </c>
      <c r="I50" s="21">
        <v>188951561.28999999</v>
      </c>
      <c r="J50" s="14">
        <f t="shared" si="13"/>
        <v>1.2508997515367197E-4</v>
      </c>
      <c r="K50" s="75">
        <v>194284569.94</v>
      </c>
      <c r="L50" s="14">
        <f t="shared" si="14"/>
        <v>1.2264161888161628E-4</v>
      </c>
      <c r="M50" s="14">
        <f t="shared" si="15"/>
        <v>2.8224210552115974E-2</v>
      </c>
      <c r="N50" s="25">
        <f t="shared" si="21"/>
        <v>1.77813615413045E-2</v>
      </c>
      <c r="O50" s="26">
        <f t="shared" si="22"/>
        <v>-2.8116191119485047E-3</v>
      </c>
      <c r="P50" s="31">
        <f t="shared" si="23"/>
        <v>0.99114663300670114</v>
      </c>
      <c r="Q50" s="31">
        <f t="shared" si="24"/>
        <v>-2.7867268161050518E-3</v>
      </c>
      <c r="R50" s="11">
        <v>1</v>
      </c>
      <c r="S50" s="11">
        <v>1</v>
      </c>
      <c r="T50" s="11">
        <v>83</v>
      </c>
      <c r="U50" s="22">
        <v>189876171</v>
      </c>
      <c r="V50" s="22">
        <v>196020007</v>
      </c>
    </row>
    <row r="51" spans="1:23" ht="15" customHeight="1">
      <c r="A51" s="19">
        <v>44</v>
      </c>
      <c r="B51" s="29" t="s">
        <v>87</v>
      </c>
      <c r="C51" s="29" t="s">
        <v>42</v>
      </c>
      <c r="D51" s="22">
        <v>1024115038.66</v>
      </c>
      <c r="E51" s="22">
        <v>44319632.700000003</v>
      </c>
      <c r="F51" s="22">
        <v>0</v>
      </c>
      <c r="G51" s="22">
        <v>1191189.57</v>
      </c>
      <c r="H51" s="13">
        <f t="shared" si="20"/>
        <v>43128443.130000003</v>
      </c>
      <c r="I51" s="11">
        <v>1082114790.74</v>
      </c>
      <c r="J51" s="14">
        <f t="shared" si="13"/>
        <v>7.163831373657529E-4</v>
      </c>
      <c r="K51" s="75">
        <v>1068176045.65</v>
      </c>
      <c r="L51" s="14">
        <f t="shared" si="14"/>
        <v>6.7428329243818101E-4</v>
      </c>
      <c r="M51" s="14">
        <f t="shared" si="15"/>
        <v>-1.288102261356956E-2</v>
      </c>
      <c r="N51" s="25">
        <f t="shared" si="21"/>
        <v>1.1151622196087956E-3</v>
      </c>
      <c r="O51" s="26">
        <f t="shared" si="22"/>
        <v>4.037578197492319E-2</v>
      </c>
      <c r="P51" s="31">
        <f t="shared" si="23"/>
        <v>11.615715738253478</v>
      </c>
      <c r="Q51" s="31">
        <f t="shared" si="24"/>
        <v>0.46899360613040642</v>
      </c>
      <c r="R51" s="11">
        <v>10</v>
      </c>
      <c r="S51" s="11">
        <v>10</v>
      </c>
      <c r="T51" s="11">
        <v>736</v>
      </c>
      <c r="U51" s="22">
        <v>79898831.599999994</v>
      </c>
      <c r="V51" s="22">
        <v>91959554.599999994</v>
      </c>
    </row>
    <row r="52" spans="1:23" ht="15" customHeight="1">
      <c r="A52" s="19">
        <v>45</v>
      </c>
      <c r="B52" s="11" t="s">
        <v>216</v>
      </c>
      <c r="C52" s="11" t="s">
        <v>217</v>
      </c>
      <c r="D52" s="22">
        <v>325752331.85000002</v>
      </c>
      <c r="E52" s="22">
        <v>10660935.140000001</v>
      </c>
      <c r="F52" s="22">
        <v>0</v>
      </c>
      <c r="G52" s="22">
        <v>1650203.42</v>
      </c>
      <c r="H52" s="13">
        <f t="shared" si="20"/>
        <v>9010731.7200000007</v>
      </c>
      <c r="I52" s="11">
        <v>715097230.41999996</v>
      </c>
      <c r="J52" s="14">
        <f t="shared" si="13"/>
        <v>4.734096621112785E-4</v>
      </c>
      <c r="K52" s="75">
        <v>715097230.41999996</v>
      </c>
      <c r="L52" s="14">
        <f t="shared" si="14"/>
        <v>4.5140322787112314E-4</v>
      </c>
      <c r="M52" s="14">
        <f t="shared" si="15"/>
        <v>0</v>
      </c>
      <c r="N52" s="25">
        <f t="shared" si="21"/>
        <v>2.3076629999402762E-3</v>
      </c>
      <c r="O52" s="26">
        <f t="shared" si="22"/>
        <v>1.2600708458495502E-2</v>
      </c>
      <c r="P52" s="31">
        <f t="shared" si="23"/>
        <v>1.0154892754771923</v>
      </c>
      <c r="Q52" s="31">
        <f t="shared" si="24"/>
        <v>1.2795884303016926E-2</v>
      </c>
      <c r="R52" s="11">
        <v>1</v>
      </c>
      <c r="S52" s="11">
        <v>1</v>
      </c>
      <c r="T52" s="11">
        <v>67</v>
      </c>
      <c r="U52" s="22">
        <v>715092163</v>
      </c>
      <c r="V52" s="22">
        <v>704189840</v>
      </c>
    </row>
    <row r="53" spans="1:23" ht="15" customHeight="1">
      <c r="A53" s="19">
        <v>46</v>
      </c>
      <c r="B53" s="33" t="s">
        <v>218</v>
      </c>
      <c r="C53" s="34" t="s">
        <v>219</v>
      </c>
      <c r="D53" s="22">
        <v>5985298743.8500004</v>
      </c>
      <c r="E53" s="22">
        <v>109208604.37</v>
      </c>
      <c r="F53" s="22">
        <v>0</v>
      </c>
      <c r="G53" s="22">
        <v>7427417.9900000002</v>
      </c>
      <c r="H53" s="13">
        <f t="shared" si="20"/>
        <v>101781186.38000001</v>
      </c>
      <c r="I53" s="11">
        <v>5237120159.8999996</v>
      </c>
      <c r="J53" s="14">
        <f t="shared" si="13"/>
        <v>3.4670855652429921E-3</v>
      </c>
      <c r="K53" s="75">
        <v>5937571789.8500004</v>
      </c>
      <c r="L53" s="14">
        <f t="shared" si="14"/>
        <v>3.7480764260275773E-3</v>
      </c>
      <c r="M53" s="14">
        <f t="shared" si="15"/>
        <v>0.13374748116594207</v>
      </c>
      <c r="N53" s="25">
        <f t="shared" si="21"/>
        <v>1.2509184314532114E-3</v>
      </c>
      <c r="O53" s="26">
        <f t="shared" si="22"/>
        <v>1.7141887286986603E-2</v>
      </c>
      <c r="P53" s="31">
        <f t="shared" si="23"/>
        <v>139.96918423954483</v>
      </c>
      <c r="Q53" s="31">
        <f t="shared" si="24"/>
        <v>2.399335979885739</v>
      </c>
      <c r="R53" s="11">
        <v>100</v>
      </c>
      <c r="S53" s="11">
        <v>100</v>
      </c>
      <c r="T53" s="11">
        <v>75</v>
      </c>
      <c r="U53" s="22">
        <v>100000000</v>
      </c>
      <c r="V53" s="22">
        <v>42420564.369999997</v>
      </c>
    </row>
    <row r="54" spans="1:23" ht="15" customHeight="1">
      <c r="A54" s="19">
        <v>47</v>
      </c>
      <c r="B54" s="33" t="s">
        <v>220</v>
      </c>
      <c r="C54" s="34" t="s">
        <v>113</v>
      </c>
      <c r="D54" s="22">
        <v>50000000</v>
      </c>
      <c r="E54" s="22">
        <v>972522.51</v>
      </c>
      <c r="F54" s="22">
        <v>0</v>
      </c>
      <c r="G54" s="22">
        <v>64321.5</v>
      </c>
      <c r="H54" s="13">
        <f t="shared" si="20"/>
        <v>908201.01</v>
      </c>
      <c r="I54" s="11">
        <v>56042654.460000001</v>
      </c>
      <c r="J54" s="14">
        <f t="shared" si="13"/>
        <v>3.7101435976958172E-5</v>
      </c>
      <c r="K54" s="75">
        <v>56987330.859999999</v>
      </c>
      <c r="L54" s="14">
        <f t="shared" si="14"/>
        <v>3.5973101284219722E-5</v>
      </c>
      <c r="M54" s="14">
        <f t="shared" si="15"/>
        <v>1.6856382145036576E-2</v>
      </c>
      <c r="N54" s="25">
        <f t="shared" si="21"/>
        <v>1.1286982392282551E-3</v>
      </c>
      <c r="O54" s="26">
        <f t="shared" si="22"/>
        <v>1.5936893276001382E-2</v>
      </c>
      <c r="P54" s="31">
        <f t="shared" si="23"/>
        <v>1119.5059496306774</v>
      </c>
      <c r="Q54" s="31">
        <f t="shared" si="24"/>
        <v>17.841446841112681</v>
      </c>
      <c r="R54" s="11">
        <v>1000</v>
      </c>
      <c r="S54" s="11">
        <v>1000</v>
      </c>
      <c r="T54" s="11">
        <v>25</v>
      </c>
      <c r="U54" s="22">
        <v>50804</v>
      </c>
      <c r="V54" s="22">
        <v>50904</v>
      </c>
    </row>
    <row r="55" spans="1:23">
      <c r="A55" s="19">
        <v>48</v>
      </c>
      <c r="B55" s="23" t="s">
        <v>88</v>
      </c>
      <c r="C55" s="23" t="s">
        <v>46</v>
      </c>
      <c r="D55" s="22">
        <v>728234572451.90002</v>
      </c>
      <c r="E55" s="22">
        <v>13093446575.139999</v>
      </c>
      <c r="F55" s="22">
        <v>0</v>
      </c>
      <c r="G55" s="22">
        <v>1125602360.4400001</v>
      </c>
      <c r="H55" s="13">
        <f t="shared" si="20"/>
        <v>11967844214.699999</v>
      </c>
      <c r="I55" s="21">
        <v>691866619416.87</v>
      </c>
      <c r="J55" s="14">
        <f t="shared" si="13"/>
        <v>0.45803050073601903</v>
      </c>
      <c r="K55" s="75">
        <v>728861277360.07996</v>
      </c>
      <c r="L55" s="14">
        <f t="shared" si="14"/>
        <v>0.46009174595372371</v>
      </c>
      <c r="M55" s="14">
        <f t="shared" si="15"/>
        <v>5.3470794666160344E-2</v>
      </c>
      <c r="N55" s="25">
        <f t="shared" si="21"/>
        <v>1.5443300328931012E-3</v>
      </c>
      <c r="O55" s="26">
        <f t="shared" si="22"/>
        <v>1.6419920479308868E-2</v>
      </c>
      <c r="P55" s="31">
        <f t="shared" si="23"/>
        <v>1.0000000000000138</v>
      </c>
      <c r="Q55" s="31">
        <f t="shared" si="24"/>
        <v>1.6419920479309093E-2</v>
      </c>
      <c r="R55" s="11">
        <v>100</v>
      </c>
      <c r="S55" s="11">
        <v>100</v>
      </c>
      <c r="T55" s="11">
        <v>144753</v>
      </c>
      <c r="U55" s="22">
        <v>691866619416.87</v>
      </c>
      <c r="V55" s="22">
        <v>728861277360.06995</v>
      </c>
    </row>
    <row r="56" spans="1:23">
      <c r="A56" s="19">
        <v>49</v>
      </c>
      <c r="B56" s="23" t="s">
        <v>89</v>
      </c>
      <c r="C56" s="23" t="s">
        <v>90</v>
      </c>
      <c r="D56" s="22">
        <v>3509064281.6300001</v>
      </c>
      <c r="E56" s="22">
        <v>65764845.619999997</v>
      </c>
      <c r="F56" s="22">
        <v>0</v>
      </c>
      <c r="G56" s="22">
        <v>5087071.0199999996</v>
      </c>
      <c r="H56" s="13">
        <f t="shared" si="20"/>
        <v>60677774.599999994</v>
      </c>
      <c r="I56" s="11">
        <v>3897381824.8699999</v>
      </c>
      <c r="J56" s="14">
        <f t="shared" si="13"/>
        <v>2.5801501311180884E-3</v>
      </c>
      <c r="K56" s="75">
        <v>3487143517.21</v>
      </c>
      <c r="L56" s="14">
        <f t="shared" si="14"/>
        <v>2.2012500856616805E-3</v>
      </c>
      <c r="M56" s="14">
        <f t="shared" si="15"/>
        <v>-0.10525997351406124</v>
      </c>
      <c r="N56" s="25">
        <f t="shared" si="21"/>
        <v>1.4588074723319883E-3</v>
      </c>
      <c r="O56" s="26">
        <f t="shared" si="22"/>
        <v>1.7400423670703172E-2</v>
      </c>
      <c r="P56" s="31">
        <f t="shared" si="23"/>
        <v>1.0365853001382532</v>
      </c>
      <c r="Q56" s="31">
        <f t="shared" si="24"/>
        <v>1.8037023393228612E-2</v>
      </c>
      <c r="R56" s="11">
        <v>1</v>
      </c>
      <c r="S56" s="11">
        <v>1</v>
      </c>
      <c r="T56" s="11">
        <v>388</v>
      </c>
      <c r="U56" s="22">
        <v>3825933149.77</v>
      </c>
      <c r="V56" s="22">
        <v>3364068076.9299998</v>
      </c>
    </row>
    <row r="57" spans="1:23">
      <c r="A57" s="19">
        <v>50</v>
      </c>
      <c r="B57" s="23" t="s">
        <v>91</v>
      </c>
      <c r="C57" s="23" t="s">
        <v>50</v>
      </c>
      <c r="D57" s="22">
        <v>30453876846</v>
      </c>
      <c r="E57" s="22">
        <v>1228704604</v>
      </c>
      <c r="F57" s="22">
        <v>0</v>
      </c>
      <c r="G57" s="22">
        <v>70157477</v>
      </c>
      <c r="H57" s="13">
        <f t="shared" si="20"/>
        <v>1158547127</v>
      </c>
      <c r="I57" s="78">
        <v>66848253090</v>
      </c>
      <c r="J57" s="14">
        <f t="shared" si="13"/>
        <v>4.4254973396385608E-2</v>
      </c>
      <c r="K57" s="75">
        <v>67966483249</v>
      </c>
      <c r="L57" s="14">
        <f t="shared" si="14"/>
        <v>4.2903662076313291E-2</v>
      </c>
      <c r="M57" s="14">
        <f t="shared" si="15"/>
        <v>1.6727889021938839E-2</v>
      </c>
      <c r="N57" s="25">
        <f t="shared" si="21"/>
        <v>1.0322363854397636E-3</v>
      </c>
      <c r="O57" s="26">
        <f t="shared" si="22"/>
        <v>1.7045859541615253E-2</v>
      </c>
      <c r="P57" s="31">
        <f t="shared" si="23"/>
        <v>1.0307587897920933</v>
      </c>
      <c r="Q57" s="31">
        <f t="shared" si="24"/>
        <v>1.7570169552081346E-2</v>
      </c>
      <c r="R57" s="11">
        <v>1</v>
      </c>
      <c r="S57" s="11">
        <v>1</v>
      </c>
      <c r="T57" s="11">
        <v>9756</v>
      </c>
      <c r="U57" s="22">
        <v>66448776714.660004</v>
      </c>
      <c r="V57" s="22">
        <v>65938300912</v>
      </c>
    </row>
    <row r="58" spans="1:23">
      <c r="A58" s="19">
        <v>51</v>
      </c>
      <c r="B58" s="35" t="s">
        <v>92</v>
      </c>
      <c r="C58" s="23" t="s">
        <v>93</v>
      </c>
      <c r="D58" s="22">
        <v>716360524.25</v>
      </c>
      <c r="E58" s="22">
        <v>21534381.02</v>
      </c>
      <c r="F58" s="22">
        <v>0</v>
      </c>
      <c r="G58" s="22">
        <v>1689463.43</v>
      </c>
      <c r="H58" s="13">
        <f t="shared" si="20"/>
        <v>19844917.59</v>
      </c>
      <c r="I58" s="21">
        <v>1153007443.5999999</v>
      </c>
      <c r="J58" s="14">
        <f t="shared" si="13"/>
        <v>7.633155899175731E-4</v>
      </c>
      <c r="K58" s="75">
        <v>1193005842.23</v>
      </c>
      <c r="L58" s="14">
        <f t="shared" si="14"/>
        <v>7.5308177006284244E-4</v>
      </c>
      <c r="M58" s="14">
        <f t="shared" si="15"/>
        <v>3.4690494716247744E-2</v>
      </c>
      <c r="N58" s="25">
        <f t="shared" si="21"/>
        <v>1.4161401144876268E-3</v>
      </c>
      <c r="O58" s="26">
        <f t="shared" si="22"/>
        <v>1.6634384248198922E-2</v>
      </c>
      <c r="P58" s="31">
        <f t="shared" si="23"/>
        <v>1.0476169993515541</v>
      </c>
      <c r="Q58" s="31">
        <f t="shared" si="24"/>
        <v>1.7426463712158908E-2</v>
      </c>
      <c r="R58" s="11">
        <v>1</v>
      </c>
      <c r="S58" s="11">
        <v>1</v>
      </c>
      <c r="T58" s="11">
        <v>130</v>
      </c>
      <c r="U58" s="22">
        <v>1118644304.45</v>
      </c>
      <c r="V58" s="22">
        <v>1138780530.45</v>
      </c>
    </row>
    <row r="59" spans="1:23">
      <c r="A59" s="19">
        <v>52</v>
      </c>
      <c r="B59" s="23" t="s">
        <v>94</v>
      </c>
      <c r="C59" s="23" t="s">
        <v>95</v>
      </c>
      <c r="D59" s="22">
        <v>2961054486.4000001</v>
      </c>
      <c r="E59" s="22">
        <v>43875729.740000002</v>
      </c>
      <c r="F59" s="22">
        <v>0</v>
      </c>
      <c r="G59" s="22">
        <v>4571779.41</v>
      </c>
      <c r="H59" s="13">
        <f t="shared" si="20"/>
        <v>39303950.329999998</v>
      </c>
      <c r="I59" s="21">
        <v>2725410179.98</v>
      </c>
      <c r="J59" s="14">
        <f t="shared" si="13"/>
        <v>1.8042798343117245E-3</v>
      </c>
      <c r="K59" s="75">
        <v>2961054486.4000001</v>
      </c>
      <c r="L59" s="14">
        <f t="shared" si="14"/>
        <v>1.869157781911957E-3</v>
      </c>
      <c r="M59" s="14">
        <f t="shared" si="15"/>
        <v>8.6461960166938731E-2</v>
      </c>
      <c r="N59" s="25">
        <f t="shared" si="21"/>
        <v>1.5439700387135707E-3</v>
      </c>
      <c r="O59" s="26">
        <f t="shared" si="22"/>
        <v>1.3273632927229608E-2</v>
      </c>
      <c r="P59" s="31">
        <f t="shared" si="23"/>
        <v>1.0293015694319589</v>
      </c>
      <c r="Q59" s="31">
        <f t="shared" si="24"/>
        <v>1.3662571204061164E-2</v>
      </c>
      <c r="R59" s="11">
        <v>1</v>
      </c>
      <c r="S59" s="11">
        <v>1</v>
      </c>
      <c r="T59" s="11">
        <v>332</v>
      </c>
      <c r="U59" s="22">
        <v>2684853331.5300002</v>
      </c>
      <c r="V59" s="22">
        <v>2876760877.8000002</v>
      </c>
    </row>
    <row r="60" spans="1:23">
      <c r="A60" s="19">
        <v>53</v>
      </c>
      <c r="B60" s="23" t="s">
        <v>96</v>
      </c>
      <c r="C60" s="23" t="s">
        <v>97</v>
      </c>
      <c r="D60" s="22">
        <v>47822604435.980003</v>
      </c>
      <c r="E60" s="22">
        <v>843879998.25999999</v>
      </c>
      <c r="F60" s="22">
        <v>0</v>
      </c>
      <c r="G60" s="22">
        <v>53178106.82</v>
      </c>
      <c r="H60" s="13">
        <f t="shared" si="20"/>
        <v>790701891.43999994</v>
      </c>
      <c r="I60" s="20">
        <v>43723834606.290001</v>
      </c>
      <c r="J60" s="14">
        <f t="shared" si="13"/>
        <v>2.8946113740387178E-2</v>
      </c>
      <c r="K60" s="75">
        <v>47882246784</v>
      </c>
      <c r="L60" s="14">
        <f t="shared" si="14"/>
        <v>3.0225541138405164E-2</v>
      </c>
      <c r="M60" s="14">
        <f t="shared" si="15"/>
        <v>9.5106301063351398E-2</v>
      </c>
      <c r="N60" s="25">
        <f t="shared" si="21"/>
        <v>1.1106017447320294E-3</v>
      </c>
      <c r="O60" s="26">
        <f t="shared" si="22"/>
        <v>1.651346677625444E-2</v>
      </c>
      <c r="P60" s="31">
        <f t="shared" si="23"/>
        <v>1.0320455277246634</v>
      </c>
      <c r="Q60" s="31">
        <f t="shared" si="24"/>
        <v>1.7042649533663211E-2</v>
      </c>
      <c r="R60" s="11">
        <v>1</v>
      </c>
      <c r="S60" s="11">
        <v>1</v>
      </c>
      <c r="T60" s="11">
        <v>4177</v>
      </c>
      <c r="U60" s="22">
        <v>43007492895.480003</v>
      </c>
      <c r="V60" s="22">
        <v>46395479169.959999</v>
      </c>
    </row>
    <row r="61" spans="1:23" ht="15" customHeight="1">
      <c r="A61" s="101" t="s">
        <v>51</v>
      </c>
      <c r="B61" s="101"/>
      <c r="C61" s="101"/>
      <c r="D61" s="101"/>
      <c r="E61" s="101"/>
      <c r="F61" s="101"/>
      <c r="G61" s="101"/>
      <c r="H61" s="101"/>
      <c r="I61" s="37">
        <f>SUM(I27:I60)</f>
        <v>1510525212415.1006</v>
      </c>
      <c r="J61" s="56">
        <f>(I61/$I$201)</f>
        <v>0.40332350010890861</v>
      </c>
      <c r="K61" s="58">
        <f>SUM(K27:K60)</f>
        <v>1584165079617.3796</v>
      </c>
      <c r="L61" s="56">
        <f>(K61/$K$201)</f>
        <v>0.41267358831766909</v>
      </c>
      <c r="M61" s="56">
        <f t="shared" si="15"/>
        <v>4.8751167207954166E-2</v>
      </c>
      <c r="N61" s="25"/>
      <c r="O61" s="25"/>
      <c r="P61" s="59"/>
      <c r="Q61" s="59"/>
      <c r="R61" s="58"/>
      <c r="S61" s="58"/>
      <c r="T61" s="58">
        <f>SUM(T27:T60)</f>
        <v>332496</v>
      </c>
      <c r="U61" s="58"/>
      <c r="V61" s="58"/>
    </row>
    <row r="62" spans="1:23" ht="6.9" customHeight="1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5"/>
    </row>
    <row r="63" spans="1:23">
      <c r="A63" s="100" t="s">
        <v>98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4" spans="1:23">
      <c r="A64" s="19">
        <v>54</v>
      </c>
      <c r="B64" s="23" t="s">
        <v>99</v>
      </c>
      <c r="C64" s="23" t="s">
        <v>24</v>
      </c>
      <c r="D64" s="11">
        <v>492929306.08999997</v>
      </c>
      <c r="E64" s="11">
        <v>7649807.2999999998</v>
      </c>
      <c r="F64" s="11">
        <v>0</v>
      </c>
      <c r="G64" s="11">
        <v>692600.09</v>
      </c>
      <c r="H64" s="13">
        <f>(E64+F64)-G64</f>
        <v>6957207.21</v>
      </c>
      <c r="I64" s="11">
        <v>492394864.94</v>
      </c>
      <c r="J64" s="14">
        <f t="shared" ref="J64:J97" si="25">(I64/$I$98)</f>
        <v>2.3503940817953626E-3</v>
      </c>
      <c r="K64" s="11">
        <v>497127093.42000002</v>
      </c>
      <c r="L64" s="14">
        <f t="shared" ref="L64:L97" si="26">(K64/$K$98)</f>
        <v>2.4875613391352755E-3</v>
      </c>
      <c r="M64" s="14">
        <f t="shared" ref="M64:M98" si="27">((K64-I64)/I64)</f>
        <v>9.6106373501207362E-3</v>
      </c>
      <c r="N64" s="25">
        <f t="shared" ref="N64" si="28">(G64/K64)</f>
        <v>1.3932052772164113E-3</v>
      </c>
      <c r="O64" s="26">
        <f t="shared" ref="O64" si="29">H64/K64</f>
        <v>1.3994826075838464E-2</v>
      </c>
      <c r="P64" s="31">
        <f t="shared" ref="P64" si="30">K64/V64</f>
        <v>1.3056005316298411</v>
      </c>
      <c r="Q64" s="31">
        <f t="shared" ref="Q64" si="31">H64/V64</f>
        <v>1.827165236468186E-2</v>
      </c>
      <c r="R64" s="11">
        <v>1.3</v>
      </c>
      <c r="S64" s="11">
        <v>1.3</v>
      </c>
      <c r="T64" s="21">
        <v>361</v>
      </c>
      <c r="U64" s="11">
        <v>380742493.13999999</v>
      </c>
      <c r="V64" s="11">
        <v>380765081.94999999</v>
      </c>
    </row>
    <row r="65" spans="1:24" ht="12.9" customHeight="1">
      <c r="A65" s="19">
        <v>55</v>
      </c>
      <c r="B65" s="23" t="s">
        <v>100</v>
      </c>
      <c r="C65" s="29" t="s">
        <v>26</v>
      </c>
      <c r="D65" s="11">
        <v>1272625492.1700001</v>
      </c>
      <c r="E65" s="11">
        <v>17515976.170000002</v>
      </c>
      <c r="F65" s="11">
        <v>2054805.47</v>
      </c>
      <c r="G65" s="11">
        <v>2820621.95</v>
      </c>
      <c r="H65" s="13">
        <f t="shared" ref="H65:H97" si="32">(E65+F65)-G65</f>
        <v>16750159.690000001</v>
      </c>
      <c r="I65" s="11">
        <v>1426961557</v>
      </c>
      <c r="J65" s="14">
        <f t="shared" si="25"/>
        <v>6.8114479604310715E-3</v>
      </c>
      <c r="K65" s="11">
        <v>1400639264</v>
      </c>
      <c r="L65" s="14">
        <f t="shared" si="26"/>
        <v>7.0086224012290256E-3</v>
      </c>
      <c r="M65" s="14">
        <f t="shared" si="27"/>
        <v>-1.8446392526046167E-2</v>
      </c>
      <c r="N65" s="25">
        <f t="shared" ref="N65:N97" si="33">(G65/K65)</f>
        <v>2.0138104239236865E-3</v>
      </c>
      <c r="O65" s="26">
        <f t="shared" ref="O65:O97" si="34">H65/K65</f>
        <v>1.1958939121957959E-2</v>
      </c>
      <c r="P65" s="31">
        <f t="shared" ref="P65:P97" si="35">K65/V65</f>
        <v>1.2175325040445941</v>
      </c>
      <c r="Q65" s="31">
        <f t="shared" ref="Q65:Q97" si="36">H65/V65</f>
        <v>1.4560397094874333E-2</v>
      </c>
      <c r="R65" s="11">
        <v>1.2175</v>
      </c>
      <c r="S65" s="11">
        <v>1.2175</v>
      </c>
      <c r="T65" s="21">
        <v>795</v>
      </c>
      <c r="U65" s="11">
        <v>1186016455</v>
      </c>
      <c r="V65" s="11">
        <v>1150391681</v>
      </c>
    </row>
    <row r="66" spans="1:24" ht="15" customHeight="1">
      <c r="A66" s="19">
        <v>56</v>
      </c>
      <c r="B66" s="23" t="s">
        <v>101</v>
      </c>
      <c r="C66" s="23" t="s">
        <v>102</v>
      </c>
      <c r="D66" s="11">
        <v>764216184.24000001</v>
      </c>
      <c r="E66" s="11">
        <v>9958376.0999999996</v>
      </c>
      <c r="F66" s="11">
        <v>0</v>
      </c>
      <c r="G66" s="11">
        <v>2019188.77</v>
      </c>
      <c r="H66" s="13">
        <f t="shared" si="32"/>
        <v>7939187.3300000001</v>
      </c>
      <c r="I66" s="11">
        <v>834842638</v>
      </c>
      <c r="J66" s="14">
        <f t="shared" si="25"/>
        <v>3.9850318013059096E-3</v>
      </c>
      <c r="K66" s="11">
        <v>841432597</v>
      </c>
      <c r="L66" s="14">
        <f t="shared" si="26"/>
        <v>4.2104226977164871E-3</v>
      </c>
      <c r="M66" s="14">
        <f t="shared" si="27"/>
        <v>7.8936540852624724E-3</v>
      </c>
      <c r="N66" s="25">
        <f t="shared" si="33"/>
        <v>2.399703526104302E-3</v>
      </c>
      <c r="O66" s="26">
        <f t="shared" si="34"/>
        <v>9.4353218051047294E-3</v>
      </c>
      <c r="P66" s="31">
        <f t="shared" si="35"/>
        <v>1.1066251221442438</v>
      </c>
      <c r="Q66" s="31">
        <f t="shared" si="36"/>
        <v>1.0441364145044268E-2</v>
      </c>
      <c r="R66" s="11">
        <v>1.1066</v>
      </c>
      <c r="S66" s="11">
        <v>1.1066</v>
      </c>
      <c r="T66" s="21">
        <v>199</v>
      </c>
      <c r="U66" s="11">
        <v>761585145</v>
      </c>
      <c r="V66" s="11">
        <v>760359204</v>
      </c>
    </row>
    <row r="67" spans="1:24">
      <c r="A67" s="19">
        <v>57</v>
      </c>
      <c r="B67" s="23" t="s">
        <v>103</v>
      </c>
      <c r="C67" s="29" t="s">
        <v>104</v>
      </c>
      <c r="D67" s="11">
        <v>229224793.49000001</v>
      </c>
      <c r="E67" s="11">
        <v>3872286.37</v>
      </c>
      <c r="F67" s="11">
        <v>0</v>
      </c>
      <c r="G67" s="11">
        <v>430519.13</v>
      </c>
      <c r="H67" s="13">
        <f t="shared" si="32"/>
        <v>3441767.24</v>
      </c>
      <c r="I67" s="20">
        <v>267916689.84</v>
      </c>
      <c r="J67" s="14">
        <f t="shared" si="25"/>
        <v>1.2788715867109461E-3</v>
      </c>
      <c r="K67" s="11">
        <v>276190371.04000002</v>
      </c>
      <c r="L67" s="14">
        <f t="shared" si="26"/>
        <v>1.3820218176281973E-3</v>
      </c>
      <c r="M67" s="14">
        <f t="shared" si="27"/>
        <v>3.0881544576192937E-2</v>
      </c>
      <c r="N67" s="25">
        <f t="shared" si="33"/>
        <v>1.5587767537980132E-3</v>
      </c>
      <c r="O67" s="26">
        <f t="shared" si="34"/>
        <v>1.2461575785716066E-2</v>
      </c>
      <c r="P67" s="31">
        <f t="shared" si="35"/>
        <v>1100.0094433646648</v>
      </c>
      <c r="Q67" s="31">
        <f t="shared" si="36"/>
        <v>13.707851043492115</v>
      </c>
      <c r="R67" s="11">
        <v>1100.01</v>
      </c>
      <c r="S67" s="11">
        <v>1100.01</v>
      </c>
      <c r="T67" s="21">
        <v>110</v>
      </c>
      <c r="U67" s="11">
        <v>247660</v>
      </c>
      <c r="V67" s="11">
        <v>251080</v>
      </c>
    </row>
    <row r="68" spans="1:24">
      <c r="A68" s="19">
        <v>58</v>
      </c>
      <c r="B68" s="23" t="s">
        <v>105</v>
      </c>
      <c r="C68" s="29" t="s">
        <v>106</v>
      </c>
      <c r="D68" s="11">
        <v>1570405290.6300001</v>
      </c>
      <c r="E68" s="11">
        <v>18161825.550000001</v>
      </c>
      <c r="F68" s="11">
        <v>0</v>
      </c>
      <c r="G68" s="11">
        <v>1875204.31</v>
      </c>
      <c r="H68" s="13">
        <f t="shared" si="32"/>
        <v>16286621.24</v>
      </c>
      <c r="I68" s="11">
        <v>1297237253.6800001</v>
      </c>
      <c r="J68" s="14">
        <f t="shared" si="25"/>
        <v>6.1922229105810739E-3</v>
      </c>
      <c r="K68" s="11">
        <v>1456488652.75</v>
      </c>
      <c r="L68" s="14">
        <f t="shared" si="26"/>
        <v>7.2880857056992609E-3</v>
      </c>
      <c r="M68" s="14">
        <f t="shared" si="27"/>
        <v>0.12276196865163708</v>
      </c>
      <c r="N68" s="25">
        <f t="shared" si="33"/>
        <v>1.2874829518646931E-3</v>
      </c>
      <c r="O68" s="26">
        <f t="shared" si="34"/>
        <v>1.1182113371943673E-2</v>
      </c>
      <c r="P68" s="31">
        <f t="shared" si="35"/>
        <v>1</v>
      </c>
      <c r="Q68" s="31">
        <f t="shared" si="36"/>
        <v>1.1182113371943673E-2</v>
      </c>
      <c r="R68" s="11">
        <v>1.0904</v>
      </c>
      <c r="S68" s="11">
        <v>1.0904</v>
      </c>
      <c r="T68" s="21">
        <v>896</v>
      </c>
      <c r="U68" s="11">
        <v>1204053979.46</v>
      </c>
      <c r="V68" s="11">
        <v>1456488652.75</v>
      </c>
    </row>
    <row r="69" spans="1:24">
      <c r="A69" s="19">
        <v>59</v>
      </c>
      <c r="B69" s="23" t="s">
        <v>107</v>
      </c>
      <c r="C69" s="23" t="s">
        <v>108</v>
      </c>
      <c r="D69" s="11">
        <v>436766423.08999997</v>
      </c>
      <c r="E69" s="11">
        <v>5330211.59</v>
      </c>
      <c r="F69" s="11">
        <v>0</v>
      </c>
      <c r="G69" s="11">
        <v>946113.65</v>
      </c>
      <c r="H69" s="13">
        <f t="shared" si="32"/>
        <v>4384097.9399999995</v>
      </c>
      <c r="I69" s="11">
        <v>428235306.38</v>
      </c>
      <c r="J69" s="14">
        <f t="shared" si="25"/>
        <v>2.0441353096848887E-3</v>
      </c>
      <c r="K69" s="11">
        <v>423423892.63</v>
      </c>
      <c r="L69" s="14">
        <f t="shared" si="26"/>
        <v>2.1187598087370279E-3</v>
      </c>
      <c r="M69" s="14">
        <f t="shared" si="27"/>
        <v>-1.1235443874705958E-2</v>
      </c>
      <c r="N69" s="25">
        <f t="shared" si="33"/>
        <v>2.2344361441755992E-3</v>
      </c>
      <c r="O69" s="26">
        <f t="shared" si="34"/>
        <v>1.0353921959314069E-2</v>
      </c>
      <c r="P69" s="31">
        <f t="shared" si="35"/>
        <v>2.4362744167694812</v>
      </c>
      <c r="Q69" s="31">
        <f t="shared" si="36"/>
        <v>2.5224995182704608E-2</v>
      </c>
      <c r="R69" s="11">
        <v>2.4348999999999998</v>
      </c>
      <c r="S69" s="11">
        <v>2.4348999999999998</v>
      </c>
      <c r="T69" s="21">
        <v>1392</v>
      </c>
      <c r="U69" s="11">
        <v>173298508.16</v>
      </c>
      <c r="V69" s="11">
        <v>173799753.31</v>
      </c>
    </row>
    <row r="70" spans="1:24">
      <c r="A70" s="19">
        <v>60</v>
      </c>
      <c r="B70" s="33" t="s">
        <v>253</v>
      </c>
      <c r="C70" s="34" t="s">
        <v>222</v>
      </c>
      <c r="D70" s="11">
        <v>147074829</v>
      </c>
      <c r="E70" s="11">
        <v>7924958.54</v>
      </c>
      <c r="F70" s="11">
        <v>0</v>
      </c>
      <c r="G70" s="11">
        <v>344796.83</v>
      </c>
      <c r="H70" s="13">
        <f t="shared" si="32"/>
        <v>7580161.71</v>
      </c>
      <c r="I70" s="21">
        <v>140052840.72</v>
      </c>
      <c r="J70" s="14">
        <f t="shared" si="25"/>
        <v>6.6852721546360608E-4</v>
      </c>
      <c r="K70" s="11">
        <v>140438697.66</v>
      </c>
      <c r="L70" s="14">
        <f t="shared" si="26"/>
        <v>7.0273754828802679E-4</v>
      </c>
      <c r="M70" s="14">
        <f t="shared" si="27"/>
        <v>2.755081139492346E-3</v>
      </c>
      <c r="N70" s="25">
        <f t="shared" si="33"/>
        <v>2.4551411807787341E-3</v>
      </c>
      <c r="O70" s="26">
        <f t="shared" si="34"/>
        <v>5.3974878977811794E-2</v>
      </c>
      <c r="P70" s="31">
        <f t="shared" si="35"/>
        <v>11.26671337422118</v>
      </c>
      <c r="Q70" s="31">
        <f t="shared" si="36"/>
        <v>0.6081194908512817</v>
      </c>
      <c r="R70" s="11">
        <v>11.24</v>
      </c>
      <c r="S70" s="11">
        <v>11.27</v>
      </c>
      <c r="T70" s="21">
        <v>29</v>
      </c>
      <c r="U70" s="11">
        <v>12464921.49</v>
      </c>
      <c r="V70" s="11">
        <v>12464921.49</v>
      </c>
    </row>
    <row r="71" spans="1:24">
      <c r="A71" s="19">
        <v>61</v>
      </c>
      <c r="B71" s="29" t="s">
        <v>109</v>
      </c>
      <c r="C71" s="23" t="s">
        <v>60</v>
      </c>
      <c r="D71" s="11">
        <v>2088567460.78</v>
      </c>
      <c r="E71" s="11">
        <v>19673725.530000001</v>
      </c>
      <c r="F71" s="11">
        <v>0</v>
      </c>
      <c r="G71" s="11">
        <v>3785891.92</v>
      </c>
      <c r="H71" s="13">
        <f t="shared" si="32"/>
        <v>15887833.610000001</v>
      </c>
      <c r="I71" s="11">
        <v>2128523324.26</v>
      </c>
      <c r="J71" s="14">
        <f t="shared" si="25"/>
        <v>1.0160277818725246E-2</v>
      </c>
      <c r="K71" s="11">
        <v>2058526982.8399999</v>
      </c>
      <c r="L71" s="14">
        <f t="shared" si="26"/>
        <v>1.0300609654668957E-2</v>
      </c>
      <c r="M71" s="14">
        <f t="shared" si="27"/>
        <v>-3.2884930422049721E-2</v>
      </c>
      <c r="N71" s="25">
        <f t="shared" si="33"/>
        <v>1.8391266918332449E-3</v>
      </c>
      <c r="O71" s="26">
        <f t="shared" si="34"/>
        <v>7.7180594388326709E-3</v>
      </c>
      <c r="P71" s="31">
        <f t="shared" si="35"/>
        <v>4351.1195712779818</v>
      </c>
      <c r="Q71" s="31">
        <f t="shared" si="36"/>
        <v>33.58219947659159</v>
      </c>
      <c r="R71" s="11">
        <v>4351.12</v>
      </c>
      <c r="S71" s="11">
        <v>4351.12</v>
      </c>
      <c r="T71" s="21">
        <v>1034</v>
      </c>
      <c r="U71" s="11">
        <v>492881.77</v>
      </c>
      <c r="V71" s="11">
        <v>473102.83</v>
      </c>
    </row>
    <row r="72" spans="1:24">
      <c r="A72" s="19">
        <v>62</v>
      </c>
      <c r="B72" s="23" t="s">
        <v>110</v>
      </c>
      <c r="C72" s="23" t="s">
        <v>62</v>
      </c>
      <c r="D72" s="11">
        <v>314464052.16000003</v>
      </c>
      <c r="E72" s="11">
        <v>4270080.8899999997</v>
      </c>
      <c r="F72" s="11">
        <v>0</v>
      </c>
      <c r="G72" s="11">
        <v>695181.95</v>
      </c>
      <c r="H72" s="13">
        <f t="shared" si="32"/>
        <v>3574898.9399999995</v>
      </c>
      <c r="I72" s="21">
        <v>350228000.31</v>
      </c>
      <c r="J72" s="14">
        <f t="shared" si="25"/>
        <v>1.671775799912038E-3</v>
      </c>
      <c r="K72" s="11">
        <v>348221102.92000002</v>
      </c>
      <c r="L72" s="14">
        <f t="shared" si="26"/>
        <v>1.7424545243262509E-3</v>
      </c>
      <c r="M72" s="14">
        <f t="shared" si="27"/>
        <v>-5.7302596829025814E-3</v>
      </c>
      <c r="N72" s="25">
        <f t="shared" si="33"/>
        <v>1.9963808745953873E-3</v>
      </c>
      <c r="O72" s="26">
        <f t="shared" si="34"/>
        <v>1.0266175455831847E-2</v>
      </c>
      <c r="P72" s="31">
        <f t="shared" si="35"/>
        <v>108.68096794480266</v>
      </c>
      <c r="Q72" s="31">
        <f t="shared" si="36"/>
        <v>1.1157378856309808</v>
      </c>
      <c r="R72" s="11">
        <v>108.74</v>
      </c>
      <c r="S72" s="11">
        <v>108.74</v>
      </c>
      <c r="T72" s="21">
        <v>136</v>
      </c>
      <c r="U72" s="11">
        <v>3087500</v>
      </c>
      <c r="V72" s="11">
        <v>3204067</v>
      </c>
      <c r="W72" s="17"/>
      <c r="X72" s="17"/>
    </row>
    <row r="73" spans="1:24">
      <c r="A73" s="19">
        <v>63</v>
      </c>
      <c r="B73" s="29" t="s">
        <v>111</v>
      </c>
      <c r="C73" s="29" t="s">
        <v>66</v>
      </c>
      <c r="D73" s="11">
        <v>348192583.88999999</v>
      </c>
      <c r="E73" s="11">
        <v>4069463.18</v>
      </c>
      <c r="F73" s="11">
        <v>1604543.65</v>
      </c>
      <c r="G73" s="11">
        <v>697376.39</v>
      </c>
      <c r="H73" s="13">
        <f t="shared" si="32"/>
        <v>4976630.4400000004</v>
      </c>
      <c r="I73" s="20">
        <v>336228410.66000003</v>
      </c>
      <c r="J73" s="14">
        <f t="shared" si="25"/>
        <v>1.6049502600784067E-3</v>
      </c>
      <c r="K73" s="11">
        <v>347439819.56999999</v>
      </c>
      <c r="L73" s="14">
        <f t="shared" si="26"/>
        <v>1.7385450808819198E-3</v>
      </c>
      <c r="M73" s="14">
        <f t="shared" si="27"/>
        <v>3.3344620961662685E-2</v>
      </c>
      <c r="N73" s="25">
        <f t="shared" si="33"/>
        <v>2.0071861390645726E-3</v>
      </c>
      <c r="O73" s="26">
        <f t="shared" si="34"/>
        <v>1.4323719273626148E-2</v>
      </c>
      <c r="P73" s="31">
        <f t="shared" si="35"/>
        <v>1.3918962728293474</v>
      </c>
      <c r="Q73" s="31">
        <f t="shared" si="36"/>
        <v>1.9937131470014125E-2</v>
      </c>
      <c r="R73" s="11">
        <v>1.3918999999999999</v>
      </c>
      <c r="S73" s="11">
        <v>1.3918999999999999</v>
      </c>
      <c r="T73" s="21">
        <v>367</v>
      </c>
      <c r="U73" s="11">
        <v>248323262.02000001</v>
      </c>
      <c r="V73" s="11">
        <v>249616172.09</v>
      </c>
    </row>
    <row r="74" spans="1:24">
      <c r="A74" s="19">
        <v>64</v>
      </c>
      <c r="B74" s="33" t="s">
        <v>266</v>
      </c>
      <c r="C74" s="34" t="s">
        <v>66</v>
      </c>
      <c r="D74" s="20">
        <v>25000000</v>
      </c>
      <c r="E74" s="11">
        <v>0</v>
      </c>
      <c r="F74" s="11">
        <v>0</v>
      </c>
      <c r="G74" s="11">
        <v>365736.28</v>
      </c>
      <c r="H74" s="13">
        <f t="shared" si="32"/>
        <v>-365736.28</v>
      </c>
      <c r="I74" s="20">
        <v>23666302.460000001</v>
      </c>
      <c r="J74" s="14">
        <f t="shared" si="25"/>
        <v>1.1296855674305447E-4</v>
      </c>
      <c r="K74" s="11">
        <v>23300566.18</v>
      </c>
      <c r="L74" s="14">
        <f t="shared" si="26"/>
        <v>1.1659309737190648E-4</v>
      </c>
      <c r="M74" s="14">
        <f t="shared" si="27"/>
        <v>-1.5453883453832999E-2</v>
      </c>
      <c r="N74" s="25">
        <f t="shared" si="33"/>
        <v>1.5696454634391208E-2</v>
      </c>
      <c r="O74" s="26">
        <f t="shared" si="34"/>
        <v>-1.5696454634391208E-2</v>
      </c>
      <c r="P74" s="31">
        <f t="shared" si="35"/>
        <v>0.93202264719999994</v>
      </c>
      <c r="Q74" s="31">
        <f t="shared" si="36"/>
        <v>-1.4629451200000001E-2</v>
      </c>
      <c r="R74" s="21">
        <v>0.94669999999999999</v>
      </c>
      <c r="S74" s="22">
        <v>0.94669999999999999</v>
      </c>
      <c r="T74" s="21">
        <v>1</v>
      </c>
      <c r="U74" s="11">
        <v>25000000</v>
      </c>
      <c r="V74" s="11">
        <v>25000000</v>
      </c>
    </row>
    <row r="75" spans="1:24">
      <c r="A75" s="19">
        <v>65</v>
      </c>
      <c r="B75" s="23" t="s">
        <v>247</v>
      </c>
      <c r="C75" s="23" t="s">
        <v>48</v>
      </c>
      <c r="D75" s="11">
        <v>121619985.2</v>
      </c>
      <c r="E75" s="11">
        <v>2645271.7799999998</v>
      </c>
      <c r="F75" s="11">
        <v>0</v>
      </c>
      <c r="G75" s="11">
        <v>2533396.75</v>
      </c>
      <c r="H75" s="13">
        <f t="shared" si="32"/>
        <v>111875.0299999998</v>
      </c>
      <c r="I75" s="11">
        <v>131437661.59</v>
      </c>
      <c r="J75" s="14">
        <f t="shared" si="25"/>
        <v>6.2740358180583768E-4</v>
      </c>
      <c r="K75" s="11">
        <v>128451551.84999999</v>
      </c>
      <c r="L75" s="14">
        <f t="shared" si="26"/>
        <v>6.4275538099476098E-4</v>
      </c>
      <c r="M75" s="14">
        <f t="shared" si="27"/>
        <v>-2.2718828864399073E-2</v>
      </c>
      <c r="N75" s="25">
        <f t="shared" si="33"/>
        <v>1.9722585780500245E-2</v>
      </c>
      <c r="O75" s="26">
        <f t="shared" si="34"/>
        <v>8.7095117488843166E-4</v>
      </c>
      <c r="P75" s="31">
        <f t="shared" si="35"/>
        <v>129.67823140897235</v>
      </c>
      <c r="Q75" s="31">
        <f t="shared" si="36"/>
        <v>0.11294340800309839</v>
      </c>
      <c r="R75" s="11">
        <v>128.86269999999999</v>
      </c>
      <c r="S75" s="11">
        <v>128.86269999999999</v>
      </c>
      <c r="T75" s="21">
        <v>36</v>
      </c>
      <c r="U75" s="11">
        <v>1032139.23</v>
      </c>
      <c r="V75" s="11">
        <v>990540.59</v>
      </c>
    </row>
    <row r="76" spans="1:24">
      <c r="A76" s="19">
        <v>66</v>
      </c>
      <c r="B76" s="23" t="s">
        <v>112</v>
      </c>
      <c r="C76" s="23" t="s">
        <v>113</v>
      </c>
      <c r="D76" s="11">
        <v>1419449908.6600001</v>
      </c>
      <c r="E76" s="11">
        <v>23894924.52</v>
      </c>
      <c r="F76" s="11">
        <v>0</v>
      </c>
      <c r="G76" s="11">
        <v>1331478.6100000001</v>
      </c>
      <c r="H76" s="13">
        <f t="shared" si="32"/>
        <v>22563445.91</v>
      </c>
      <c r="I76" s="13">
        <v>1652118318.5999999</v>
      </c>
      <c r="J76" s="14">
        <f t="shared" si="25"/>
        <v>7.886209615399457E-3</v>
      </c>
      <c r="K76" s="11">
        <v>1677324015.8800001</v>
      </c>
      <c r="L76" s="14">
        <f t="shared" si="26"/>
        <v>8.3931180382902631E-3</v>
      </c>
      <c r="M76" s="14">
        <f t="shared" si="27"/>
        <v>1.5256593305835045E-2</v>
      </c>
      <c r="N76" s="25">
        <f t="shared" si="33"/>
        <v>7.9381121202241065E-4</v>
      </c>
      <c r="O76" s="26">
        <f t="shared" si="34"/>
        <v>1.3452049631664157E-2</v>
      </c>
      <c r="P76" s="31">
        <f t="shared" si="35"/>
        <v>1059.3761476560614</v>
      </c>
      <c r="Q76" s="31">
        <f t="shared" si="36"/>
        <v>14.250780516870515</v>
      </c>
      <c r="R76" s="11">
        <v>1000</v>
      </c>
      <c r="S76" s="11">
        <v>1000</v>
      </c>
      <c r="T76" s="21">
        <v>337</v>
      </c>
      <c r="U76" s="11">
        <v>1553216.99</v>
      </c>
      <c r="V76" s="11">
        <v>1583312.99</v>
      </c>
    </row>
    <row r="77" spans="1:24">
      <c r="A77" s="19">
        <v>67</v>
      </c>
      <c r="B77" s="23" t="s">
        <v>114</v>
      </c>
      <c r="C77" s="23" t="s">
        <v>68</v>
      </c>
      <c r="D77" s="11">
        <v>181075137.78999999</v>
      </c>
      <c r="E77" s="11">
        <v>2611568.37</v>
      </c>
      <c r="F77" s="11">
        <v>0</v>
      </c>
      <c r="G77" s="11">
        <v>620100.93999999994</v>
      </c>
      <c r="H77" s="13">
        <f t="shared" si="32"/>
        <v>1991467.4300000002</v>
      </c>
      <c r="I77" s="11">
        <v>217341233.36000001</v>
      </c>
      <c r="J77" s="14">
        <f t="shared" si="25"/>
        <v>1.0374550690769209E-3</v>
      </c>
      <c r="K77" s="11">
        <v>196996736.24000001</v>
      </c>
      <c r="L77" s="14">
        <f t="shared" si="26"/>
        <v>9.8574684722009184E-4</v>
      </c>
      <c r="M77" s="14">
        <f t="shared" si="27"/>
        <v>-9.3606246755311984E-2</v>
      </c>
      <c r="N77" s="25">
        <f t="shared" si="33"/>
        <v>3.1477726577385247E-3</v>
      </c>
      <c r="O77" s="26">
        <f t="shared" si="34"/>
        <v>1.0109139207127811E-2</v>
      </c>
      <c r="P77" s="31">
        <f t="shared" si="35"/>
        <v>970.24087116268311</v>
      </c>
      <c r="Q77" s="31">
        <f t="shared" si="36"/>
        <v>9.8083000310285229</v>
      </c>
      <c r="R77" s="11">
        <v>1073.49</v>
      </c>
      <c r="S77" s="11">
        <v>1084.1300000000001</v>
      </c>
      <c r="T77" s="21">
        <v>281</v>
      </c>
      <c r="U77" s="11">
        <v>203039</v>
      </c>
      <c r="V77" s="11">
        <v>203039</v>
      </c>
    </row>
    <row r="78" spans="1:24">
      <c r="A78" s="19">
        <v>68</v>
      </c>
      <c r="B78" s="23" t="s">
        <v>115</v>
      </c>
      <c r="C78" s="29" t="s">
        <v>71</v>
      </c>
      <c r="D78" s="11">
        <v>679140882.41999996</v>
      </c>
      <c r="E78" s="11">
        <v>-10171444</v>
      </c>
      <c r="F78" s="11">
        <v>0</v>
      </c>
      <c r="G78" s="11">
        <v>1487498.27</v>
      </c>
      <c r="H78" s="13">
        <f t="shared" si="32"/>
        <v>-11658942.27</v>
      </c>
      <c r="I78" s="20">
        <v>972786731.85000002</v>
      </c>
      <c r="J78" s="14">
        <f t="shared" si="25"/>
        <v>4.6434931397343103E-3</v>
      </c>
      <c r="K78" s="11">
        <v>678033538.69000006</v>
      </c>
      <c r="L78" s="14">
        <f t="shared" si="26"/>
        <v>3.3927943976639237E-3</v>
      </c>
      <c r="M78" s="14">
        <f t="shared" si="27"/>
        <v>-0.30299878021511684</v>
      </c>
      <c r="N78" s="25">
        <f t="shared" si="33"/>
        <v>2.1938417277616276E-3</v>
      </c>
      <c r="O78" s="26">
        <f t="shared" si="34"/>
        <v>-1.7195229446209621E-2</v>
      </c>
      <c r="P78" s="31">
        <f t="shared" si="35"/>
        <v>1.1451174247135667</v>
      </c>
      <c r="Q78" s="31">
        <f t="shared" si="36"/>
        <v>-1.9690556860802452E-2</v>
      </c>
      <c r="R78" s="11">
        <v>1.1364000000000001</v>
      </c>
      <c r="S78" s="11">
        <v>1.1364000000000001</v>
      </c>
      <c r="T78" s="21">
        <v>43</v>
      </c>
      <c r="U78" s="11">
        <v>839067384.07000005</v>
      </c>
      <c r="V78" s="11">
        <v>592108306.14999998</v>
      </c>
    </row>
    <row r="79" spans="1:24">
      <c r="A79" s="19">
        <v>69</v>
      </c>
      <c r="B79" s="23" t="s">
        <v>254</v>
      </c>
      <c r="C79" s="23" t="s">
        <v>30</v>
      </c>
      <c r="D79" s="11">
        <v>23887498906.360001</v>
      </c>
      <c r="E79" s="11">
        <v>240767317.81</v>
      </c>
      <c r="F79" s="11">
        <v>0</v>
      </c>
      <c r="G79" s="11">
        <v>28020268.170000002</v>
      </c>
      <c r="H79" s="13">
        <f t="shared" si="32"/>
        <v>212747049.63999999</v>
      </c>
      <c r="I79" s="22">
        <v>25217131565.75</v>
      </c>
      <c r="J79" s="14">
        <f t="shared" si="25"/>
        <v>0.12037127316349269</v>
      </c>
      <c r="K79" s="11">
        <v>23610982737.459999</v>
      </c>
      <c r="L79" s="14">
        <f t="shared" si="26"/>
        <v>0.1181463827139962</v>
      </c>
      <c r="M79" s="14">
        <f t="shared" si="27"/>
        <v>-6.3692764742183369E-2</v>
      </c>
      <c r="N79" s="25">
        <f t="shared" si="33"/>
        <v>1.1867472218995972E-3</v>
      </c>
      <c r="O79" s="26">
        <f t="shared" si="34"/>
        <v>9.0105122690410603E-3</v>
      </c>
      <c r="P79" s="31">
        <f t="shared" si="35"/>
        <v>1687.9630085585204</v>
      </c>
      <c r="Q79" s="31">
        <f t="shared" si="36"/>
        <v>15.209411398304008</v>
      </c>
      <c r="R79" s="11">
        <v>1687.96</v>
      </c>
      <c r="S79" s="11">
        <v>1687.96</v>
      </c>
      <c r="T79" s="21">
        <v>2220</v>
      </c>
      <c r="U79" s="11">
        <v>14980167.08</v>
      </c>
      <c r="V79" s="11">
        <v>13987855.550000001</v>
      </c>
    </row>
    <row r="80" spans="1:24" ht="14.4" customHeight="1">
      <c r="A80" s="19">
        <v>70</v>
      </c>
      <c r="B80" s="23" t="s">
        <v>116</v>
      </c>
      <c r="C80" s="23" t="s">
        <v>77</v>
      </c>
      <c r="D80" s="11">
        <v>22405505.149999999</v>
      </c>
      <c r="E80" s="11">
        <v>280822.03000000003</v>
      </c>
      <c r="F80" s="11">
        <v>0</v>
      </c>
      <c r="G80" s="11">
        <v>242755.74</v>
      </c>
      <c r="H80" s="13">
        <f t="shared" si="32"/>
        <v>38066.290000000037</v>
      </c>
      <c r="I80" s="11">
        <v>23130890.530000001</v>
      </c>
      <c r="J80" s="14">
        <f t="shared" si="25"/>
        <v>1.1041282531448246E-4</v>
      </c>
      <c r="K80" s="11">
        <v>23274141.280000001</v>
      </c>
      <c r="L80" s="14">
        <f t="shared" si="26"/>
        <v>1.1646087050175483E-4</v>
      </c>
      <c r="M80" s="14">
        <f t="shared" si="27"/>
        <v>6.1930494986437512E-3</v>
      </c>
      <c r="N80" s="25">
        <f t="shared" si="33"/>
        <v>1.0430276979052522E-2</v>
      </c>
      <c r="O80" s="26">
        <f t="shared" si="34"/>
        <v>1.6355615247859335E-3</v>
      </c>
      <c r="P80" s="31">
        <f t="shared" si="35"/>
        <v>0.7098798987891386</v>
      </c>
      <c r="Q80" s="31">
        <f t="shared" si="36"/>
        <v>1.1610522496784477E-3</v>
      </c>
      <c r="R80" s="11">
        <v>0.70989999999999998</v>
      </c>
      <c r="S80" s="11">
        <v>0.70989999999999998</v>
      </c>
      <c r="T80" s="21">
        <v>746</v>
      </c>
      <c r="U80" s="11">
        <v>32786026.649999999</v>
      </c>
      <c r="V80" s="11">
        <v>32786026.649999999</v>
      </c>
    </row>
    <row r="81" spans="1:22" ht="14.4" customHeight="1">
      <c r="A81" s="19">
        <v>71</v>
      </c>
      <c r="B81" s="23" t="s">
        <v>248</v>
      </c>
      <c r="C81" s="29" t="s">
        <v>36</v>
      </c>
      <c r="D81" s="11">
        <v>11729822089.559999</v>
      </c>
      <c r="E81" s="11">
        <v>83716015.040000007</v>
      </c>
      <c r="F81" s="11">
        <v>0</v>
      </c>
      <c r="G81" s="11">
        <v>2416258.77</v>
      </c>
      <c r="H81" s="13">
        <f t="shared" si="32"/>
        <v>81299756.270000011</v>
      </c>
      <c r="I81" s="11">
        <v>9522905027</v>
      </c>
      <c r="J81" s="14">
        <f t="shared" si="25"/>
        <v>4.5456565879677689E-2</v>
      </c>
      <c r="K81" s="11">
        <v>9517819415.2299995</v>
      </c>
      <c r="L81" s="14">
        <f t="shared" si="26"/>
        <v>4.7625969140640566E-2</v>
      </c>
      <c r="M81" s="14">
        <f t="shared" si="27"/>
        <v>-5.3403995478075005E-4</v>
      </c>
      <c r="N81" s="25">
        <f t="shared" si="33"/>
        <v>2.5386684329538843E-4</v>
      </c>
      <c r="O81" s="26">
        <f t="shared" si="34"/>
        <v>8.5418469003422873E-3</v>
      </c>
      <c r="P81" s="31">
        <f t="shared" si="35"/>
        <v>1</v>
      </c>
      <c r="Q81" s="31">
        <f t="shared" si="36"/>
        <v>8.5418469003422873E-3</v>
      </c>
      <c r="R81" s="11">
        <v>1</v>
      </c>
      <c r="S81" s="11">
        <v>1</v>
      </c>
      <c r="T81" s="21">
        <v>5248</v>
      </c>
      <c r="U81" s="11">
        <v>9522905027</v>
      </c>
      <c r="V81" s="11">
        <v>9517819415.2299995</v>
      </c>
    </row>
    <row r="82" spans="1:22">
      <c r="A82" s="19">
        <v>72</v>
      </c>
      <c r="B82" s="29" t="s">
        <v>117</v>
      </c>
      <c r="C82" s="29" t="s">
        <v>118</v>
      </c>
      <c r="D82" s="11">
        <v>1137722628.9400001</v>
      </c>
      <c r="E82" s="11">
        <v>7347503.2800000003</v>
      </c>
      <c r="F82" s="11">
        <v>0</v>
      </c>
      <c r="G82" s="11">
        <v>2919637.26</v>
      </c>
      <c r="H82" s="13">
        <f t="shared" si="32"/>
        <v>4427866.0200000005</v>
      </c>
      <c r="I82" s="21">
        <v>1122676058.6700001</v>
      </c>
      <c r="J82" s="14">
        <f t="shared" si="25"/>
        <v>5.3589737667001256E-3</v>
      </c>
      <c r="K82" s="11">
        <v>1125837886.0999999</v>
      </c>
      <c r="L82" s="14">
        <f t="shared" si="26"/>
        <v>5.633550930264933E-3</v>
      </c>
      <c r="M82" s="14">
        <f t="shared" si="27"/>
        <v>2.816331038309972E-3</v>
      </c>
      <c r="N82" s="25">
        <f t="shared" si="33"/>
        <v>2.5933016609645965E-3</v>
      </c>
      <c r="O82" s="26">
        <f t="shared" si="34"/>
        <v>3.9329516928396438E-3</v>
      </c>
      <c r="P82" s="31">
        <f t="shared" si="35"/>
        <v>236.67895125313038</v>
      </c>
      <c r="Q82" s="31">
        <f t="shared" si="36"/>
        <v>0.93084688199051069</v>
      </c>
      <c r="R82" s="11">
        <v>236.679</v>
      </c>
      <c r="S82" s="11">
        <v>239.17740000000001</v>
      </c>
      <c r="T82" s="21">
        <v>490</v>
      </c>
      <c r="U82" s="11">
        <v>4800213.7300000004</v>
      </c>
      <c r="V82" s="11">
        <v>4756814.58</v>
      </c>
    </row>
    <row r="83" spans="1:22">
      <c r="A83" s="19">
        <v>73</v>
      </c>
      <c r="B83" s="23" t="s">
        <v>119</v>
      </c>
      <c r="C83" s="29" t="s">
        <v>38</v>
      </c>
      <c r="D83" s="11">
        <v>1082571134.1700001</v>
      </c>
      <c r="E83" s="11">
        <v>12024280.65</v>
      </c>
      <c r="F83" s="11">
        <v>0</v>
      </c>
      <c r="G83" s="11">
        <v>1575265.63</v>
      </c>
      <c r="H83" s="13">
        <f t="shared" si="32"/>
        <v>10449015.02</v>
      </c>
      <c r="I83" s="11">
        <v>1065343631.49</v>
      </c>
      <c r="J83" s="14">
        <f t="shared" si="25"/>
        <v>5.0853035740687389E-3</v>
      </c>
      <c r="K83" s="11">
        <v>1073840637.3199999</v>
      </c>
      <c r="L83" s="14">
        <f t="shared" si="26"/>
        <v>5.373363248847924E-3</v>
      </c>
      <c r="M83" s="14">
        <f t="shared" si="27"/>
        <v>7.9758357574409387E-3</v>
      </c>
      <c r="N83" s="25">
        <f t="shared" si="33"/>
        <v>1.4669454435356571E-3</v>
      </c>
      <c r="O83" s="26">
        <f t="shared" si="34"/>
        <v>9.730508100417732E-3</v>
      </c>
      <c r="P83" s="31">
        <f t="shared" si="35"/>
        <v>3.5844190649643992</v>
      </c>
      <c r="Q83" s="31">
        <f t="shared" si="36"/>
        <v>3.4878218746927842E-2</v>
      </c>
      <c r="R83" s="11">
        <v>3.58</v>
      </c>
      <c r="S83" s="11">
        <v>3.58</v>
      </c>
      <c r="T83" s="21">
        <v>771</v>
      </c>
      <c r="U83" s="11">
        <v>299585684</v>
      </c>
      <c r="V83" s="11">
        <v>299585684</v>
      </c>
    </row>
    <row r="84" spans="1:22">
      <c r="A84" s="19">
        <v>74</v>
      </c>
      <c r="B84" s="33" t="s">
        <v>252</v>
      </c>
      <c r="C84" s="34" t="s">
        <v>40</v>
      </c>
      <c r="D84" s="11">
        <v>573182006.66999996</v>
      </c>
      <c r="E84" s="11">
        <v>7566520.7800000003</v>
      </c>
      <c r="F84" s="11">
        <v>0</v>
      </c>
      <c r="G84" s="11">
        <v>1152481.82</v>
      </c>
      <c r="H84" s="13">
        <f t="shared" si="32"/>
        <v>6414038.96</v>
      </c>
      <c r="I84" s="11">
        <v>546911112.28999996</v>
      </c>
      <c r="J84" s="14">
        <f t="shared" si="25"/>
        <v>2.6106215420243512E-3</v>
      </c>
      <c r="K84" s="11">
        <v>562496387.26999998</v>
      </c>
      <c r="L84" s="14">
        <f t="shared" si="26"/>
        <v>2.8146610492499509E-3</v>
      </c>
      <c r="M84" s="14">
        <f t="shared" si="27"/>
        <v>2.8496906772916174E-2</v>
      </c>
      <c r="N84" s="25">
        <f t="shared" si="33"/>
        <v>2.0488697280233469E-3</v>
      </c>
      <c r="O84" s="26">
        <f t="shared" si="34"/>
        <v>1.1402809164925786E-2</v>
      </c>
      <c r="P84" s="31">
        <f t="shared" si="35"/>
        <v>112.1098406038158</v>
      </c>
      <c r="Q84" s="31">
        <f t="shared" si="36"/>
        <v>1.2783671179155598</v>
      </c>
      <c r="R84" s="11">
        <v>110.2</v>
      </c>
      <c r="S84" s="11">
        <v>110.2</v>
      </c>
      <c r="T84" s="21">
        <v>59</v>
      </c>
      <c r="U84" s="11">
        <v>5021961.43</v>
      </c>
      <c r="V84" s="11">
        <v>5017368.54</v>
      </c>
    </row>
    <row r="85" spans="1:22">
      <c r="A85" s="19">
        <v>75</v>
      </c>
      <c r="B85" s="23" t="s">
        <v>251</v>
      </c>
      <c r="C85" s="23" t="s">
        <v>44</v>
      </c>
      <c r="D85" s="11">
        <v>1647816936.01</v>
      </c>
      <c r="E85" s="11">
        <v>18594285.960000001</v>
      </c>
      <c r="F85" s="11">
        <v>0</v>
      </c>
      <c r="G85" s="11">
        <v>3000621.95</v>
      </c>
      <c r="H85" s="13">
        <f t="shared" si="32"/>
        <v>15593664.010000002</v>
      </c>
      <c r="I85" s="11">
        <v>1770894762.5</v>
      </c>
      <c r="J85" s="14">
        <f t="shared" si="25"/>
        <v>8.4531762323914461E-3</v>
      </c>
      <c r="K85" s="11">
        <v>1645207536.5699999</v>
      </c>
      <c r="L85" s="14">
        <f t="shared" si="26"/>
        <v>8.2324112223911804E-3</v>
      </c>
      <c r="M85" s="14">
        <f t="shared" si="27"/>
        <v>-7.0973853778055915E-2</v>
      </c>
      <c r="N85" s="25">
        <f t="shared" si="33"/>
        <v>1.8238561903599268E-3</v>
      </c>
      <c r="O85" s="26">
        <f t="shared" si="34"/>
        <v>9.4782352155463306E-3</v>
      </c>
      <c r="P85" s="31">
        <f t="shared" si="35"/>
        <v>101.83127952471526</v>
      </c>
      <c r="Q85" s="31">
        <f t="shared" si="36"/>
        <v>0.96518081963529823</v>
      </c>
      <c r="R85" s="11">
        <v>101.83</v>
      </c>
      <c r="S85" s="11">
        <v>101.83</v>
      </c>
      <c r="T85" s="21">
        <v>289</v>
      </c>
      <c r="U85" s="11">
        <v>17561168</v>
      </c>
      <c r="V85" s="11">
        <v>16156210</v>
      </c>
    </row>
    <row r="86" spans="1:22">
      <c r="A86" s="19">
        <v>76</v>
      </c>
      <c r="B86" s="23" t="s">
        <v>122</v>
      </c>
      <c r="C86" s="23" t="s">
        <v>22</v>
      </c>
      <c r="D86" s="11">
        <v>1368647578.8399999</v>
      </c>
      <c r="E86" s="11">
        <v>16139176.51</v>
      </c>
      <c r="F86" s="11">
        <v>72413000</v>
      </c>
      <c r="G86" s="11">
        <v>2237157.5299999998</v>
      </c>
      <c r="H86" s="13">
        <f t="shared" si="32"/>
        <v>86315018.980000004</v>
      </c>
      <c r="I86" s="11">
        <v>1323543860.3800001</v>
      </c>
      <c r="J86" s="14">
        <f t="shared" si="25"/>
        <v>6.3177946764591212E-3</v>
      </c>
      <c r="K86" s="11">
        <v>1338781029.5699999</v>
      </c>
      <c r="L86" s="14">
        <f t="shared" si="26"/>
        <v>6.6990915900703753E-3</v>
      </c>
      <c r="M86" s="14">
        <f t="shared" si="27"/>
        <v>1.1512402154640425E-2</v>
      </c>
      <c r="N86" s="25">
        <f t="shared" si="33"/>
        <v>1.6710406560799173E-3</v>
      </c>
      <c r="O86" s="26">
        <f t="shared" si="34"/>
        <v>6.4472842887326645E-2</v>
      </c>
      <c r="P86" s="31">
        <f t="shared" si="35"/>
        <v>350.65361840517977</v>
      </c>
      <c r="Q86" s="31">
        <f t="shared" si="36"/>
        <v>22.607635647309742</v>
      </c>
      <c r="R86" s="11">
        <v>350.65</v>
      </c>
      <c r="S86" s="11">
        <v>350.65</v>
      </c>
      <c r="T86" s="21">
        <v>99</v>
      </c>
      <c r="U86" s="11">
        <v>3815288.28</v>
      </c>
      <c r="V86" s="11">
        <v>3817958.69</v>
      </c>
    </row>
    <row r="87" spans="1:22">
      <c r="A87" s="19">
        <v>77</v>
      </c>
      <c r="B87" s="33" t="s">
        <v>255</v>
      </c>
      <c r="C87" s="34" t="s">
        <v>256</v>
      </c>
      <c r="D87" s="11">
        <v>1329329145.6099999</v>
      </c>
      <c r="E87" s="11">
        <v>20648103.23</v>
      </c>
      <c r="F87" s="11">
        <v>0</v>
      </c>
      <c r="G87" s="11">
        <v>3235761.98</v>
      </c>
      <c r="H87" s="13">
        <f t="shared" si="32"/>
        <v>17412341.25</v>
      </c>
      <c r="I87" s="11">
        <v>1465644039.71</v>
      </c>
      <c r="J87" s="14">
        <f t="shared" si="25"/>
        <v>6.9960946432144396E-3</v>
      </c>
      <c r="K87" s="11">
        <v>1482491747.71</v>
      </c>
      <c r="L87" s="14">
        <f t="shared" si="26"/>
        <v>7.4182019165767686E-3</v>
      </c>
      <c r="M87" s="14">
        <f t="shared" si="27"/>
        <v>1.1495088536868458E-2</v>
      </c>
      <c r="N87" s="25">
        <f t="shared" si="33"/>
        <v>2.1826509220022779E-3</v>
      </c>
      <c r="O87" s="26">
        <f t="shared" si="34"/>
        <v>1.1745320860569231E-2</v>
      </c>
      <c r="P87" s="31">
        <f t="shared" si="35"/>
        <v>103.09456830187037</v>
      </c>
      <c r="Q87" s="31">
        <f t="shared" si="36"/>
        <v>1.2108787836873374</v>
      </c>
      <c r="R87" s="11">
        <v>103.09</v>
      </c>
      <c r="S87" s="11">
        <v>103.09</v>
      </c>
      <c r="T87" s="21">
        <f>355+16+9</f>
        <v>380</v>
      </c>
      <c r="U87" s="11">
        <v>14385964</v>
      </c>
      <c r="V87" s="11">
        <v>14379921</v>
      </c>
    </row>
    <row r="88" spans="1:22">
      <c r="A88" s="19">
        <v>78</v>
      </c>
      <c r="B88" s="29" t="s">
        <v>123</v>
      </c>
      <c r="C88" s="29" t="s">
        <v>42</v>
      </c>
      <c r="D88" s="11">
        <v>58602519.159999996</v>
      </c>
      <c r="E88" s="11">
        <v>3199649.4</v>
      </c>
      <c r="F88" s="11">
        <v>0</v>
      </c>
      <c r="G88" s="11">
        <v>154080.32000000001</v>
      </c>
      <c r="H88" s="13">
        <f t="shared" si="32"/>
        <v>3045569.08</v>
      </c>
      <c r="I88" s="11">
        <v>50442216.759999998</v>
      </c>
      <c r="J88" s="14">
        <f t="shared" si="25"/>
        <v>2.4078051211965762E-4</v>
      </c>
      <c r="K88" s="11">
        <v>58916191.630000003</v>
      </c>
      <c r="L88" s="14">
        <f t="shared" si="26"/>
        <v>2.9480919967492789E-4</v>
      </c>
      <c r="M88" s="14">
        <f t="shared" si="27"/>
        <v>0.16799370476358116</v>
      </c>
      <c r="N88" s="25">
        <f t="shared" si="33"/>
        <v>2.6152457539625256E-3</v>
      </c>
      <c r="O88" s="26">
        <f t="shared" si="34"/>
        <v>5.1693244178552818E-2</v>
      </c>
      <c r="P88" s="31">
        <f t="shared" si="35"/>
        <v>12.245880464894229</v>
      </c>
      <c r="Q88" s="31">
        <f t="shared" si="36"/>
        <v>0.63302928905314737</v>
      </c>
      <c r="R88" s="11">
        <v>12.16</v>
      </c>
      <c r="S88" s="11">
        <v>12.45</v>
      </c>
      <c r="T88" s="21">
        <v>56</v>
      </c>
      <c r="U88" s="11">
        <v>4810995.95</v>
      </c>
      <c r="V88" s="11">
        <v>4811102.95</v>
      </c>
    </row>
    <row r="89" spans="1:22">
      <c r="A89" s="19">
        <v>79</v>
      </c>
      <c r="B89" s="23" t="s">
        <v>124</v>
      </c>
      <c r="C89" s="23" t="s">
        <v>125</v>
      </c>
      <c r="D89" s="11">
        <v>7513081449.96</v>
      </c>
      <c r="E89" s="11">
        <v>111280277.2</v>
      </c>
      <c r="F89" s="11">
        <v>0</v>
      </c>
      <c r="G89" s="11">
        <v>10994759.41</v>
      </c>
      <c r="H89" s="13">
        <f t="shared" si="32"/>
        <v>100285517.79000001</v>
      </c>
      <c r="I89" s="11">
        <v>7552108275</v>
      </c>
      <c r="J89" s="14">
        <f t="shared" si="25"/>
        <v>3.6049178938534904E-2</v>
      </c>
      <c r="K89" s="11">
        <v>7469583050</v>
      </c>
      <c r="L89" s="14">
        <f t="shared" si="26"/>
        <v>3.7376852439908917E-2</v>
      </c>
      <c r="M89" s="14">
        <f t="shared" si="27"/>
        <v>-1.092744197976955E-2</v>
      </c>
      <c r="N89" s="25">
        <f t="shared" si="33"/>
        <v>1.4719375012504881E-3</v>
      </c>
      <c r="O89" s="26">
        <f t="shared" si="34"/>
        <v>1.3425852168549088E-2</v>
      </c>
      <c r="P89" s="31">
        <f t="shared" si="35"/>
        <v>1.1200000000599766</v>
      </c>
      <c r="Q89" s="31">
        <f t="shared" si="36"/>
        <v>1.5036954429580215E-2</v>
      </c>
      <c r="R89" s="11">
        <v>1.1200000000000001</v>
      </c>
      <c r="S89" s="11">
        <v>1.1200000000000001</v>
      </c>
      <c r="T89" s="21">
        <v>4406</v>
      </c>
      <c r="U89" s="11">
        <v>6803701149</v>
      </c>
      <c r="V89" s="11">
        <v>6669270580</v>
      </c>
    </row>
    <row r="90" spans="1:22">
      <c r="A90" s="19">
        <v>80</v>
      </c>
      <c r="B90" s="29" t="s">
        <v>126</v>
      </c>
      <c r="C90" s="23" t="s">
        <v>46</v>
      </c>
      <c r="D90" s="11">
        <v>9851363885.7099991</v>
      </c>
      <c r="E90" s="11">
        <v>154238439.22999999</v>
      </c>
      <c r="F90" s="11">
        <v>0</v>
      </c>
      <c r="G90" s="11">
        <v>13794464.720000001</v>
      </c>
      <c r="H90" s="13">
        <f t="shared" si="32"/>
        <v>140443974.50999999</v>
      </c>
      <c r="I90" s="21">
        <v>16219034839.18</v>
      </c>
      <c r="J90" s="14">
        <f t="shared" si="25"/>
        <v>7.7419823423801673E-2</v>
      </c>
      <c r="K90" s="11">
        <v>9801819848.5</v>
      </c>
      <c r="L90" s="14">
        <f t="shared" si="26"/>
        <v>4.9047071525626165E-2</v>
      </c>
      <c r="M90" s="14">
        <f t="shared" si="27"/>
        <v>-0.39565948617226354</v>
      </c>
      <c r="N90" s="25">
        <f t="shared" si="33"/>
        <v>1.4073370999683294E-3</v>
      </c>
      <c r="O90" s="26">
        <f t="shared" si="34"/>
        <v>1.4328357048052921E-2</v>
      </c>
      <c r="P90" s="31">
        <f t="shared" si="35"/>
        <v>5166.6786287332288</v>
      </c>
      <c r="Q90" s="31">
        <f t="shared" si="36"/>
        <v>74.030016145034168</v>
      </c>
      <c r="R90" s="11">
        <v>5166.68</v>
      </c>
      <c r="S90" s="11">
        <v>5166.68</v>
      </c>
      <c r="T90" s="21">
        <v>294</v>
      </c>
      <c r="U90" s="11">
        <v>3139566.76</v>
      </c>
      <c r="V90" s="11">
        <v>1897122.03</v>
      </c>
    </row>
    <row r="91" spans="1:22">
      <c r="A91" s="19">
        <v>81</v>
      </c>
      <c r="B91" s="23" t="s">
        <v>127</v>
      </c>
      <c r="C91" s="23" t="s">
        <v>46</v>
      </c>
      <c r="D91" s="11">
        <v>24455716237.040001</v>
      </c>
      <c r="E91" s="11">
        <v>224846960.55000001</v>
      </c>
      <c r="F91" s="11">
        <v>0</v>
      </c>
      <c r="G91" s="11">
        <v>39856062.840000004</v>
      </c>
      <c r="H91" s="13">
        <f t="shared" si="32"/>
        <v>184990897.71000001</v>
      </c>
      <c r="I91" s="21">
        <v>24577348305.490002</v>
      </c>
      <c r="J91" s="14">
        <f t="shared" si="25"/>
        <v>0.1173173363830389</v>
      </c>
      <c r="K91" s="11">
        <v>24303524615.09</v>
      </c>
      <c r="L91" s="14">
        <f t="shared" si="26"/>
        <v>0.12161177501171408</v>
      </c>
      <c r="M91" s="14">
        <f t="shared" si="27"/>
        <v>-1.1141303243801763E-2</v>
      </c>
      <c r="N91" s="25">
        <f t="shared" si="33"/>
        <v>1.6399293300550107E-3</v>
      </c>
      <c r="O91" s="26">
        <f t="shared" si="34"/>
        <v>7.611690100091063E-3</v>
      </c>
      <c r="P91" s="31">
        <f t="shared" si="35"/>
        <v>258.47273484663197</v>
      </c>
      <c r="Q91" s="31">
        <f t="shared" si="36"/>
        <v>1.9674143569755709</v>
      </c>
      <c r="R91" s="11">
        <v>258.47000000000003</v>
      </c>
      <c r="S91" s="11">
        <v>258.47000000000003</v>
      </c>
      <c r="T91" s="21">
        <v>6377</v>
      </c>
      <c r="U91" s="11">
        <v>95097804.939999998</v>
      </c>
      <c r="V91" s="11">
        <v>94027420.840000004</v>
      </c>
    </row>
    <row r="92" spans="1:22">
      <c r="A92" s="19">
        <v>82</v>
      </c>
      <c r="B92" s="29" t="s">
        <v>128</v>
      </c>
      <c r="C92" s="23" t="s">
        <v>46</v>
      </c>
      <c r="D92" s="11">
        <v>379388604.22000003</v>
      </c>
      <c r="E92" s="11">
        <v>10004788.779999999</v>
      </c>
      <c r="F92" s="11">
        <v>-4022819.65</v>
      </c>
      <c r="G92" s="11">
        <v>688988.41</v>
      </c>
      <c r="H92" s="13">
        <f t="shared" si="32"/>
        <v>5292980.7199999988</v>
      </c>
      <c r="I92" s="21">
        <v>373763813.25</v>
      </c>
      <c r="J92" s="14">
        <f t="shared" si="25"/>
        <v>1.7841214789254848E-3</v>
      </c>
      <c r="K92" s="11">
        <v>378253707.86000001</v>
      </c>
      <c r="L92" s="14">
        <f t="shared" si="26"/>
        <v>1.8927338954390011E-3</v>
      </c>
      <c r="M92" s="14">
        <f t="shared" si="27"/>
        <v>1.2012651976548761E-2</v>
      </c>
      <c r="N92" s="25">
        <f t="shared" si="33"/>
        <v>1.8214980995110556E-3</v>
      </c>
      <c r="O92" s="26">
        <f t="shared" si="34"/>
        <v>1.3993202472344427E-2</v>
      </c>
      <c r="P92" s="31">
        <f t="shared" si="35"/>
        <v>6577.2272431037609</v>
      </c>
      <c r="Q92" s="31">
        <f t="shared" si="36"/>
        <v>92.036472519370662</v>
      </c>
      <c r="R92" s="11">
        <v>6561.16</v>
      </c>
      <c r="S92" s="11">
        <v>6588.24</v>
      </c>
      <c r="T92" s="21">
        <v>15</v>
      </c>
      <c r="U92" s="11">
        <v>57509.599999999999</v>
      </c>
      <c r="V92" s="11">
        <v>57509.599999999999</v>
      </c>
    </row>
    <row r="93" spans="1:22">
      <c r="A93" s="19">
        <v>83</v>
      </c>
      <c r="B93" s="23" t="s">
        <v>129</v>
      </c>
      <c r="C93" s="23" t="s">
        <v>46</v>
      </c>
      <c r="D93" s="11">
        <v>8969718901.0900002</v>
      </c>
      <c r="E93" s="11">
        <v>149931377.44999999</v>
      </c>
      <c r="F93" s="11">
        <v>0</v>
      </c>
      <c r="G93" s="11">
        <v>13271604.25</v>
      </c>
      <c r="H93" s="13">
        <f t="shared" si="32"/>
        <v>136659773.19999999</v>
      </c>
      <c r="I93" s="21">
        <v>9800015645.3799992</v>
      </c>
      <c r="J93" s="14">
        <f t="shared" si="25"/>
        <v>4.6779323698288106E-2</v>
      </c>
      <c r="K93" s="11">
        <v>9331056311.1200008</v>
      </c>
      <c r="L93" s="14">
        <f t="shared" si="26"/>
        <v>4.6691430099195845E-2</v>
      </c>
      <c r="M93" s="14">
        <f t="shared" si="27"/>
        <v>-4.785291689621729E-2</v>
      </c>
      <c r="N93" s="25">
        <f t="shared" si="33"/>
        <v>1.4223045931235001E-3</v>
      </c>
      <c r="O93" s="26">
        <f t="shared" si="34"/>
        <v>1.4645691617693904E-2</v>
      </c>
      <c r="P93" s="31">
        <f t="shared" si="35"/>
        <v>136.7152885009456</v>
      </c>
      <c r="Q93" s="31">
        <f t="shared" si="36"/>
        <v>2.0022899548089028</v>
      </c>
      <c r="R93" s="11">
        <v>136.72</v>
      </c>
      <c r="S93" s="11">
        <v>136.72</v>
      </c>
      <c r="T93" s="21">
        <v>4449</v>
      </c>
      <c r="U93" s="11">
        <v>71952269.269999996</v>
      </c>
      <c r="V93" s="11">
        <v>68251739.900000006</v>
      </c>
    </row>
    <row r="94" spans="1:22">
      <c r="A94" s="19">
        <v>84</v>
      </c>
      <c r="B94" s="23" t="s">
        <v>130</v>
      </c>
      <c r="C94" s="23" t="s">
        <v>46</v>
      </c>
      <c r="D94" s="11">
        <v>8058439823.1700001</v>
      </c>
      <c r="E94" s="11">
        <v>64442155.539999999</v>
      </c>
      <c r="F94" s="11">
        <v>51352226.549999997</v>
      </c>
      <c r="G94" s="11">
        <v>13891957.66</v>
      </c>
      <c r="H94" s="13">
        <f t="shared" si="32"/>
        <v>101902424.43000001</v>
      </c>
      <c r="I94" s="21">
        <v>8287226392.4399996</v>
      </c>
      <c r="J94" s="14">
        <f t="shared" si="25"/>
        <v>3.9558186435723286E-2</v>
      </c>
      <c r="K94" s="11">
        <v>8039982228.29</v>
      </c>
      <c r="L94" s="14">
        <f t="shared" si="26"/>
        <v>4.0231058059697913E-2</v>
      </c>
      <c r="M94" s="14">
        <f t="shared" si="27"/>
        <v>-2.983436827254381E-2</v>
      </c>
      <c r="N94" s="25">
        <f t="shared" si="33"/>
        <v>1.7278592496285455E-3</v>
      </c>
      <c r="O94" s="26">
        <f t="shared" si="34"/>
        <v>1.2674458915025902E-2</v>
      </c>
      <c r="P94" s="31">
        <f t="shared" si="35"/>
        <v>346.86491437107912</v>
      </c>
      <c r="Q94" s="31">
        <f t="shared" si="36"/>
        <v>4.3963251062602202</v>
      </c>
      <c r="R94" s="11">
        <v>356.85</v>
      </c>
      <c r="S94" s="11">
        <v>357.38</v>
      </c>
      <c r="T94" s="21">
        <v>10187</v>
      </c>
      <c r="U94" s="11">
        <v>23179001.09</v>
      </c>
      <c r="V94" s="11">
        <v>23179001.09</v>
      </c>
    </row>
    <row r="95" spans="1:22">
      <c r="A95" s="19">
        <v>85</v>
      </c>
      <c r="B95" s="23" t="s">
        <v>131</v>
      </c>
      <c r="C95" s="23" t="s">
        <v>50</v>
      </c>
      <c r="D95" s="11">
        <v>82786986525</v>
      </c>
      <c r="E95" s="11">
        <v>691792581</v>
      </c>
      <c r="F95" s="11">
        <v>0</v>
      </c>
      <c r="G95" s="11">
        <v>129954931</v>
      </c>
      <c r="H95" s="13">
        <f t="shared" si="32"/>
        <v>561837650</v>
      </c>
      <c r="I95" s="20">
        <v>87437575888</v>
      </c>
      <c r="J95" s="14">
        <f t="shared" si="25"/>
        <v>0.41737389141686221</v>
      </c>
      <c r="K95" s="11">
        <v>87404044298</v>
      </c>
      <c r="L95" s="14">
        <f t="shared" si="26"/>
        <v>0.4373588250521705</v>
      </c>
      <c r="M95" s="14">
        <f t="shared" si="27"/>
        <v>-3.8349176151625106E-4</v>
      </c>
      <c r="N95" s="25">
        <f t="shared" si="33"/>
        <v>1.4868297233126277E-3</v>
      </c>
      <c r="O95" s="26">
        <f t="shared" si="34"/>
        <v>6.4280509501876233E-3</v>
      </c>
      <c r="P95" s="31">
        <f t="shared" si="35"/>
        <v>1.9499549866335724</v>
      </c>
      <c r="Q95" s="31">
        <f t="shared" si="36"/>
        <v>1.2534410004653029E-2</v>
      </c>
      <c r="R95" s="11">
        <v>1.95</v>
      </c>
      <c r="S95" s="11">
        <v>1.95</v>
      </c>
      <c r="T95" s="21">
        <v>1467</v>
      </c>
      <c r="U95" s="11">
        <v>44841492302</v>
      </c>
      <c r="V95" s="11">
        <v>44823621518</v>
      </c>
    </row>
    <row r="96" spans="1:22">
      <c r="A96" s="19">
        <v>86</v>
      </c>
      <c r="B96" s="33" t="s">
        <v>249</v>
      </c>
      <c r="C96" s="33" t="s">
        <v>250</v>
      </c>
      <c r="D96" s="11">
        <v>82359774.909999996</v>
      </c>
      <c r="E96" s="11">
        <v>994049.87</v>
      </c>
      <c r="F96" s="11">
        <v>0</v>
      </c>
      <c r="G96" s="11">
        <v>417214.93</v>
      </c>
      <c r="H96" s="13">
        <f t="shared" si="32"/>
        <v>576834.93999999994</v>
      </c>
      <c r="I96" s="21">
        <v>88536178.260000005</v>
      </c>
      <c r="J96" s="14">
        <f t="shared" si="25"/>
        <v>4.2261795202198205E-4</v>
      </c>
      <c r="K96" s="11">
        <v>89236775.290000007</v>
      </c>
      <c r="L96" s="14">
        <f t="shared" si="26"/>
        <v>4.4652958001821004E-4</v>
      </c>
      <c r="M96" s="14">
        <f t="shared" si="27"/>
        <v>7.9131157880182167E-3</v>
      </c>
      <c r="N96" s="25">
        <f t="shared" si="33"/>
        <v>4.6753698645445527E-3</v>
      </c>
      <c r="O96" s="26">
        <f t="shared" si="34"/>
        <v>6.4640944064306731E-3</v>
      </c>
      <c r="P96" s="31">
        <f t="shared" si="35"/>
        <v>109.37485365804572</v>
      </c>
      <c r="Q96" s="31">
        <f t="shared" si="36"/>
        <v>0.70700937973514677</v>
      </c>
      <c r="R96" s="11">
        <v>109.3749</v>
      </c>
      <c r="S96" s="11">
        <v>109.3749</v>
      </c>
      <c r="T96" s="21">
        <v>55</v>
      </c>
      <c r="U96" s="11">
        <v>815000.05</v>
      </c>
      <c r="V96" s="11">
        <v>815880.18</v>
      </c>
    </row>
    <row r="97" spans="1:24">
      <c r="A97" s="19">
        <v>87</v>
      </c>
      <c r="B97" s="29" t="s">
        <v>132</v>
      </c>
      <c r="C97" s="29" t="s">
        <v>97</v>
      </c>
      <c r="D97" s="11">
        <v>2073101623.52</v>
      </c>
      <c r="E97" s="11">
        <v>2937861.29</v>
      </c>
      <c r="F97" s="11">
        <v>0</v>
      </c>
      <c r="G97" s="11">
        <v>3682086.45</v>
      </c>
      <c r="H97" s="13">
        <f t="shared" si="32"/>
        <v>-744225.16000000015</v>
      </c>
      <c r="I97" s="20">
        <v>2350395058.9200001</v>
      </c>
      <c r="J97" s="14">
        <f t="shared" si="25"/>
        <v>1.121935874989231E-2</v>
      </c>
      <c r="K97" s="11">
        <v>2093976408.5</v>
      </c>
      <c r="L97" s="14">
        <f t="shared" si="26"/>
        <v>1.0477994114163431E-2</v>
      </c>
      <c r="M97" s="14">
        <f t="shared" si="27"/>
        <v>-0.10909597918310113</v>
      </c>
      <c r="N97" s="25">
        <f t="shared" si="33"/>
        <v>1.7584183064591581E-3</v>
      </c>
      <c r="O97" s="26">
        <f t="shared" si="34"/>
        <v>-3.5541239002454602E-4</v>
      </c>
      <c r="P97" s="31">
        <f t="shared" si="35"/>
        <v>27.874483422446282</v>
      </c>
      <c r="Q97" s="31">
        <f t="shared" si="36"/>
        <v>-9.9069367738712204E-3</v>
      </c>
      <c r="R97" s="11">
        <v>27.873799999999999</v>
      </c>
      <c r="S97" s="11">
        <v>27.873799999999999</v>
      </c>
      <c r="T97" s="20">
        <v>1304</v>
      </c>
      <c r="U97" s="11">
        <v>84979526.129999995</v>
      </c>
      <c r="V97" s="11">
        <v>75121622.049999997</v>
      </c>
    </row>
    <row r="98" spans="1:24">
      <c r="A98" s="101" t="s">
        <v>51</v>
      </c>
      <c r="B98" s="101"/>
      <c r="C98" s="101"/>
      <c r="D98" s="101"/>
      <c r="E98" s="101"/>
      <c r="F98" s="101"/>
      <c r="G98" s="101"/>
      <c r="H98" s="101"/>
      <c r="I98" s="58">
        <f>SUM(I64:I97)</f>
        <v>209494598694.65005</v>
      </c>
      <c r="J98" s="56">
        <f>(I98/$I$201)</f>
        <v>5.5936898043789832E-2</v>
      </c>
      <c r="K98" s="58">
        <f>SUM(K64:K97)</f>
        <v>199845159835.45999</v>
      </c>
      <c r="L98" s="56">
        <f>(K98/$K$201)</f>
        <v>5.2059485642201142E-2</v>
      </c>
      <c r="M98" s="56">
        <f t="shared" si="27"/>
        <v>-4.6060561557745239E-2</v>
      </c>
      <c r="N98" s="25"/>
      <c r="O98" s="25"/>
      <c r="P98" s="59"/>
      <c r="Q98" s="59"/>
      <c r="R98" s="58"/>
      <c r="S98" s="58"/>
      <c r="T98" s="58">
        <f>SUM(T64:T97)</f>
        <v>44929</v>
      </c>
      <c r="U98" s="58"/>
      <c r="V98" s="11"/>
    </row>
    <row r="99" spans="1:24" ht="6.9" customHeight="1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5"/>
    </row>
    <row r="100" spans="1:24">
      <c r="A100" s="100" t="s">
        <v>133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</row>
    <row r="101" spans="1:24">
      <c r="A101" s="104" t="s">
        <v>134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</row>
    <row r="102" spans="1:24">
      <c r="A102" s="38">
        <v>88</v>
      </c>
      <c r="B102" s="23" t="s">
        <v>135</v>
      </c>
      <c r="C102" s="23" t="s">
        <v>22</v>
      </c>
      <c r="D102" s="21">
        <f>1758426.83*1663.89</f>
        <v>2925828818.1687002</v>
      </c>
      <c r="E102" s="21">
        <f>11396.52*1663.89</f>
        <v>18962555.662800003</v>
      </c>
      <c r="F102" s="21">
        <f>101525.8*1663.89</f>
        <v>168927763.36200002</v>
      </c>
      <c r="G102" s="21">
        <f>3384.68*1663.89</f>
        <v>5631735.2051999997</v>
      </c>
      <c r="H102" s="13">
        <f>(E102+F102)-G102</f>
        <v>182258583.81960005</v>
      </c>
      <c r="I102" s="46">
        <f>1736080.09*1670.47</f>
        <v>2900069707.9423003</v>
      </c>
      <c r="J102" s="14">
        <f t="shared" ref="J102:J116" si="37">(I102/$I$132)</f>
        <v>1.6234034234951474E-3</v>
      </c>
      <c r="K102" s="46">
        <f>1755284.16*1663.89</f>
        <v>2920599760.9823999</v>
      </c>
      <c r="L102" s="14">
        <f t="shared" ref="L102:L116" si="38">(K102/$K$132)</f>
        <v>1.6104198673627039E-3</v>
      </c>
      <c r="M102" s="14">
        <f t="shared" ref="M102:M116" si="39">((K102-I102)/I102)</f>
        <v>7.0791584712170258E-3</v>
      </c>
      <c r="N102" s="25">
        <f t="shared" ref="N102" si="40">(G102/K102)</f>
        <v>1.928280375981972E-3</v>
      </c>
      <c r="O102" s="26">
        <f t="shared" ref="O102" si="41">H102/K102</f>
        <v>6.2404505490438668E-2</v>
      </c>
      <c r="P102" s="31">
        <f t="shared" ref="P102" si="42">K102/V102</f>
        <v>185547.41198519737</v>
      </c>
      <c r="Q102" s="31">
        <f t="shared" ref="Q102" si="43">H102/V102</f>
        <v>11578.994489966935</v>
      </c>
      <c r="R102" s="11">
        <f>111.5142*1663.89</f>
        <v>185547.362238</v>
      </c>
      <c r="S102" s="11">
        <f>111.5142 *1663.89</f>
        <v>185547.362238</v>
      </c>
      <c r="T102" s="11">
        <v>253</v>
      </c>
      <c r="U102" s="11">
        <v>15641.24</v>
      </c>
      <c r="V102" s="11">
        <v>15740.45</v>
      </c>
    </row>
    <row r="103" spans="1:24">
      <c r="A103" s="38">
        <v>89</v>
      </c>
      <c r="B103" s="33" t="s">
        <v>238</v>
      </c>
      <c r="C103" s="34" t="s">
        <v>55</v>
      </c>
      <c r="D103" s="21">
        <f>1213536.38*1663.89</f>
        <v>2019191047.3181999</v>
      </c>
      <c r="E103" s="21">
        <f>8669.21*1663.89</f>
        <v>14424611.8269</v>
      </c>
      <c r="F103" s="21">
        <v>0</v>
      </c>
      <c r="G103" s="21">
        <f>2302.23*1663.89</f>
        <v>3830657.4747000001</v>
      </c>
      <c r="H103" s="13">
        <f t="shared" ref="H103:H116" si="44">(E103+F103)-G103</f>
        <v>10593954.3522</v>
      </c>
      <c r="I103" s="46">
        <f>1138378.83*1670.47</f>
        <v>1901627684.1501002</v>
      </c>
      <c r="J103" s="14">
        <f t="shared" si="37"/>
        <v>1.0644947203192685E-3</v>
      </c>
      <c r="K103" s="46">
        <f>1223067.19*1663.89</f>
        <v>2035049266.7691</v>
      </c>
      <c r="L103" s="14">
        <f t="shared" si="38"/>
        <v>1.1221269733873033E-3</v>
      </c>
      <c r="M103" s="14">
        <f t="shared" si="39"/>
        <v>7.0161779685401562E-2</v>
      </c>
      <c r="N103" s="25">
        <f t="shared" ref="N103:N116" si="45">(G103/K103)</f>
        <v>1.8823413945067075E-3</v>
      </c>
      <c r="O103" s="26">
        <f t="shared" ref="O103:O116" si="46">H103/K103</f>
        <v>5.2057483448640302E-3</v>
      </c>
      <c r="P103" s="31">
        <f t="shared" ref="P103:P116" si="47">K103/V103</f>
        <v>176991.58695156549</v>
      </c>
      <c r="Q103" s="31">
        <f t="shared" ref="Q103:Q116" si="48">H103/V103</f>
        <v>921.37366082797007</v>
      </c>
      <c r="R103" s="11">
        <v>1663.89</v>
      </c>
      <c r="S103" s="11">
        <v>1663.89</v>
      </c>
      <c r="T103" s="11">
        <v>32</v>
      </c>
      <c r="U103" s="11">
        <v>10941.8</v>
      </c>
      <c r="V103" s="11">
        <v>11498</v>
      </c>
    </row>
    <row r="104" spans="1:24" ht="12.9" customHeight="1">
      <c r="A104" s="38">
        <v>90</v>
      </c>
      <c r="B104" s="23" t="s">
        <v>136</v>
      </c>
      <c r="C104" s="29" t="s">
        <v>26</v>
      </c>
      <c r="D104" s="21">
        <f>8768654.39*1663.89</f>
        <v>14590076352.977102</v>
      </c>
      <c r="E104" s="21">
        <f>67356.74*1663.89</f>
        <v>112074206.11860001</v>
      </c>
      <c r="F104" s="21">
        <f>210*1663.89</f>
        <v>349416.9</v>
      </c>
      <c r="G104" s="21">
        <f>15240.05*1663.89</f>
        <v>25357766.794500001</v>
      </c>
      <c r="H104" s="13">
        <f t="shared" si="44"/>
        <v>87065856.224100024</v>
      </c>
      <c r="I104" s="46">
        <f>9629688*1670.47</f>
        <v>16086104913.360001</v>
      </c>
      <c r="J104" s="14">
        <f t="shared" si="37"/>
        <v>9.0046931339383875E-3</v>
      </c>
      <c r="K104" s="46">
        <f>9705240*1663.89</f>
        <v>16148451783.6</v>
      </c>
      <c r="L104" s="14">
        <f t="shared" si="38"/>
        <v>8.9042627226370054E-3</v>
      </c>
      <c r="M104" s="14">
        <f t="shared" si="39"/>
        <v>3.8758214356925396E-3</v>
      </c>
      <c r="N104" s="25">
        <f t="shared" si="45"/>
        <v>1.5702908944034357E-3</v>
      </c>
      <c r="O104" s="26">
        <f t="shared" si="46"/>
        <v>5.3915915526045735E-3</v>
      </c>
      <c r="P104" s="31">
        <f t="shared" si="47"/>
        <v>1922.3299233922721</v>
      </c>
      <c r="Q104" s="31">
        <f t="shared" si="48"/>
        <v>10.364417776280773</v>
      </c>
      <c r="R104" s="11">
        <v>1.1553</v>
      </c>
      <c r="S104" s="11">
        <v>1.1553</v>
      </c>
      <c r="T104" s="11">
        <v>300</v>
      </c>
      <c r="U104" s="11">
        <v>8369187</v>
      </c>
      <c r="V104" s="11">
        <v>8400458</v>
      </c>
    </row>
    <row r="105" spans="1:24" ht="12.9" customHeight="1">
      <c r="A105" s="38">
        <v>91</v>
      </c>
      <c r="B105" s="33" t="s">
        <v>243</v>
      </c>
      <c r="C105" s="34" t="s">
        <v>106</v>
      </c>
      <c r="D105" s="21">
        <f>2949427.24*1663.89</f>
        <v>4907522490.3636007</v>
      </c>
      <c r="E105" s="21">
        <f>25655.66*1663.89</f>
        <v>42688196.117400005</v>
      </c>
      <c r="F105" s="21">
        <v>0</v>
      </c>
      <c r="G105" s="21">
        <f>3774.3*1663.89</f>
        <v>6280020.0270000007</v>
      </c>
      <c r="H105" s="13">
        <f t="shared" si="44"/>
        <v>36408176.090400003</v>
      </c>
      <c r="I105" s="46">
        <f>2328239.6*1670.47</f>
        <v>3889254404.612</v>
      </c>
      <c r="J105" s="14">
        <f t="shared" si="37"/>
        <v>2.1771300524257337E-3</v>
      </c>
      <c r="K105" s="46">
        <f>2982464.05*1663.89</f>
        <v>4962492108.1545</v>
      </c>
      <c r="L105" s="14">
        <f t="shared" si="38"/>
        <v>2.7363201180001721E-3</v>
      </c>
      <c r="M105" s="14">
        <f t="shared" si="39"/>
        <v>0.27594947305833761</v>
      </c>
      <c r="N105" s="25">
        <f t="shared" si="45"/>
        <v>1.2654972320621939E-3</v>
      </c>
      <c r="O105" s="26">
        <f t="shared" si="46"/>
        <v>7.3366718368323676E-3</v>
      </c>
      <c r="P105" s="31">
        <f t="shared" si="47"/>
        <v>1765.8139065933735</v>
      </c>
      <c r="Q105" s="31">
        <f t="shared" si="48"/>
        <v>12.955197157590545</v>
      </c>
      <c r="R105" s="11">
        <f>1.0613*1663.89</f>
        <v>1765.8864570000001</v>
      </c>
      <c r="S105" s="11">
        <f>1.0613*1663.89</f>
        <v>1765.8864570000001</v>
      </c>
      <c r="T105" s="11">
        <v>288</v>
      </c>
      <c r="U105" s="11">
        <v>2212734.52</v>
      </c>
      <c r="V105" s="11">
        <v>2810314.32</v>
      </c>
    </row>
    <row r="106" spans="1:24" ht="12.9" customHeight="1">
      <c r="A106" s="38">
        <v>92</v>
      </c>
      <c r="B106" s="33" t="s">
        <v>244</v>
      </c>
      <c r="C106" s="34" t="s">
        <v>222</v>
      </c>
      <c r="D106" s="21">
        <f>409198*1663.89</f>
        <v>680860460.22000003</v>
      </c>
      <c r="E106" s="21">
        <f>4646.09*1663.89</f>
        <v>7730582.6901000012</v>
      </c>
      <c r="F106" s="21">
        <v>0</v>
      </c>
      <c r="G106" s="21">
        <f>861.07*1663.89</f>
        <v>1432725.7623000001</v>
      </c>
      <c r="H106" s="13">
        <f t="shared" si="44"/>
        <v>6297856.9278000016</v>
      </c>
      <c r="I106" s="46">
        <f>391669.39*1670.47</f>
        <v>654271965.91330004</v>
      </c>
      <c r="J106" s="14">
        <f t="shared" si="37"/>
        <v>3.6624890307005136E-4</v>
      </c>
      <c r="K106" s="46">
        <f>391669.39*1663.89</f>
        <v>651694781.32710004</v>
      </c>
      <c r="L106" s="14">
        <f t="shared" si="38"/>
        <v>3.5934476107494254E-4</v>
      </c>
      <c r="M106" s="14">
        <f t="shared" si="39"/>
        <v>-3.939011176495236E-3</v>
      </c>
      <c r="N106" s="25">
        <f t="shared" si="45"/>
        <v>2.1984613094222145E-3</v>
      </c>
      <c r="O106" s="26">
        <f t="shared" si="46"/>
        <v>9.6638136567169589E-3</v>
      </c>
      <c r="P106" s="31">
        <f t="shared" si="47"/>
        <v>1772.775144147196</v>
      </c>
      <c r="Q106" s="31">
        <f t="shared" si="48"/>
        <v>17.131768648298049</v>
      </c>
      <c r="R106" s="11">
        <v>1</v>
      </c>
      <c r="S106" s="11">
        <v>1</v>
      </c>
      <c r="T106" s="11">
        <v>15</v>
      </c>
      <c r="U106" s="11">
        <v>367612.77</v>
      </c>
      <c r="V106" s="11">
        <v>367612.77</v>
      </c>
    </row>
    <row r="107" spans="1:24" ht="12.9" customHeight="1">
      <c r="A107" s="38">
        <v>93</v>
      </c>
      <c r="B107" s="33" t="s">
        <v>245</v>
      </c>
      <c r="C107" s="34" t="s">
        <v>48</v>
      </c>
      <c r="D107" s="21">
        <f>388986.11*1663.89</f>
        <v>647230098.56790006</v>
      </c>
      <c r="E107" s="21">
        <f>3128.48*1663.89</f>
        <v>5205446.5872</v>
      </c>
      <c r="F107" s="21">
        <v>0</v>
      </c>
      <c r="G107" s="21">
        <f>556.04*1663.89</f>
        <v>925189.39560000005</v>
      </c>
      <c r="H107" s="13">
        <f t="shared" si="44"/>
        <v>4280257.1915999996</v>
      </c>
      <c r="I107" s="46">
        <f>391611.12*1670.47</f>
        <v>654174627.62639999</v>
      </c>
      <c r="J107" s="14">
        <f t="shared" si="37"/>
        <v>3.6619441496317658E-4</v>
      </c>
      <c r="K107" s="46">
        <f>400363.21*1663.89</f>
        <v>666160341.48690009</v>
      </c>
      <c r="L107" s="14">
        <f t="shared" si="38"/>
        <v>3.6732107668829329E-4</v>
      </c>
      <c r="M107" s="14">
        <f t="shared" si="39"/>
        <v>1.8321887389593401E-2</v>
      </c>
      <c r="N107" s="25">
        <f t="shared" si="45"/>
        <v>1.3888388995582286E-3</v>
      </c>
      <c r="O107" s="26">
        <f t="shared" si="46"/>
        <v>6.4252656981144685E-3</v>
      </c>
      <c r="P107" s="31">
        <f t="shared" si="47"/>
        <v>1969.8019296423047</v>
      </c>
      <c r="Q107" s="31">
        <f t="shared" si="48"/>
        <v>12.656500770610389</v>
      </c>
      <c r="R107" s="11">
        <f>1.1831*1663.89</f>
        <v>1968.5482590000001</v>
      </c>
      <c r="S107" s="11">
        <f>1.1831*1663.89</f>
        <v>1968.5482590000001</v>
      </c>
      <c r="T107" s="11">
        <v>36</v>
      </c>
      <c r="U107" s="11">
        <v>332932.65999999997</v>
      </c>
      <c r="V107" s="11">
        <v>338186.46</v>
      </c>
    </row>
    <row r="108" spans="1:24" ht="12.9" customHeight="1">
      <c r="A108" s="38">
        <v>94</v>
      </c>
      <c r="B108" s="33" t="s">
        <v>246</v>
      </c>
      <c r="C108" s="34" t="s">
        <v>174</v>
      </c>
      <c r="D108" s="21">
        <f>327150.69*1663.89</f>
        <v>544342761.58410001</v>
      </c>
      <c r="E108" s="21">
        <f>2451.78*1663.89</f>
        <v>4079492.2242000005</v>
      </c>
      <c r="F108" s="21">
        <v>0</v>
      </c>
      <c r="G108" s="21">
        <f>883.35*1663.89</f>
        <v>1469797.2315000002</v>
      </c>
      <c r="H108" s="13">
        <f t="shared" si="44"/>
        <v>2609694.9927000003</v>
      </c>
      <c r="I108" s="46">
        <f>407771.37*1670.47</f>
        <v>681169840.44389999</v>
      </c>
      <c r="J108" s="14">
        <f t="shared" si="37"/>
        <v>3.8130581755666952E-4</v>
      </c>
      <c r="K108" s="46">
        <f>410854.3*1663.89</f>
        <v>683616361.227</v>
      </c>
      <c r="L108" s="14">
        <f t="shared" si="38"/>
        <v>3.7694633290110503E-4</v>
      </c>
      <c r="M108" s="14">
        <f t="shared" si="39"/>
        <v>3.5916457803030115E-3</v>
      </c>
      <c r="N108" s="25">
        <f t="shared" si="45"/>
        <v>2.1500322620452072E-3</v>
      </c>
      <c r="O108" s="26">
        <f t="shared" si="46"/>
        <v>3.8174846898280002E-3</v>
      </c>
      <c r="P108" s="31">
        <f t="shared" si="47"/>
        <v>180421.31465479019</v>
      </c>
      <c r="Q108" s="31">
        <f t="shared" si="48"/>
        <v>688.75560641330173</v>
      </c>
      <c r="R108" s="11">
        <f>106.83*1663.89</f>
        <v>177753.36870000002</v>
      </c>
      <c r="S108" s="11">
        <f>106.83*1663.89</f>
        <v>177753.36870000002</v>
      </c>
      <c r="T108" s="11">
        <v>46</v>
      </c>
      <c r="U108" s="11">
        <v>3783.53</v>
      </c>
      <c r="V108" s="11">
        <v>3789</v>
      </c>
    </row>
    <row r="109" spans="1:24" ht="15" customHeight="1">
      <c r="A109" s="38">
        <v>95</v>
      </c>
      <c r="B109" s="23" t="s">
        <v>137</v>
      </c>
      <c r="C109" s="29" t="s">
        <v>71</v>
      </c>
      <c r="D109" s="21">
        <f>584930.97*1663.89</f>
        <v>973260791.67330003</v>
      </c>
      <c r="E109" s="21">
        <f>22283.21*1663.89</f>
        <v>37076810.286899999</v>
      </c>
      <c r="F109" s="21">
        <v>0</v>
      </c>
      <c r="G109" s="21">
        <f>5929.38*1663.89</f>
        <v>9865836.088200001</v>
      </c>
      <c r="H109" s="13">
        <f t="shared" si="44"/>
        <v>27210974.198699996</v>
      </c>
      <c r="I109" s="21">
        <f>3178282.87*1670.47</f>
        <v>5309226185.8488998</v>
      </c>
      <c r="J109" s="14">
        <f t="shared" si="37"/>
        <v>2.9720030324142375E-3</v>
      </c>
      <c r="K109" s="46">
        <f>3201538.94*1663.89</f>
        <v>5327008626.8766003</v>
      </c>
      <c r="L109" s="14">
        <f t="shared" si="38"/>
        <v>2.9373146710965203E-3</v>
      </c>
      <c r="M109" s="14">
        <f t="shared" si="39"/>
        <v>3.349347043284268E-3</v>
      </c>
      <c r="N109" s="25">
        <f t="shared" si="45"/>
        <v>1.8520405689646244E-3</v>
      </c>
      <c r="O109" s="26">
        <f t="shared" si="46"/>
        <v>5.1081152865815205E-3</v>
      </c>
      <c r="P109" s="31">
        <f t="shared" si="47"/>
        <v>184520.61355088511</v>
      </c>
      <c r="Q109" s="31">
        <f t="shared" si="48"/>
        <v>942.55256676867748</v>
      </c>
      <c r="R109" s="11">
        <f>110.74*1663.89</f>
        <v>184259.17860000001</v>
      </c>
      <c r="S109" s="11">
        <f>110.74*1663.89</f>
        <v>184259.17860000001</v>
      </c>
      <c r="T109" s="11">
        <v>55</v>
      </c>
      <c r="U109" s="11">
        <v>28805.919999999998</v>
      </c>
      <c r="V109" s="11">
        <v>28869.45</v>
      </c>
    </row>
    <row r="110" spans="1:24" ht="15" customHeight="1">
      <c r="A110" s="38">
        <v>96</v>
      </c>
      <c r="B110" s="23" t="s">
        <v>138</v>
      </c>
      <c r="C110" s="23" t="s">
        <v>139</v>
      </c>
      <c r="D110" s="21">
        <v>57366443382.339996</v>
      </c>
      <c r="E110" s="21">
        <v>406688740.68000001</v>
      </c>
      <c r="F110" s="21">
        <v>0</v>
      </c>
      <c r="G110" s="21">
        <v>89709058.150000006</v>
      </c>
      <c r="H110" s="13">
        <f t="shared" si="44"/>
        <v>316979682.52999997</v>
      </c>
      <c r="I110" s="20">
        <v>56050988816.559998</v>
      </c>
      <c r="J110" s="14">
        <f t="shared" si="37"/>
        <v>3.1376268951705533E-2</v>
      </c>
      <c r="K110" s="46">
        <v>57014777725.089996</v>
      </c>
      <c r="L110" s="14">
        <f t="shared" si="38"/>
        <v>3.1437971066213065E-2</v>
      </c>
      <c r="M110" s="14">
        <f t="shared" si="39"/>
        <v>1.7194860052946147E-2</v>
      </c>
      <c r="N110" s="25">
        <f t="shared" si="45"/>
        <v>1.573435199248747E-3</v>
      </c>
      <c r="O110" s="26">
        <f t="shared" si="46"/>
        <v>5.5596056878164319E-3</v>
      </c>
      <c r="P110" s="31">
        <f t="shared" si="47"/>
        <v>210578.56321108167</v>
      </c>
      <c r="Q110" s="31">
        <f t="shared" si="48"/>
        <v>1170.7337777605419</v>
      </c>
      <c r="R110" s="11">
        <f>125.54*1677.39</f>
        <v>210579.54060000004</v>
      </c>
      <c r="S110" s="11">
        <f>125.54*1677.39</f>
        <v>210579.54060000004</v>
      </c>
      <c r="T110" s="11">
        <v>2239</v>
      </c>
      <c r="U110" s="11">
        <v>273118</v>
      </c>
      <c r="V110" s="11">
        <v>270753</v>
      </c>
    </row>
    <row r="111" spans="1:24">
      <c r="A111" s="38">
        <v>97</v>
      </c>
      <c r="B111" s="23" t="s">
        <v>140</v>
      </c>
      <c r="C111" s="23" t="s">
        <v>139</v>
      </c>
      <c r="D111" s="21">
        <v>108140840928.34</v>
      </c>
      <c r="E111" s="21">
        <v>825649980.91999996</v>
      </c>
      <c r="F111" s="21">
        <v>0</v>
      </c>
      <c r="G111" s="21">
        <v>167845032.12</v>
      </c>
      <c r="H111" s="13">
        <f t="shared" si="44"/>
        <v>657804948.79999995</v>
      </c>
      <c r="I111" s="79">
        <v>102844062374.39</v>
      </c>
      <c r="J111" s="14">
        <f t="shared" si="37"/>
        <v>5.7570134430732445E-2</v>
      </c>
      <c r="K111" s="46">
        <v>106781071427.57001</v>
      </c>
      <c r="L111" s="14">
        <f t="shared" si="38"/>
        <v>5.8879125165507737E-2</v>
      </c>
      <c r="M111" s="14">
        <f t="shared" si="39"/>
        <v>3.8281345196651752E-2</v>
      </c>
      <c r="N111" s="25">
        <f t="shared" si="45"/>
        <v>1.5718612847394954E-3</v>
      </c>
      <c r="O111" s="26">
        <f t="shared" si="46"/>
        <v>6.1603141830824529E-3</v>
      </c>
      <c r="P111" s="31">
        <f t="shared" si="47"/>
        <v>197986.90871995833</v>
      </c>
      <c r="Q111" s="31">
        <f t="shared" si="48"/>
        <v>1219.6615618522103</v>
      </c>
      <c r="R111" s="11">
        <f>117.85*1663.89</f>
        <v>196089.43650000001</v>
      </c>
      <c r="S111" s="11">
        <f>151.44*1663.89</f>
        <v>251979.50160000002</v>
      </c>
      <c r="T111" s="11">
        <v>600</v>
      </c>
      <c r="U111" s="11">
        <v>535968</v>
      </c>
      <c r="V111" s="11">
        <v>539334</v>
      </c>
    </row>
    <row r="112" spans="1:24" s="3" customFormat="1">
      <c r="A112" s="38">
        <v>98</v>
      </c>
      <c r="B112" s="33" t="s">
        <v>141</v>
      </c>
      <c r="C112" s="34" t="s">
        <v>142</v>
      </c>
      <c r="D112" s="21">
        <f>133817.76*1663.89</f>
        <v>222658032.68640003</v>
      </c>
      <c r="E112" s="21">
        <f>456.93*1663.89</f>
        <v>760281.25770000007</v>
      </c>
      <c r="F112" s="21">
        <v>0</v>
      </c>
      <c r="G112" s="21">
        <f>135.48*1663.89</f>
        <v>225423.81719999999</v>
      </c>
      <c r="H112" s="13">
        <f t="shared" si="44"/>
        <v>534857.44050000003</v>
      </c>
      <c r="I112" s="46">
        <f>118529.59*1670.47</f>
        <v>198000124.20730001</v>
      </c>
      <c r="J112" s="14">
        <f t="shared" si="37"/>
        <v>1.1083667354970713E-4</v>
      </c>
      <c r="K112" s="46">
        <f>129590.45*1663.89</f>
        <v>215624253.85050002</v>
      </c>
      <c r="L112" s="14">
        <f t="shared" si="38"/>
        <v>1.1889529915228833E-4</v>
      </c>
      <c r="M112" s="14">
        <f t="shared" si="39"/>
        <v>8.9010699936471205E-2</v>
      </c>
      <c r="N112" s="25">
        <f t="shared" si="45"/>
        <v>1.0454474075828888E-3</v>
      </c>
      <c r="O112" s="26">
        <f t="shared" si="46"/>
        <v>2.4805068583371691E-3</v>
      </c>
      <c r="P112" s="31">
        <f t="shared" si="47"/>
        <v>186450.36520662016</v>
      </c>
      <c r="Q112" s="31">
        <f t="shared" si="48"/>
        <v>462.49140963449116</v>
      </c>
      <c r="R112" s="11">
        <f>112.0573*1663.89</f>
        <v>186451.02089700001</v>
      </c>
      <c r="S112" s="11">
        <f>112.0573*1663.89</f>
        <v>186451.02089700001</v>
      </c>
      <c r="T112" s="11">
        <v>7</v>
      </c>
      <c r="U112" s="11">
        <v>1110.95</v>
      </c>
      <c r="V112" s="11">
        <v>1156.47</v>
      </c>
      <c r="W112" s="6"/>
      <c r="X112" s="6"/>
    </row>
    <row r="113" spans="1:22">
      <c r="A113" s="38">
        <v>99</v>
      </c>
      <c r="B113" s="23" t="s">
        <v>143</v>
      </c>
      <c r="C113" s="23" t="s">
        <v>144</v>
      </c>
      <c r="D113" s="21">
        <f>10466443.18*1663.89</f>
        <v>17415010142.770199</v>
      </c>
      <c r="E113" s="21">
        <f>117684.52*1663.89</f>
        <v>195814095.98280001</v>
      </c>
      <c r="F113" s="21">
        <v>0</v>
      </c>
      <c r="G113" s="21">
        <f>16465.03*1663.89</f>
        <v>27395998.7667</v>
      </c>
      <c r="H113" s="13">
        <f t="shared" si="44"/>
        <v>168418097.21610001</v>
      </c>
      <c r="I113" s="22">
        <f>10115132.63*1670.47</f>
        <v>16897025604.436102</v>
      </c>
      <c r="J113" s="14">
        <f t="shared" si="37"/>
        <v>9.4586309901460112E-3</v>
      </c>
      <c r="K113" s="46">
        <f>10411086.08*1663.89</f>
        <v>17322902017.651199</v>
      </c>
      <c r="L113" s="14">
        <f t="shared" si="38"/>
        <v>9.5518550478204574E-3</v>
      </c>
      <c r="M113" s="14">
        <f t="shared" si="39"/>
        <v>2.5204223700962428E-2</v>
      </c>
      <c r="N113" s="25">
        <f t="shared" si="45"/>
        <v>1.5814901417086353E-3</v>
      </c>
      <c r="O113" s="26">
        <f t="shared" si="46"/>
        <v>9.722279618304722E-3</v>
      </c>
      <c r="P113" s="31">
        <f t="shared" si="47"/>
        <v>2296.9857798566345</v>
      </c>
      <c r="Q113" s="31">
        <f t="shared" si="48"/>
        <v>22.331938031035939</v>
      </c>
      <c r="R113" s="11">
        <v>1.38</v>
      </c>
      <c r="S113" s="11">
        <v>1.38</v>
      </c>
      <c r="T113" s="11">
        <v>111</v>
      </c>
      <c r="U113" s="11">
        <v>7356426</v>
      </c>
      <c r="V113" s="11">
        <v>7541580</v>
      </c>
    </row>
    <row r="114" spans="1:22">
      <c r="A114" s="38">
        <v>100</v>
      </c>
      <c r="B114" s="23" t="s">
        <v>145</v>
      </c>
      <c r="C114" s="23" t="s">
        <v>50</v>
      </c>
      <c r="D114" s="21">
        <f>121491959*1663.89</f>
        <v>202149255660.51001</v>
      </c>
      <c r="E114" s="21">
        <f>1286866*1663.89</f>
        <v>2141203468.7400002</v>
      </c>
      <c r="F114" s="21">
        <v>0</v>
      </c>
      <c r="G114" s="21">
        <f>186837*1663.89</f>
        <v>310876215.93000001</v>
      </c>
      <c r="H114" s="13">
        <f t="shared" si="44"/>
        <v>1830327252.8100002</v>
      </c>
      <c r="I114" s="46">
        <f>143756188*1670.47</f>
        <v>240140399368.36002</v>
      </c>
      <c r="J114" s="14">
        <f t="shared" si="37"/>
        <v>0.13442599168786737</v>
      </c>
      <c r="K114" s="46">
        <f>129336499*1663.89</f>
        <v>215201707321.11002</v>
      </c>
      <c r="L114" s="14">
        <f t="shared" si="38"/>
        <v>0.11866230682827816</v>
      </c>
      <c r="M114" s="14">
        <f t="shared" si="39"/>
        <v>-0.10385046461505897</v>
      </c>
      <c r="N114" s="25">
        <f t="shared" si="45"/>
        <v>1.4445806206645503E-3</v>
      </c>
      <c r="O114" s="26">
        <f t="shared" si="46"/>
        <v>8.5051706865824483E-3</v>
      </c>
      <c r="P114" s="31">
        <f t="shared" si="47"/>
        <v>204958.30133689468</v>
      </c>
      <c r="Q114" s="31">
        <f t="shared" si="48"/>
        <v>1743.2053365022889</v>
      </c>
      <c r="R114" s="11">
        <f>123*1663.89</f>
        <v>204658.47</v>
      </c>
      <c r="S114" s="11">
        <f>123*1663.89</f>
        <v>204658.47</v>
      </c>
      <c r="T114" s="11">
        <v>1012</v>
      </c>
      <c r="U114" s="11">
        <v>1162023</v>
      </c>
      <c r="V114" s="11">
        <v>1049978</v>
      </c>
    </row>
    <row r="115" spans="1:22" ht="13.95" customHeight="1">
      <c r="A115" s="38">
        <v>101</v>
      </c>
      <c r="B115" s="23" t="s">
        <v>146</v>
      </c>
      <c r="C115" s="23" t="s">
        <v>147</v>
      </c>
      <c r="D115" s="21">
        <v>30385442532.970001</v>
      </c>
      <c r="E115" s="21">
        <v>324801492.10000002</v>
      </c>
      <c r="F115" s="21">
        <v>0</v>
      </c>
      <c r="G115" s="21">
        <v>65779471.68</v>
      </c>
      <c r="H115" s="13">
        <f t="shared" si="44"/>
        <v>259022020.42000002</v>
      </c>
      <c r="I115" s="46">
        <v>30243199217.48</v>
      </c>
      <c r="J115" s="14">
        <f t="shared" si="37"/>
        <v>1.6929563111066994E-2</v>
      </c>
      <c r="K115" s="46">
        <v>30554957340.93</v>
      </c>
      <c r="L115" s="14">
        <f t="shared" si="38"/>
        <v>1.6848015604747593E-2</v>
      </c>
      <c r="M115" s="14">
        <f t="shared" si="39"/>
        <v>1.0308371188118564E-2</v>
      </c>
      <c r="N115" s="25">
        <f t="shared" si="45"/>
        <v>2.152824857388522E-3</v>
      </c>
      <c r="O115" s="26">
        <f t="shared" si="46"/>
        <v>8.4772502716940843E-3</v>
      </c>
      <c r="P115" s="31">
        <f t="shared" si="47"/>
        <v>174222.44020623906</v>
      </c>
      <c r="Q115" s="31">
        <f t="shared" si="48"/>
        <v>1476.9272285735465</v>
      </c>
      <c r="R115" s="11">
        <v>74222.44</v>
      </c>
      <c r="S115" s="11">
        <v>74222.44</v>
      </c>
      <c r="T115" s="11">
        <f>411+26+22</f>
        <v>459</v>
      </c>
      <c r="U115" s="11">
        <v>176584</v>
      </c>
      <c r="V115" s="11">
        <v>175379</v>
      </c>
    </row>
    <row r="116" spans="1:22">
      <c r="A116" s="38">
        <v>102</v>
      </c>
      <c r="B116" s="23" t="s">
        <v>148</v>
      </c>
      <c r="C116" s="23" t="s">
        <v>42</v>
      </c>
      <c r="D116" s="21">
        <f>1974147.7*1663.89</f>
        <v>3284764616.553</v>
      </c>
      <c r="E116" s="21">
        <f>41948.27*1663.89</f>
        <v>69797306.970300004</v>
      </c>
      <c r="F116" s="21">
        <v>0</v>
      </c>
      <c r="G116" s="21">
        <f>2062.08*1663.89</f>
        <v>3431074.2911999999</v>
      </c>
      <c r="H116" s="13">
        <f t="shared" si="44"/>
        <v>66366232.679100007</v>
      </c>
      <c r="I116" s="80">
        <f>2047306.76*1670.47</f>
        <v>3419964523.3772001</v>
      </c>
      <c r="J116" s="14">
        <f t="shared" si="37"/>
        <v>1.9144305739539689E-3</v>
      </c>
      <c r="K116" s="46">
        <f>1972085.62*1663.89</f>
        <v>3281333542.2618003</v>
      </c>
      <c r="L116" s="14">
        <f t="shared" si="38"/>
        <v>1.8093286175318165E-3</v>
      </c>
      <c r="M116" s="14">
        <f t="shared" si="39"/>
        <v>-4.0535795084360213E-2</v>
      </c>
      <c r="N116" s="25">
        <f t="shared" si="45"/>
        <v>1.0456341139995736E-3</v>
      </c>
      <c r="O116" s="26">
        <f t="shared" si="46"/>
        <v>2.0225384534774914E-2</v>
      </c>
      <c r="P116" s="31">
        <f t="shared" si="47"/>
        <v>408154.49114139797</v>
      </c>
      <c r="Q116" s="31">
        <f t="shared" si="48"/>
        <v>8255.0815329301549</v>
      </c>
      <c r="R116" s="11">
        <v>240.52</v>
      </c>
      <c r="S116" s="11">
        <v>247.04</v>
      </c>
      <c r="T116" s="11">
        <v>47</v>
      </c>
      <c r="U116" s="11">
        <v>14192</v>
      </c>
      <c r="V116" s="11">
        <v>8039.44</v>
      </c>
    </row>
    <row r="117" spans="1:22" ht="8.1" customHeigh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</row>
    <row r="118" spans="1:22">
      <c r="A118" s="104" t="s">
        <v>149</v>
      </c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</row>
    <row r="119" spans="1:22">
      <c r="A119" s="19">
        <v>103</v>
      </c>
      <c r="B119" s="23" t="s">
        <v>150</v>
      </c>
      <c r="C119" s="29" t="s">
        <v>104</v>
      </c>
      <c r="D119" s="74">
        <f>967785*1663.89</f>
        <v>1610287783.6500001</v>
      </c>
      <c r="E119" s="11">
        <f>8774.89*1663.89</f>
        <v>14600451.722100001</v>
      </c>
      <c r="F119" s="11">
        <v>0</v>
      </c>
      <c r="G119" s="11">
        <f>1827.19*1663.89</f>
        <v>3040243.1691000001</v>
      </c>
      <c r="H119" s="13">
        <f>(E119+F119)-G119</f>
        <v>11560208.553000001</v>
      </c>
      <c r="I119" s="11">
        <f>1149868.51*1670.47</f>
        <v>1920820849.8997002</v>
      </c>
      <c r="J119" s="14">
        <f t="shared" ref="J119:J131" si="49">(I119/$I$132)</f>
        <v>1.0752386865419696E-3</v>
      </c>
      <c r="K119" s="11">
        <f>1168253.62*1663.89</f>
        <v>1943845515.7818003</v>
      </c>
      <c r="L119" s="14">
        <f t="shared" ref="L119:L131" si="50">(K119/$K$132)</f>
        <v>1.0718371888950441E-3</v>
      </c>
      <c r="M119" s="14">
        <f t="shared" ref="M119:M132" si="51">((K119-I119)/I119)</f>
        <v>1.1986888773777309E-2</v>
      </c>
      <c r="N119" s="25">
        <f t="shared" ref="N119" si="52">(G119/K119)</f>
        <v>1.5640353847138088E-3</v>
      </c>
      <c r="O119" s="26">
        <f t="shared" ref="O119" si="53">H119/K119</f>
        <v>5.947081935855675E-3</v>
      </c>
      <c r="P119" s="27">
        <f t="shared" ref="P119" si="54">K119/V119</f>
        <v>179073.74627193002</v>
      </c>
      <c r="Q119" s="27">
        <f t="shared" ref="Q119" si="55">H119/V119</f>
        <v>1064.9662416397975</v>
      </c>
      <c r="R119" s="11">
        <f>107.62*1663.89</f>
        <v>179067.84180000002</v>
      </c>
      <c r="S119" s="11">
        <f>107.62*1663.89</f>
        <v>179067.84180000002</v>
      </c>
      <c r="T119" s="11">
        <v>19</v>
      </c>
      <c r="U119" s="21">
        <v>10980</v>
      </c>
      <c r="V119" s="21">
        <v>10855</v>
      </c>
    </row>
    <row r="120" spans="1:22">
      <c r="A120" s="19">
        <v>104</v>
      </c>
      <c r="B120" s="23" t="s">
        <v>151</v>
      </c>
      <c r="C120" s="29" t="s">
        <v>28</v>
      </c>
      <c r="D120" s="74">
        <f>8647322.66*1663.89</f>
        <v>14388193700.7474</v>
      </c>
      <c r="E120" s="11">
        <f>62695.85*1663.89</f>
        <v>104318997.8565</v>
      </c>
      <c r="F120" s="11">
        <v>0</v>
      </c>
      <c r="G120" s="11">
        <f>10009.9*1663.89</f>
        <v>16655372.511</v>
      </c>
      <c r="H120" s="13">
        <f t="shared" ref="H120:H131" si="56">(E120+F120)-G120</f>
        <v>87663625.345499992</v>
      </c>
      <c r="I120" s="11">
        <f>11203653.7*1670.47</f>
        <v>18715367396.238998</v>
      </c>
      <c r="J120" s="14">
        <f t="shared" si="49"/>
        <v>1.0476503864654121E-2</v>
      </c>
      <c r="K120" s="11">
        <f>11612948.25*1663.89</f>
        <v>19322668463.692501</v>
      </c>
      <c r="L120" s="14">
        <f t="shared" si="50"/>
        <v>1.0654527059855052E-2</v>
      </c>
      <c r="M120" s="14">
        <f t="shared" si="51"/>
        <v>3.2449326513116952E-2</v>
      </c>
      <c r="N120" s="25">
        <f t="shared" ref="N120:N131" si="57">(G120/K120)</f>
        <v>8.6196026921931724E-4</v>
      </c>
      <c r="O120" s="26">
        <f t="shared" ref="O120:O131" si="58">H120/K120</f>
        <v>4.5368281047838124E-3</v>
      </c>
      <c r="P120" s="27">
        <f t="shared" ref="P120:P131" si="59">K120/V120</f>
        <v>221481.14505174919</v>
      </c>
      <c r="Q120" s="27">
        <f t="shared" ref="Q120:Q131" si="60">H120/V120</f>
        <v>1004.8218835504759</v>
      </c>
      <c r="R120" s="11">
        <f>132.44*1663.89</f>
        <v>220365.59160000001</v>
      </c>
      <c r="S120" s="11">
        <f>132.44*1663.89</f>
        <v>220365.59160000001</v>
      </c>
      <c r="T120" s="11">
        <v>500</v>
      </c>
      <c r="U120" s="21">
        <v>84549.88</v>
      </c>
      <c r="V120" s="21">
        <v>87242.95</v>
      </c>
    </row>
    <row r="121" spans="1:22" ht="14.1" customHeight="1">
      <c r="A121" s="19">
        <v>105</v>
      </c>
      <c r="B121" s="23" t="s">
        <v>152</v>
      </c>
      <c r="C121" s="23" t="s">
        <v>62</v>
      </c>
      <c r="D121" s="74">
        <f>9760095.27*1663.89</f>
        <v>16239724918.800301</v>
      </c>
      <c r="E121" s="11">
        <f>69557.91*1663.89</f>
        <v>115736710.86990002</v>
      </c>
      <c r="F121" s="11">
        <v>0</v>
      </c>
      <c r="G121" s="11">
        <f>17429.06*1663.89</f>
        <v>29000038.643400002</v>
      </c>
      <c r="H121" s="13">
        <f t="shared" si="56"/>
        <v>86736672.226500019</v>
      </c>
      <c r="I121" s="22">
        <f>10162860*1670.47</f>
        <v>16976752744.200001</v>
      </c>
      <c r="J121" s="14">
        <f t="shared" si="49"/>
        <v>9.5032607144880585E-3</v>
      </c>
      <c r="K121" s="11">
        <f>10262891.58*1663.89</f>
        <v>17076322671.046202</v>
      </c>
      <c r="L121" s="14">
        <f t="shared" si="50"/>
        <v>9.4158910982375717E-3</v>
      </c>
      <c r="M121" s="14">
        <f t="shared" si="51"/>
        <v>5.8650749260760939E-3</v>
      </c>
      <c r="N121" s="25">
        <f t="shared" si="57"/>
        <v>1.6982601700640785E-3</v>
      </c>
      <c r="O121" s="26">
        <f t="shared" si="58"/>
        <v>5.0793530842308679E-3</v>
      </c>
      <c r="P121" s="27">
        <f t="shared" si="59"/>
        <v>192800.30112957212</v>
      </c>
      <c r="Q121" s="27">
        <f t="shared" si="60"/>
        <v>979.30080418313219</v>
      </c>
      <c r="R121" s="11">
        <f>115.84*1663.89</f>
        <v>192745.01760000002</v>
      </c>
      <c r="S121" s="11">
        <f>115.84*1663.89</f>
        <v>192745.01760000002</v>
      </c>
      <c r="T121" s="11">
        <f>568+43+28</f>
        <v>639</v>
      </c>
      <c r="U121" s="21">
        <v>88187</v>
      </c>
      <c r="V121" s="21">
        <v>88570</v>
      </c>
    </row>
    <row r="122" spans="1:22" ht="14.1" customHeight="1">
      <c r="A122" s="19">
        <v>106</v>
      </c>
      <c r="B122" s="33" t="s">
        <v>265</v>
      </c>
      <c r="C122" s="34" t="s">
        <v>66</v>
      </c>
      <c r="D122" s="74">
        <v>83170000</v>
      </c>
      <c r="E122" s="11">
        <v>0</v>
      </c>
      <c r="F122" s="11">
        <v>0</v>
      </c>
      <c r="G122" s="11">
        <v>244612.29</v>
      </c>
      <c r="H122" s="13">
        <f t="shared" si="56"/>
        <v>-244612.29</v>
      </c>
      <c r="I122" s="22">
        <v>82199846.780000001</v>
      </c>
      <c r="J122" s="14">
        <f t="shared" si="49"/>
        <v>4.6013898323882486E-5</v>
      </c>
      <c r="K122" s="11">
        <v>82375812.5</v>
      </c>
      <c r="L122" s="14">
        <f t="shared" si="50"/>
        <v>4.5422055706641001E-5</v>
      </c>
      <c r="M122" s="14">
        <f t="shared" si="51"/>
        <v>2.1407061800364927E-3</v>
      </c>
      <c r="N122" s="25">
        <f t="shared" si="57"/>
        <v>2.9694674028253138E-3</v>
      </c>
      <c r="O122" s="26">
        <f t="shared" si="58"/>
        <v>-2.9694674028253138E-3</v>
      </c>
      <c r="P122" s="27">
        <f t="shared" si="59"/>
        <v>1647.5162499999999</v>
      </c>
      <c r="Q122" s="27">
        <f t="shared" si="60"/>
        <v>-4.8922458000000004</v>
      </c>
      <c r="R122" s="11">
        <v>1647.52</v>
      </c>
      <c r="S122" s="11">
        <v>1647.52</v>
      </c>
      <c r="T122" s="11">
        <v>1</v>
      </c>
      <c r="U122" s="21">
        <v>50000</v>
      </c>
      <c r="V122" s="21">
        <v>50000</v>
      </c>
    </row>
    <row r="123" spans="1:22" ht="15" customHeight="1">
      <c r="A123" s="19">
        <v>107</v>
      </c>
      <c r="B123" s="23" t="s">
        <v>153</v>
      </c>
      <c r="C123" s="29" t="s">
        <v>60</v>
      </c>
      <c r="D123" s="74">
        <f>4119174.89*1663.89</f>
        <v>6853853907.7221003</v>
      </c>
      <c r="E123" s="11">
        <f>24620.05*1663.89</f>
        <v>40965054.994500004</v>
      </c>
      <c r="F123" s="11">
        <v>0</v>
      </c>
      <c r="G123" s="11">
        <f>5400.61*1663.89</f>
        <v>8986020.9728999995</v>
      </c>
      <c r="H123" s="13">
        <f t="shared" si="56"/>
        <v>31979034.021600004</v>
      </c>
      <c r="I123" s="11">
        <f>4088907.16*1670.47</f>
        <v>6830396743.5652008</v>
      </c>
      <c r="J123" s="14">
        <f t="shared" si="49"/>
        <v>3.8235251473322414E-3</v>
      </c>
      <c r="K123" s="11">
        <f>4181304.6*1663.89</f>
        <v>6957230910.894001</v>
      </c>
      <c r="L123" s="14">
        <f t="shared" si="50"/>
        <v>3.8362198855227321E-3</v>
      </c>
      <c r="M123" s="14">
        <f t="shared" si="51"/>
        <v>1.8569077623241795E-2</v>
      </c>
      <c r="N123" s="25">
        <f t="shared" si="57"/>
        <v>1.2916088438043951E-3</v>
      </c>
      <c r="O123" s="26">
        <f t="shared" si="58"/>
        <v>4.5965175557886881E-3</v>
      </c>
      <c r="P123" s="27">
        <f t="shared" si="59"/>
        <v>2089.4909421753973</v>
      </c>
      <c r="Q123" s="27">
        <f t="shared" si="60"/>
        <v>9.6043817983706621</v>
      </c>
      <c r="R123" s="11">
        <f>1.26*1663.89</f>
        <v>2096.5014000000001</v>
      </c>
      <c r="S123" s="11">
        <f>1.26*1663.89</f>
        <v>2096.5014000000001</v>
      </c>
      <c r="T123" s="11">
        <v>223</v>
      </c>
      <c r="U123" s="21">
        <v>3270974.86</v>
      </c>
      <c r="V123" s="21">
        <v>3329629.61</v>
      </c>
    </row>
    <row r="124" spans="1:22" ht="15" customHeight="1">
      <c r="A124" s="19">
        <v>108</v>
      </c>
      <c r="B124" s="33" t="s">
        <v>240</v>
      </c>
      <c r="C124" s="34" t="s">
        <v>241</v>
      </c>
      <c r="D124" s="74">
        <f>1061710.24*1663.89</f>
        <v>1766569051.2336001</v>
      </c>
      <c r="E124" s="11">
        <f>3449.19*1663.89</f>
        <v>5739072.7491000006</v>
      </c>
      <c r="F124" s="11">
        <v>0</v>
      </c>
      <c r="G124" s="11">
        <f>5865.07*1663.89</f>
        <v>9758831.3223000001</v>
      </c>
      <c r="H124" s="13">
        <f t="shared" si="56"/>
        <v>-4019758.5731999995</v>
      </c>
      <c r="I124" s="11">
        <f>926827.52*1610.917</f>
        <v>1493042208.03584</v>
      </c>
      <c r="J124" s="14">
        <f t="shared" si="49"/>
        <v>8.3577640403268577E-4</v>
      </c>
      <c r="K124" s="11">
        <f>1034310.59*1663.89</f>
        <v>1720979047.5951002</v>
      </c>
      <c r="L124" s="14">
        <f t="shared" si="50"/>
        <v>9.4894852988341224E-4</v>
      </c>
      <c r="M124" s="14">
        <f t="shared" si="51"/>
        <v>0.15266603873116263</v>
      </c>
      <c r="N124" s="25">
        <f t="shared" si="57"/>
        <v>5.6705114079901274E-3</v>
      </c>
      <c r="O124" s="26">
        <f t="shared" si="58"/>
        <v>-2.3357394029969269E-3</v>
      </c>
      <c r="P124" s="27">
        <f t="shared" si="59"/>
        <v>1814.7845533940636</v>
      </c>
      <c r="Q124" s="27">
        <f t="shared" si="60"/>
        <v>-4.2388637893126946</v>
      </c>
      <c r="R124" s="11">
        <v>1.0907</v>
      </c>
      <c r="S124" s="11">
        <v>1.1195999999999999</v>
      </c>
      <c r="T124" s="11">
        <v>36</v>
      </c>
      <c r="U124" s="21">
        <v>986659.98</v>
      </c>
      <c r="V124" s="21">
        <v>948310.39</v>
      </c>
    </row>
    <row r="125" spans="1:22" ht="15" customHeight="1">
      <c r="A125" s="19">
        <v>109</v>
      </c>
      <c r="B125" s="33" t="s">
        <v>242</v>
      </c>
      <c r="C125" s="34" t="s">
        <v>40</v>
      </c>
      <c r="D125" s="74">
        <f>1620318.27*1663.89</f>
        <v>2696031366.2703004</v>
      </c>
      <c r="E125" s="11">
        <f>17773.71*1663.89</f>
        <v>29573498.331900001</v>
      </c>
      <c r="F125" s="11">
        <f>-722.26*1663.89</f>
        <v>-1201761.1914000001</v>
      </c>
      <c r="G125" s="11">
        <f>3753.78*1663.89</f>
        <v>6245877.0042000003</v>
      </c>
      <c r="H125" s="13">
        <f t="shared" si="56"/>
        <v>22125860.136300001</v>
      </c>
      <c r="I125" s="11">
        <f>2088864.28*1670.47</f>
        <v>3489385113.8116002</v>
      </c>
      <c r="J125" s="14">
        <f t="shared" si="49"/>
        <v>1.9532908895745276E-3</v>
      </c>
      <c r="K125" s="11">
        <f>2252623.93*1663.89</f>
        <v>3748118430.8877006</v>
      </c>
      <c r="L125" s="14">
        <f t="shared" si="50"/>
        <v>2.0667139903824197E-3</v>
      </c>
      <c r="M125" s="14">
        <f t="shared" si="51"/>
        <v>7.4148684836187431E-2</v>
      </c>
      <c r="N125" s="25">
        <f t="shared" si="57"/>
        <v>1.6664033219251115E-3</v>
      </c>
      <c r="O125" s="26">
        <f t="shared" si="58"/>
        <v>5.9031913063269286E-3</v>
      </c>
      <c r="P125" s="27">
        <f t="shared" si="59"/>
        <v>17577.17724840283</v>
      </c>
      <c r="Q125" s="27">
        <f t="shared" si="60"/>
        <v>103.76143992253905</v>
      </c>
      <c r="R125" s="11">
        <f>10.56*1663.89</f>
        <v>17570.678400000001</v>
      </c>
      <c r="S125" s="11">
        <f>10.56*1663.89</f>
        <v>17570.678400000001</v>
      </c>
      <c r="T125" s="11">
        <v>76</v>
      </c>
      <c r="U125" s="21">
        <v>198984.67</v>
      </c>
      <c r="V125" s="21">
        <v>213237.79</v>
      </c>
    </row>
    <row r="126" spans="1:22">
      <c r="A126" s="19">
        <v>110</v>
      </c>
      <c r="B126" s="29" t="s">
        <v>154</v>
      </c>
      <c r="C126" s="29" t="s">
        <v>44</v>
      </c>
      <c r="D126" s="74">
        <f>15261133.64*1663.89</f>
        <v>25392847652.259602</v>
      </c>
      <c r="E126" s="11">
        <f>98801.4*1663.89</f>
        <v>164394661.44600001</v>
      </c>
      <c r="F126" s="11">
        <f>-234442.68*1663.89</f>
        <v>-390086830.82520002</v>
      </c>
      <c r="G126" s="11">
        <f>24870.87*1663.89</f>
        <v>41382391.884300001</v>
      </c>
      <c r="H126" s="13">
        <f t="shared" si="56"/>
        <v>-267074561.26350001</v>
      </c>
      <c r="I126" s="11">
        <f>14215254.04*1670.47</f>
        <v>23746155416.198799</v>
      </c>
      <c r="J126" s="14">
        <f t="shared" si="49"/>
        <v>1.3292642549912097E-2</v>
      </c>
      <c r="K126" s="11">
        <f>15222805.96*1663.89</f>
        <v>25329074608.784405</v>
      </c>
      <c r="L126" s="14">
        <f t="shared" si="50"/>
        <v>1.396646179214161E-2</v>
      </c>
      <c r="M126" s="14">
        <f t="shared" si="51"/>
        <v>6.6660019899717884E-2</v>
      </c>
      <c r="N126" s="25">
        <f t="shared" si="57"/>
        <v>1.6337901215683628E-3</v>
      </c>
      <c r="O126" s="26">
        <f t="shared" si="58"/>
        <v>-1.054418944981415E-2</v>
      </c>
      <c r="P126" s="27">
        <f t="shared" si="59"/>
        <v>1770.3521653906505</v>
      </c>
      <c r="Q126" s="27">
        <f t="shared" si="60"/>
        <v>-18.666928624767735</v>
      </c>
      <c r="R126" s="11">
        <f>1.06*1663.89</f>
        <v>1763.7234000000001</v>
      </c>
      <c r="S126" s="11">
        <f>1.06*1663.89</f>
        <v>1763.7234000000001</v>
      </c>
      <c r="T126" s="11">
        <v>460</v>
      </c>
      <c r="U126" s="21">
        <v>13451697</v>
      </c>
      <c r="V126" s="21">
        <v>14307365</v>
      </c>
    </row>
    <row r="127" spans="1:22">
      <c r="A127" s="19">
        <v>111</v>
      </c>
      <c r="B127" s="23" t="s">
        <v>155</v>
      </c>
      <c r="C127" s="29" t="s">
        <v>86</v>
      </c>
      <c r="D127" s="74">
        <f>342424.78*1663.89</f>
        <v>569757167.19420004</v>
      </c>
      <c r="E127" s="11">
        <f>2132.71*1663.89</f>
        <v>3548594.8419000003</v>
      </c>
      <c r="F127" s="11">
        <f>5791.28*1663.89</f>
        <v>9636052.8792000003</v>
      </c>
      <c r="G127" s="11">
        <f>112.83*1663.89</f>
        <v>187736.70870000002</v>
      </c>
      <c r="H127" s="13">
        <f t="shared" si="56"/>
        <v>12996911.012400001</v>
      </c>
      <c r="I127" s="11">
        <f>332291.74*1670.47</f>
        <v>555083382.91779995</v>
      </c>
      <c r="J127" s="14">
        <f t="shared" si="49"/>
        <v>3.1072503591418951E-4</v>
      </c>
      <c r="K127" s="11">
        <f>334287.79*1663.89</f>
        <v>556218110.90310001</v>
      </c>
      <c r="L127" s="14">
        <f t="shared" si="50"/>
        <v>3.0669888710940763E-4</v>
      </c>
      <c r="M127" s="14">
        <f t="shared" si="51"/>
        <v>2.0442478017182893E-3</v>
      </c>
      <c r="N127" s="25">
        <f t="shared" si="57"/>
        <v>3.3752354520636248E-4</v>
      </c>
      <c r="O127" s="26">
        <f t="shared" si="58"/>
        <v>2.3366572856280514E-2</v>
      </c>
      <c r="P127" s="27">
        <f t="shared" si="59"/>
        <v>1830.9115447133411</v>
      </c>
      <c r="Q127" s="27">
        <f t="shared" si="60"/>
        <v>42.782128002949378</v>
      </c>
      <c r="R127" s="11">
        <f>1.1004*1663.89</f>
        <v>1830.9445560000001</v>
      </c>
      <c r="S127" s="11">
        <f>1.1004*1663.89</f>
        <v>1830.9445560000001</v>
      </c>
      <c r="T127" s="11">
        <v>3</v>
      </c>
      <c r="U127" s="21">
        <v>303793</v>
      </c>
      <c r="V127" s="21">
        <v>303793</v>
      </c>
    </row>
    <row r="128" spans="1:22">
      <c r="A128" s="19">
        <v>112</v>
      </c>
      <c r="B128" s="23" t="s">
        <v>156</v>
      </c>
      <c r="C128" s="23" t="s">
        <v>46</v>
      </c>
      <c r="D128" s="74">
        <f>636882559.35*1663.89</f>
        <v>1059702521676.8716</v>
      </c>
      <c r="E128" s="11">
        <f>4637904.63*1663.89</f>
        <v>7716963134.8107004</v>
      </c>
      <c r="F128" s="11">
        <v>0</v>
      </c>
      <c r="G128" s="11">
        <f>997645.62*1663.89</f>
        <v>1659972570.6618001</v>
      </c>
      <c r="H128" s="13">
        <f t="shared" si="56"/>
        <v>6056990564.1489</v>
      </c>
      <c r="I128" s="11">
        <f>620104069.01*1670.47</f>
        <v>1035865244159.1346</v>
      </c>
      <c r="J128" s="14">
        <f t="shared" si="49"/>
        <v>0.57985750447383166</v>
      </c>
      <c r="K128" s="11">
        <f>642219567.8*1663.89</f>
        <v>1068582716666.7419</v>
      </c>
      <c r="L128" s="14">
        <f t="shared" si="50"/>
        <v>0.58921693407989795</v>
      </c>
      <c r="M128" s="14">
        <f t="shared" si="51"/>
        <v>3.1584680239142265E-2</v>
      </c>
      <c r="N128" s="25">
        <f t="shared" si="57"/>
        <v>1.5534338566131746E-3</v>
      </c>
      <c r="O128" s="26">
        <f t="shared" si="58"/>
        <v>5.6682467998758479E-3</v>
      </c>
      <c r="P128" s="27">
        <f t="shared" si="59"/>
        <v>2604.9595370187808</v>
      </c>
      <c r="Q128" s="27">
        <f t="shared" si="60"/>
        <v>14.765553559512774</v>
      </c>
      <c r="R128" s="11">
        <f>1.5656*1663.89</f>
        <v>2604.9861840000003</v>
      </c>
      <c r="S128" s="11">
        <f>1.5656*1663.89</f>
        <v>2604.9861840000003</v>
      </c>
      <c r="T128" s="11">
        <v>9127</v>
      </c>
      <c r="U128" s="21">
        <v>398377446.33999997</v>
      </c>
      <c r="V128" s="21">
        <v>410210869.49000001</v>
      </c>
    </row>
    <row r="129" spans="1:22">
      <c r="A129" s="19">
        <v>113</v>
      </c>
      <c r="B129" s="23" t="s">
        <v>157</v>
      </c>
      <c r="C129" s="23" t="s">
        <v>50</v>
      </c>
      <c r="D129" s="74">
        <f>42992184*1663.89</f>
        <v>71534265035.76001</v>
      </c>
      <c r="E129" s="11">
        <f>568742*1663.89</f>
        <v>946324126.38000011</v>
      </c>
      <c r="F129" s="11">
        <v>0</v>
      </c>
      <c r="G129" s="11">
        <f>132175*1663.89</f>
        <v>219924660.75</v>
      </c>
      <c r="H129" s="13">
        <f t="shared" si="56"/>
        <v>726399465.63000011</v>
      </c>
      <c r="I129" s="11">
        <f>69465206*1670.47</f>
        <v>116039542666.82001</v>
      </c>
      <c r="J129" s="14">
        <f t="shared" si="49"/>
        <v>6.4956711319807639E-2</v>
      </c>
      <c r="K129" s="11">
        <f>73764453*1663.89</f>
        <v>122735935702.17001</v>
      </c>
      <c r="L129" s="14">
        <f t="shared" si="50"/>
        <v>6.7676643658849178E-2</v>
      </c>
      <c r="M129" s="14">
        <f t="shared" si="51"/>
        <v>5.770785442146311E-2</v>
      </c>
      <c r="N129" s="25">
        <f t="shared" si="57"/>
        <v>1.7918522353849759E-3</v>
      </c>
      <c r="O129" s="26">
        <f t="shared" si="58"/>
        <v>5.9183926979028776E-3</v>
      </c>
      <c r="P129" s="27">
        <f t="shared" si="59"/>
        <v>1870.6092904868947</v>
      </c>
      <c r="Q129" s="27">
        <f t="shared" si="60"/>
        <v>11.07100036544692</v>
      </c>
      <c r="R129" s="11">
        <f>1.12*1663.89</f>
        <v>1863.5568000000003</v>
      </c>
      <c r="S129" s="11">
        <f>1.12*1663.89</f>
        <v>1863.5568000000003</v>
      </c>
      <c r="T129" s="11">
        <v>287</v>
      </c>
      <c r="U129" s="21">
        <v>60584349</v>
      </c>
      <c r="V129" s="21">
        <v>65612812</v>
      </c>
    </row>
    <row r="130" spans="1:22">
      <c r="A130" s="19">
        <v>114</v>
      </c>
      <c r="B130" s="23" t="s">
        <v>239</v>
      </c>
      <c r="C130" s="29" t="s">
        <v>219</v>
      </c>
      <c r="D130" s="74">
        <f>412302.38*1663.89</f>
        <v>686025807.0582</v>
      </c>
      <c r="E130" s="11">
        <f>2971.58*1663.89</f>
        <v>4944382.2461999999</v>
      </c>
      <c r="F130" s="11">
        <v>0</v>
      </c>
      <c r="G130" s="11">
        <f>780.5*1663.89</f>
        <v>1298666.145</v>
      </c>
      <c r="H130" s="13">
        <f t="shared" si="56"/>
        <v>3645716.1011999999</v>
      </c>
      <c r="I130" s="11">
        <f>412587.94*1670.47</f>
        <v>689215776.13180006</v>
      </c>
      <c r="J130" s="14">
        <f t="shared" si="49"/>
        <v>3.858097781011995E-4</v>
      </c>
      <c r="K130" s="11">
        <f>410638.93*1663.89</f>
        <v>683258009.23769999</v>
      </c>
      <c r="L130" s="14">
        <f t="shared" si="50"/>
        <v>3.7674873747197866E-4</v>
      </c>
      <c r="M130" s="14">
        <f t="shared" si="51"/>
        <v>-8.6442694732523865E-3</v>
      </c>
      <c r="N130" s="25">
        <f t="shared" si="57"/>
        <v>1.9006965559743691E-3</v>
      </c>
      <c r="O130" s="26">
        <f t="shared" si="58"/>
        <v>5.335782459787726E-3</v>
      </c>
      <c r="P130" s="27">
        <f t="shared" si="59"/>
        <v>32634.075604980666</v>
      </c>
      <c r="Q130" s="27">
        <f t="shared" si="60"/>
        <v>174.12832820444237</v>
      </c>
      <c r="R130" s="11">
        <f>101.96</f>
        <v>101.96</v>
      </c>
      <c r="S130" s="11">
        <f>101.96</f>
        <v>101.96</v>
      </c>
      <c r="T130" s="11">
        <v>19</v>
      </c>
      <c r="U130" s="21">
        <v>25000</v>
      </c>
      <c r="V130" s="21">
        <v>20936.95</v>
      </c>
    </row>
    <row r="131" spans="1:22">
      <c r="A131" s="19">
        <v>115</v>
      </c>
      <c r="B131" s="29" t="s">
        <v>158</v>
      </c>
      <c r="C131" s="29" t="s">
        <v>36</v>
      </c>
      <c r="D131" s="74">
        <f>47492200.13*1663.89</f>
        <v>79021796874.30571</v>
      </c>
      <c r="E131" s="11">
        <f>232913.21*1663.89</f>
        <v>387541960.98690003</v>
      </c>
      <c r="F131" s="11">
        <v>0</v>
      </c>
      <c r="G131" s="11">
        <f>60342.11*1663.89</f>
        <v>100402633.40790001</v>
      </c>
      <c r="H131" s="13">
        <f t="shared" si="56"/>
        <v>287139327.579</v>
      </c>
      <c r="I131" s="22">
        <f>46777675*1670.47</f>
        <v>78140702757.25</v>
      </c>
      <c r="J131" s="14">
        <f t="shared" si="49"/>
        <v>4.3741667320280925E-2</v>
      </c>
      <c r="K131" s="11">
        <f>48715945*1663.89</f>
        <v>81057973726.050003</v>
      </c>
      <c r="L131" s="14">
        <f t="shared" si="50"/>
        <v>4.4695398883647867E-2</v>
      </c>
      <c r="M131" s="14">
        <f t="shared" si="51"/>
        <v>3.7333564529906084E-2</v>
      </c>
      <c r="N131" s="25">
        <f t="shared" si="57"/>
        <v>1.2386521497222316E-3</v>
      </c>
      <c r="O131" s="26">
        <f t="shared" si="58"/>
        <v>3.5423945896974796E-3</v>
      </c>
      <c r="P131" s="27">
        <f t="shared" si="59"/>
        <v>166389</v>
      </c>
      <c r="Q131" s="27">
        <f t="shared" si="60"/>
        <v>589.41549338517393</v>
      </c>
      <c r="R131" s="11">
        <f>100*1663.89</f>
        <v>166389</v>
      </c>
      <c r="S131" s="11">
        <f>100*1663.89</f>
        <v>166389</v>
      </c>
      <c r="T131" s="11">
        <v>1801</v>
      </c>
      <c r="U131" s="21">
        <v>467776.75</v>
      </c>
      <c r="V131" s="21">
        <v>487159.45</v>
      </c>
    </row>
    <row r="132" spans="1:22" ht="15" customHeight="1">
      <c r="A132" s="101" t="s">
        <v>51</v>
      </c>
      <c r="B132" s="101"/>
      <c r="C132" s="101"/>
      <c r="D132" s="101"/>
      <c r="E132" s="101"/>
      <c r="F132" s="101"/>
      <c r="G132" s="101"/>
      <c r="H132" s="101"/>
      <c r="I132" s="37">
        <f>SUM(I102:I131)</f>
        <v>1786413448419.6921</v>
      </c>
      <c r="J132" s="56">
        <f>(I132/$I$201)</f>
        <v>0.47698808251355257</v>
      </c>
      <c r="K132" s="58">
        <f>SUM(K102:K131)</f>
        <v>1813564164335.1716</v>
      </c>
      <c r="L132" s="56">
        <f>(K132/$K$201)</f>
        <v>0.47243184499515184</v>
      </c>
      <c r="M132" s="56">
        <f t="shared" si="51"/>
        <v>1.5198450246496813E-2</v>
      </c>
      <c r="N132" s="25"/>
      <c r="O132" s="25"/>
      <c r="P132" s="57"/>
      <c r="Q132" s="57"/>
      <c r="R132" s="58"/>
      <c r="S132" s="58"/>
      <c r="T132" s="60">
        <f>SUM(T102:T131)</f>
        <v>18691</v>
      </c>
      <c r="U132" s="60"/>
      <c r="V132" s="58"/>
    </row>
    <row r="133" spans="1:22" ht="6.9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</row>
    <row r="134" spans="1:22">
      <c r="A134" s="100" t="s">
        <v>159</v>
      </c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2">
      <c r="A135" s="39">
        <v>116</v>
      </c>
      <c r="B135" s="40" t="s">
        <v>235</v>
      </c>
      <c r="C135" s="40" t="s">
        <v>236</v>
      </c>
      <c r="D135" s="41">
        <v>2505041830.6300001</v>
      </c>
      <c r="E135" s="41">
        <v>42960445.530000001</v>
      </c>
      <c r="F135" s="41">
        <v>0</v>
      </c>
      <c r="G135" s="41">
        <v>3914504.22</v>
      </c>
      <c r="H135" s="13">
        <f>(E135+F135)-G135</f>
        <v>39045941.310000002</v>
      </c>
      <c r="I135" s="11">
        <v>2457378351.4400001</v>
      </c>
      <c r="J135" s="14">
        <f>(I135/$I$140)</f>
        <v>2.473547601595457E-2</v>
      </c>
      <c r="K135" s="42">
        <v>2498280014.9699998</v>
      </c>
      <c r="L135" s="14">
        <f>(K135/$K$140)</f>
        <v>2.5050098737124028E-2</v>
      </c>
      <c r="M135" s="14">
        <f t="shared" ref="M135:M140" si="61">((K135-I135)/I135)</f>
        <v>1.6644430641309976E-2</v>
      </c>
      <c r="N135" s="25">
        <f>(G135/K135)</f>
        <v>1.5668796918455142E-3</v>
      </c>
      <c r="O135" s="26">
        <f>H135/K135</f>
        <v>1.5629129271351468E-2</v>
      </c>
      <c r="P135" s="27">
        <f>K135/V135</f>
        <v>117.73232869792648</v>
      </c>
      <c r="Q135" s="27">
        <f>H135/V135</f>
        <v>1.840053784637135</v>
      </c>
      <c r="R135" s="41">
        <v>117.73</v>
      </c>
      <c r="S135" s="41">
        <v>117.73</v>
      </c>
      <c r="T135" s="43">
        <v>7</v>
      </c>
      <c r="U135" s="41">
        <v>21220000</v>
      </c>
      <c r="V135" s="41">
        <v>21220000</v>
      </c>
    </row>
    <row r="136" spans="1:22">
      <c r="A136" s="19">
        <v>117</v>
      </c>
      <c r="B136" s="23" t="s">
        <v>160</v>
      </c>
      <c r="C136" s="23" t="s">
        <v>44</v>
      </c>
      <c r="D136" s="41">
        <v>36633716672</v>
      </c>
      <c r="E136" s="41">
        <v>326667470</v>
      </c>
      <c r="F136" s="41">
        <v>0</v>
      </c>
      <c r="G136" s="41">
        <v>87042234</v>
      </c>
      <c r="H136" s="13">
        <f>(E136+F136)-G136</f>
        <v>239625236</v>
      </c>
      <c r="I136" s="11">
        <v>54160728474</v>
      </c>
      <c r="J136" s="14">
        <f t="shared" ref="J136:J139" si="62">(I136/$I$140)</f>
        <v>0.54517099468635288</v>
      </c>
      <c r="K136" s="42">
        <v>54187387301</v>
      </c>
      <c r="L136" s="14">
        <f t="shared" ref="L136:L139" si="63">(K136/$K$140)</f>
        <v>0.54333357112218295</v>
      </c>
      <c r="M136" s="14">
        <f t="shared" si="61"/>
        <v>4.9221692084141079E-4</v>
      </c>
      <c r="N136" s="25">
        <f t="shared" ref="N136:N139" si="64">(G136/K136)</f>
        <v>1.6063190778418225E-3</v>
      </c>
      <c r="O136" s="26">
        <f t="shared" ref="O136:O139" si="65">H136/K136</f>
        <v>4.4221588811604847E-3</v>
      </c>
      <c r="P136" s="27">
        <f t="shared" ref="P136:P139" si="66">K136/V136</f>
        <v>102.1155027456996</v>
      </c>
      <c r="Q136" s="27">
        <f t="shared" ref="Q136:Q139" si="67">H136/V136</f>
        <v>0.45157097737106333</v>
      </c>
      <c r="R136" s="41">
        <v>102.12</v>
      </c>
      <c r="S136" s="41">
        <v>102.12</v>
      </c>
      <c r="T136" s="43">
        <v>647</v>
      </c>
      <c r="U136" s="41">
        <v>530648000</v>
      </c>
      <c r="V136" s="41">
        <v>530648000</v>
      </c>
    </row>
    <row r="137" spans="1:22">
      <c r="A137" s="19">
        <v>118</v>
      </c>
      <c r="B137" s="23" t="s">
        <v>161</v>
      </c>
      <c r="C137" s="23" t="s">
        <v>125</v>
      </c>
      <c r="D137" s="41">
        <v>3018420453.5500002</v>
      </c>
      <c r="E137" s="41">
        <v>115644003.33</v>
      </c>
      <c r="F137" s="41">
        <v>0</v>
      </c>
      <c r="G137" s="41">
        <v>7811849.9500000002</v>
      </c>
      <c r="H137" s="13">
        <f>(E137+F137)-G137</f>
        <v>107832153.38</v>
      </c>
      <c r="I137" s="11">
        <v>2648160510.3699999</v>
      </c>
      <c r="J137" s="14">
        <f t="shared" si="62"/>
        <v>2.6655850838870912E-2</v>
      </c>
      <c r="K137" s="42">
        <v>2755992663.75</v>
      </c>
      <c r="L137" s="14">
        <f t="shared" si="63"/>
        <v>2.7634167480043662E-2</v>
      </c>
      <c r="M137" s="14">
        <f t="shared" si="61"/>
        <v>4.0719644053952703E-2</v>
      </c>
      <c r="N137" s="25">
        <f t="shared" si="64"/>
        <v>2.8344959160270917E-3</v>
      </c>
      <c r="O137" s="26">
        <f t="shared" si="65"/>
        <v>3.9126429760983426E-2</v>
      </c>
      <c r="P137" s="27">
        <f t="shared" si="66"/>
        <v>137.79963318750001</v>
      </c>
      <c r="Q137" s="27">
        <f t="shared" si="67"/>
        <v>5.3916076689999999</v>
      </c>
      <c r="R137" s="41">
        <v>179.45</v>
      </c>
      <c r="S137" s="41">
        <v>179.45</v>
      </c>
      <c r="T137" s="43">
        <v>2834</v>
      </c>
      <c r="U137" s="41">
        <v>20000000</v>
      </c>
      <c r="V137" s="41">
        <v>20000000</v>
      </c>
    </row>
    <row r="138" spans="1:22">
      <c r="A138" s="19">
        <v>119</v>
      </c>
      <c r="B138" s="23" t="s">
        <v>162</v>
      </c>
      <c r="C138" s="23" t="s">
        <v>125</v>
      </c>
      <c r="D138" s="41">
        <v>11894981923.68</v>
      </c>
      <c r="E138" s="41">
        <v>73804773.870000005</v>
      </c>
      <c r="F138" s="41">
        <v>0</v>
      </c>
      <c r="G138" s="41">
        <v>16464216.880000001</v>
      </c>
      <c r="H138" s="13">
        <f>(E138+F138)-G138</f>
        <v>57340556.990000002</v>
      </c>
      <c r="I138" s="21">
        <v>10255288786</v>
      </c>
      <c r="J138" s="14">
        <f t="shared" si="62"/>
        <v>0.1032276733674906</v>
      </c>
      <c r="K138" s="42">
        <v>10312629343</v>
      </c>
      <c r="L138" s="14">
        <f t="shared" si="63"/>
        <v>0.10340409471058216</v>
      </c>
      <c r="M138" s="14">
        <f t="shared" si="61"/>
        <v>5.5913156807713129E-3</v>
      </c>
      <c r="N138" s="25">
        <f t="shared" si="64"/>
        <v>1.5965100977061268E-3</v>
      </c>
      <c r="O138" s="26">
        <f t="shared" si="65"/>
        <v>5.5602266970762012E-3</v>
      </c>
      <c r="P138" s="27">
        <f t="shared" si="66"/>
        <v>54.817361277510173</v>
      </c>
      <c r="Q138" s="27">
        <f t="shared" si="67"/>
        <v>0.30479695563848319</v>
      </c>
      <c r="R138" s="41">
        <v>36.6</v>
      </c>
      <c r="S138" s="41">
        <v>36.6</v>
      </c>
      <c r="T138" s="43">
        <v>5260</v>
      </c>
      <c r="U138" s="41">
        <v>188127066</v>
      </c>
      <c r="V138" s="41">
        <v>188127066</v>
      </c>
    </row>
    <row r="139" spans="1:22" ht="15.9" customHeight="1">
      <c r="A139" s="19">
        <v>120</v>
      </c>
      <c r="B139" s="23" t="s">
        <v>163</v>
      </c>
      <c r="C139" s="29" t="s">
        <v>164</v>
      </c>
      <c r="D139" s="41">
        <v>29326333091.299999</v>
      </c>
      <c r="E139" s="41">
        <v>191935273.40000001</v>
      </c>
      <c r="F139" s="41">
        <v>0</v>
      </c>
      <c r="G139" s="41">
        <v>29488915.870000001</v>
      </c>
      <c r="H139" s="13">
        <f>(E139+F139)-G139</f>
        <v>162446357.53</v>
      </c>
      <c r="I139" s="21">
        <v>29824757240.220001</v>
      </c>
      <c r="J139" s="14">
        <f t="shared" si="62"/>
        <v>0.30021000509133111</v>
      </c>
      <c r="K139" s="42">
        <v>29977054700.59</v>
      </c>
      <c r="L139" s="14">
        <f t="shared" si="63"/>
        <v>0.3005780679500672</v>
      </c>
      <c r="M139" s="14">
        <f t="shared" si="61"/>
        <v>5.106410729292344E-3</v>
      </c>
      <c r="N139" s="25">
        <f t="shared" si="64"/>
        <v>9.8371625113055573E-4</v>
      </c>
      <c r="O139" s="26">
        <f t="shared" si="65"/>
        <v>5.4190232880618116E-3</v>
      </c>
      <c r="P139" s="27">
        <f t="shared" si="66"/>
        <v>11.234642790239143</v>
      </c>
      <c r="Q139" s="27">
        <f t="shared" si="67"/>
        <v>6.088079091336164E-2</v>
      </c>
      <c r="R139" s="41">
        <v>11.23</v>
      </c>
      <c r="S139" s="41">
        <v>11.23</v>
      </c>
      <c r="T139" s="43">
        <v>208098</v>
      </c>
      <c r="U139" s="41">
        <v>2668269500</v>
      </c>
      <c r="V139" s="41">
        <v>2668269500</v>
      </c>
    </row>
    <row r="140" spans="1:22" ht="15" customHeight="1">
      <c r="A140" s="101" t="s">
        <v>51</v>
      </c>
      <c r="B140" s="101"/>
      <c r="C140" s="101"/>
      <c r="D140" s="101"/>
      <c r="E140" s="101"/>
      <c r="F140" s="101"/>
      <c r="G140" s="101"/>
      <c r="H140" s="101"/>
      <c r="I140" s="58">
        <f>SUM(I135:I139)</f>
        <v>99346313362.029999</v>
      </c>
      <c r="J140" s="56">
        <f>(I140/$I$201)</f>
        <v>2.6526338321772598E-2</v>
      </c>
      <c r="K140" s="58">
        <f>SUM(K135:K139)</f>
        <v>99731344023.309998</v>
      </c>
      <c r="L140" s="56">
        <f>(K140/$K$201)</f>
        <v>2.5979926041409591E-2</v>
      </c>
      <c r="M140" s="56">
        <f t="shared" si="61"/>
        <v>3.8756411612064596E-3</v>
      </c>
      <c r="N140" s="25"/>
      <c r="O140" s="25"/>
      <c r="P140" s="59"/>
      <c r="Q140" s="59"/>
      <c r="R140" s="37"/>
      <c r="S140" s="37"/>
      <c r="T140" s="58">
        <f>SUM(T135:T139)</f>
        <v>216846</v>
      </c>
      <c r="U140" s="58"/>
      <c r="V140" s="58"/>
    </row>
    <row r="141" spans="1:22" ht="8.1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</row>
    <row r="142" spans="1:22">
      <c r="A142" s="100" t="s">
        <v>165</v>
      </c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</row>
    <row r="143" spans="1:22">
      <c r="A143" s="19">
        <v>121</v>
      </c>
      <c r="B143" s="23" t="s">
        <v>166</v>
      </c>
      <c r="C143" s="23" t="s">
        <v>55</v>
      </c>
      <c r="D143" s="46">
        <v>253293150.81</v>
      </c>
      <c r="E143" s="46">
        <v>4496712.3499999996</v>
      </c>
      <c r="F143" s="46">
        <v>1441007.65</v>
      </c>
      <c r="G143" s="11">
        <v>963336.23</v>
      </c>
      <c r="H143" s="13">
        <f>(E143+F143)-G143</f>
        <v>4974383.7699999996</v>
      </c>
      <c r="I143" s="11">
        <v>246947421.56</v>
      </c>
      <c r="J143" s="14">
        <f>(I143/$I$171)</f>
        <v>4.6864196091501702E-3</v>
      </c>
      <c r="K143" s="11">
        <v>251756314.47</v>
      </c>
      <c r="L143" s="14">
        <f>(K143/$K$171)</f>
        <v>4.7141078559492953E-3</v>
      </c>
      <c r="M143" s="14">
        <f t="shared" ref="M143:M171" si="68">((K143-I143)/I143)</f>
        <v>1.9473347320743722E-2</v>
      </c>
      <c r="N143" s="25">
        <f t="shared" ref="N143" si="69">(G143/K143)</f>
        <v>3.8264630304428527E-3</v>
      </c>
      <c r="O143" s="26">
        <f t="shared" ref="O143" si="70">H143/K143</f>
        <v>1.9758724941903141E-2</v>
      </c>
      <c r="P143" s="27">
        <f t="shared" ref="P143" si="71">K143/V143</f>
        <v>5.6801508589561838</v>
      </c>
      <c r="Q143" s="27">
        <f t="shared" ref="Q143" si="72">H143/V143</f>
        <v>0.1122325384506301</v>
      </c>
      <c r="R143" s="28">
        <v>5.6302000000000003</v>
      </c>
      <c r="S143" s="28">
        <v>5.7103999999999999</v>
      </c>
      <c r="T143" s="11">
        <v>11835</v>
      </c>
      <c r="U143" s="11">
        <v>44322117.619999997</v>
      </c>
      <c r="V143" s="11">
        <v>44322117.619999997</v>
      </c>
    </row>
    <row r="144" spans="1:22">
      <c r="A144" s="19">
        <v>122</v>
      </c>
      <c r="B144" s="33" t="s">
        <v>229</v>
      </c>
      <c r="C144" s="33" t="s">
        <v>230</v>
      </c>
      <c r="D144" s="46">
        <v>598726972.88</v>
      </c>
      <c r="E144" s="46">
        <v>1904794.52</v>
      </c>
      <c r="F144" s="46">
        <v>33661672.100000001</v>
      </c>
      <c r="G144" s="11">
        <v>1040878.41</v>
      </c>
      <c r="H144" s="13">
        <f t="shared" ref="H144:H170" si="73">(E144+F144)-G144</f>
        <v>34525588.210000008</v>
      </c>
      <c r="I144" s="11">
        <v>556379262.50999999</v>
      </c>
      <c r="J144" s="14">
        <f t="shared" ref="J144:J170" si="74">(I144/$I$171)</f>
        <v>1.0558630940464614E-2</v>
      </c>
      <c r="K144" s="11">
        <v>591417170.97000003</v>
      </c>
      <c r="L144" s="14">
        <f t="shared" ref="L144:L170" si="75">(K144/$K$171)</f>
        <v>1.1074218089354859E-2</v>
      </c>
      <c r="M144" s="14">
        <f t="shared" si="68"/>
        <v>6.2974864127633243E-2</v>
      </c>
      <c r="N144" s="25">
        <f t="shared" ref="N144:N170" si="76">(G144/K144)</f>
        <v>1.7599732660667021E-3</v>
      </c>
      <c r="O144" s="26">
        <f t="shared" ref="O144:O170" si="77">H144/K144</f>
        <v>5.8377723719745263E-2</v>
      </c>
      <c r="P144" s="27">
        <f t="shared" ref="P144:P170" si="78">K144/V144</f>
        <v>1395.2170756259304</v>
      </c>
      <c r="Q144" s="27">
        <f t="shared" ref="Q144:Q170" si="79">H144/V144</f>
        <v>81.44959696996149</v>
      </c>
      <c r="R144" s="28">
        <v>1406.5485000000001</v>
      </c>
      <c r="S144" s="28">
        <v>1423.5349000000001</v>
      </c>
      <c r="T144" s="11">
        <v>177</v>
      </c>
      <c r="U144" s="11">
        <v>423525</v>
      </c>
      <c r="V144" s="11">
        <v>423889</v>
      </c>
    </row>
    <row r="145" spans="1:22">
      <c r="A145" s="19">
        <v>123</v>
      </c>
      <c r="B145" s="23" t="s">
        <v>167</v>
      </c>
      <c r="C145" s="29" t="s">
        <v>58</v>
      </c>
      <c r="D145" s="46">
        <v>5440078890.4799995</v>
      </c>
      <c r="E145" s="46">
        <v>174338558.43000001</v>
      </c>
      <c r="F145" s="46">
        <v>96418246.219999999</v>
      </c>
      <c r="G145" s="11">
        <v>16718023.16</v>
      </c>
      <c r="H145" s="13">
        <f t="shared" si="73"/>
        <v>254038781.48999998</v>
      </c>
      <c r="I145" s="11">
        <v>6537092389</v>
      </c>
      <c r="J145" s="14">
        <f t="shared" si="74"/>
        <v>0.1240570068118428</v>
      </c>
      <c r="K145" s="11">
        <v>6684162302</v>
      </c>
      <c r="L145" s="14">
        <f t="shared" si="75"/>
        <v>0.12516016563331575</v>
      </c>
      <c r="M145" s="14">
        <f t="shared" si="68"/>
        <v>2.2497756532778291E-2</v>
      </c>
      <c r="N145" s="25">
        <f t="shared" si="76"/>
        <v>2.5011396199936258E-3</v>
      </c>
      <c r="O145" s="26">
        <f t="shared" si="77"/>
        <v>3.8006076156168113E-2</v>
      </c>
      <c r="P145" s="27">
        <f t="shared" si="78"/>
        <v>787.8836598499804</v>
      </c>
      <c r="Q145" s="27">
        <f t="shared" si="79"/>
        <v>29.94436637845881</v>
      </c>
      <c r="R145" s="28">
        <v>783.94420000000002</v>
      </c>
      <c r="S145" s="28">
        <v>807.58069999999998</v>
      </c>
      <c r="T145" s="11">
        <v>21341</v>
      </c>
      <c r="U145" s="11">
        <v>8501710</v>
      </c>
      <c r="V145" s="11">
        <v>8483692</v>
      </c>
    </row>
    <row r="146" spans="1:22">
      <c r="A146" s="19">
        <v>124</v>
      </c>
      <c r="B146" s="23" t="s">
        <v>168</v>
      </c>
      <c r="C146" s="23" t="s">
        <v>108</v>
      </c>
      <c r="D146" s="46">
        <v>1917898787.46</v>
      </c>
      <c r="E146" s="46">
        <v>14715615.710000001</v>
      </c>
      <c r="F146" s="46">
        <v>71295792.799999997</v>
      </c>
      <c r="G146" s="11">
        <v>3104153.39</v>
      </c>
      <c r="H146" s="13">
        <f t="shared" si="73"/>
        <v>82907255.11999999</v>
      </c>
      <c r="I146" s="11">
        <v>1776845046.45</v>
      </c>
      <c r="J146" s="14">
        <f t="shared" si="74"/>
        <v>3.3719896387261659E-2</v>
      </c>
      <c r="K146" s="11">
        <v>1858213677.03</v>
      </c>
      <c r="L146" s="14">
        <f t="shared" si="75"/>
        <v>3.4794836075356488E-2</v>
      </c>
      <c r="M146" s="14">
        <f t="shared" si="68"/>
        <v>4.5793880981669276E-2</v>
      </c>
      <c r="N146" s="25">
        <f t="shared" si="76"/>
        <v>1.6705040052021343E-3</v>
      </c>
      <c r="O146" s="26">
        <f t="shared" si="77"/>
        <v>4.4616642394168265E-2</v>
      </c>
      <c r="P146" s="27">
        <f t="shared" si="78"/>
        <v>4.4230465009159134</v>
      </c>
      <c r="Q146" s="27">
        <f t="shared" si="79"/>
        <v>0.19734148402414256</v>
      </c>
      <c r="R146" s="28">
        <v>4.3567</v>
      </c>
      <c r="S146" s="28">
        <v>4.4577999999999998</v>
      </c>
      <c r="T146" s="11">
        <v>2743</v>
      </c>
      <c r="U146" s="11">
        <v>420488419.42000002</v>
      </c>
      <c r="V146" s="11">
        <v>420120764.42000002</v>
      </c>
    </row>
    <row r="147" spans="1:22">
      <c r="A147" s="19">
        <v>125</v>
      </c>
      <c r="B147" s="23" t="s">
        <v>169</v>
      </c>
      <c r="C147" s="23" t="s">
        <v>60</v>
      </c>
      <c r="D147" s="46">
        <v>3308006625.3699999</v>
      </c>
      <c r="E147" s="46">
        <v>21163968.149999999</v>
      </c>
      <c r="F147" s="46">
        <v>789326697.08000004</v>
      </c>
      <c r="G147" s="11">
        <v>8534629.5800000001</v>
      </c>
      <c r="H147" s="13">
        <f t="shared" si="73"/>
        <v>801956035.64999998</v>
      </c>
      <c r="I147" s="11">
        <v>3199510772.8000002</v>
      </c>
      <c r="J147" s="14">
        <f t="shared" si="74"/>
        <v>6.07183907028324E-2</v>
      </c>
      <c r="K147" s="11">
        <v>3292146526.8699999</v>
      </c>
      <c r="L147" s="14">
        <f t="shared" si="75"/>
        <v>6.1645062758111699E-2</v>
      </c>
      <c r="M147" s="14">
        <f t="shared" si="68"/>
        <v>2.8953099598077306E-2</v>
      </c>
      <c r="N147" s="25">
        <f t="shared" si="76"/>
        <v>2.5924209358063654E-3</v>
      </c>
      <c r="O147" s="26">
        <f t="shared" si="77"/>
        <v>0.24359670175812548</v>
      </c>
      <c r="P147" s="27">
        <f t="shared" si="78"/>
        <v>7438.8373833160585</v>
      </c>
      <c r="Q147" s="27">
        <f t="shared" si="79"/>
        <v>1812.0762514908365</v>
      </c>
      <c r="R147" s="28">
        <v>7438.84</v>
      </c>
      <c r="S147" s="28">
        <v>7500.09</v>
      </c>
      <c r="T147" s="11">
        <v>931</v>
      </c>
      <c r="U147" s="11">
        <v>441178.62</v>
      </c>
      <c r="V147" s="11">
        <v>442561.97</v>
      </c>
    </row>
    <row r="148" spans="1:22" ht="14.1" customHeight="1">
      <c r="A148" s="19">
        <v>126</v>
      </c>
      <c r="B148" s="23" t="s">
        <v>170</v>
      </c>
      <c r="C148" s="29" t="s">
        <v>62</v>
      </c>
      <c r="D148" s="46">
        <v>710684060.04999995</v>
      </c>
      <c r="E148" s="46">
        <v>6746140.6399999997</v>
      </c>
      <c r="F148" s="46">
        <v>9609743.2300000004</v>
      </c>
      <c r="G148" s="11">
        <v>1426142.28</v>
      </c>
      <c r="H148" s="13">
        <f t="shared" si="73"/>
        <v>14929741.590000002</v>
      </c>
      <c r="I148" s="11">
        <v>755345041.27999997</v>
      </c>
      <c r="J148" s="14">
        <f t="shared" si="74"/>
        <v>1.4334483797268026E-2</v>
      </c>
      <c r="K148" s="11">
        <v>770586410.5</v>
      </c>
      <c r="L148" s="14">
        <f t="shared" si="75"/>
        <v>1.4429141366615822E-2</v>
      </c>
      <c r="M148" s="14">
        <f t="shared" si="68"/>
        <v>2.0178022475890171E-2</v>
      </c>
      <c r="N148" s="25">
        <f t="shared" si="76"/>
        <v>1.8507233719248155E-3</v>
      </c>
      <c r="O148" s="26">
        <f t="shared" si="77"/>
        <v>1.93745196989819E-2</v>
      </c>
      <c r="P148" s="27">
        <f t="shared" si="78"/>
        <v>196.14854059450397</v>
      </c>
      <c r="Q148" s="27">
        <f t="shared" si="79"/>
        <v>3.8002837636747677</v>
      </c>
      <c r="R148" s="28">
        <v>194.99</v>
      </c>
      <c r="S148" s="28">
        <v>196.6</v>
      </c>
      <c r="T148" s="11">
        <f>661+12+6</f>
        <v>679</v>
      </c>
      <c r="U148" s="11">
        <v>3919094</v>
      </c>
      <c r="V148" s="11">
        <v>3928586</v>
      </c>
    </row>
    <row r="149" spans="1:22" ht="15" customHeight="1">
      <c r="A149" s="19">
        <v>127</v>
      </c>
      <c r="B149" s="23" t="s">
        <v>171</v>
      </c>
      <c r="C149" s="29" t="s">
        <v>64</v>
      </c>
      <c r="D149" s="70">
        <v>248331135.28999999</v>
      </c>
      <c r="E149" s="70">
        <v>1956454.75</v>
      </c>
      <c r="F149" s="70"/>
      <c r="G149" s="71">
        <v>691169.45</v>
      </c>
      <c r="H149" s="72">
        <f t="shared" si="73"/>
        <v>1265285.3</v>
      </c>
      <c r="I149" s="71">
        <v>331444396.5</v>
      </c>
      <c r="J149" s="14">
        <f t="shared" si="74"/>
        <v>6.2899523683552496E-3</v>
      </c>
      <c r="K149" s="71">
        <v>331444396.5</v>
      </c>
      <c r="L149" s="14">
        <f t="shared" si="75"/>
        <v>6.2062579706901886E-3</v>
      </c>
      <c r="M149" s="14">
        <f t="shared" si="68"/>
        <v>0</v>
      </c>
      <c r="N149" s="25">
        <f t="shared" si="76"/>
        <v>2.0853254944076267E-3</v>
      </c>
      <c r="O149" s="26">
        <f t="shared" si="77"/>
        <v>3.8174888861034042E-3</v>
      </c>
      <c r="P149" s="27">
        <f t="shared" si="78"/>
        <v>137.41595449214111</v>
      </c>
      <c r="Q149" s="27">
        <f t="shared" si="79"/>
        <v>0.52458387904703985</v>
      </c>
      <c r="R149" s="71">
        <v>141.68</v>
      </c>
      <c r="S149" s="71">
        <v>142.58000000000001</v>
      </c>
      <c r="T149" s="71">
        <f>549+27+3</f>
        <v>579</v>
      </c>
      <c r="U149" s="71">
        <v>2411979</v>
      </c>
      <c r="V149" s="71">
        <v>2411979</v>
      </c>
    </row>
    <row r="150" spans="1:22">
      <c r="A150" s="19">
        <v>128</v>
      </c>
      <c r="B150" s="23" t="s">
        <v>172</v>
      </c>
      <c r="C150" s="29" t="s">
        <v>66</v>
      </c>
      <c r="D150" s="46">
        <v>195858187.84999999</v>
      </c>
      <c r="E150" s="46">
        <v>2284785.0699999998</v>
      </c>
      <c r="F150" s="46">
        <v>4254642.66</v>
      </c>
      <c r="G150" s="11">
        <v>461317.04</v>
      </c>
      <c r="H150" s="13">
        <f t="shared" si="73"/>
        <v>6078110.6900000004</v>
      </c>
      <c r="I150" s="20">
        <v>190430216.81</v>
      </c>
      <c r="J150" s="14">
        <f t="shared" si="74"/>
        <v>3.6138700967010108E-3</v>
      </c>
      <c r="K150" s="11">
        <v>197367835.91999999</v>
      </c>
      <c r="L150" s="14">
        <f t="shared" si="75"/>
        <v>3.6956898887755768E-3</v>
      </c>
      <c r="M150" s="14">
        <f t="shared" si="68"/>
        <v>3.643129344815025E-2</v>
      </c>
      <c r="N150" s="25">
        <f t="shared" si="76"/>
        <v>2.3373465987993492E-3</v>
      </c>
      <c r="O150" s="26">
        <f t="shared" si="77"/>
        <v>3.0795852128933859E-2</v>
      </c>
      <c r="P150" s="27">
        <f t="shared" si="78"/>
        <v>1.5818173075020234</v>
      </c>
      <c r="Q150" s="27">
        <f t="shared" si="79"/>
        <v>4.8713411896820616E-2</v>
      </c>
      <c r="R150" s="28">
        <v>1.5743</v>
      </c>
      <c r="S150" s="28">
        <v>1.5887</v>
      </c>
      <c r="T150" s="11">
        <v>353</v>
      </c>
      <c r="U150" s="11">
        <v>124233236.63</v>
      </c>
      <c r="V150" s="11">
        <v>124772838.8</v>
      </c>
    </row>
    <row r="151" spans="1:22">
      <c r="A151" s="19">
        <v>129</v>
      </c>
      <c r="B151" s="33" t="s">
        <v>231</v>
      </c>
      <c r="C151" s="34" t="s">
        <v>48</v>
      </c>
      <c r="D151" s="46">
        <v>114891415.7</v>
      </c>
      <c r="E151" s="46">
        <v>-2465880.98</v>
      </c>
      <c r="F151" s="46">
        <v>0</v>
      </c>
      <c r="G151" s="11">
        <v>3392074.9</v>
      </c>
      <c r="H151" s="13">
        <f t="shared" si="73"/>
        <v>-5857955.8799999999</v>
      </c>
      <c r="I151" s="11">
        <v>130649534.27</v>
      </c>
      <c r="J151" s="14">
        <f t="shared" si="74"/>
        <v>2.4793882659775086E-3</v>
      </c>
      <c r="K151" s="11">
        <v>131272536.75</v>
      </c>
      <c r="L151" s="14">
        <f t="shared" si="75"/>
        <v>2.458063060171265E-3</v>
      </c>
      <c r="M151" s="14">
        <f t="shared" si="68"/>
        <v>4.7685013458410716E-3</v>
      </c>
      <c r="N151" s="25">
        <f t="shared" si="76"/>
        <v>2.5839943250734812E-2</v>
      </c>
      <c r="O151" s="26">
        <f t="shared" si="77"/>
        <v>-4.4624382411045313E-2</v>
      </c>
      <c r="P151" s="27">
        <f t="shared" si="78"/>
        <v>155.28862993229575</v>
      </c>
      <c r="Q151" s="27">
        <f t="shared" si="79"/>
        <v>-6.9296592061860629</v>
      </c>
      <c r="R151" s="28">
        <v>154.9778</v>
      </c>
      <c r="S151" s="28">
        <v>155.6695</v>
      </c>
      <c r="T151" s="11">
        <v>123</v>
      </c>
      <c r="U151" s="11">
        <v>841164.08</v>
      </c>
      <c r="V151" s="11">
        <v>845345.45</v>
      </c>
    </row>
    <row r="152" spans="1:22">
      <c r="A152" s="19">
        <v>130</v>
      </c>
      <c r="B152" s="33" t="s">
        <v>173</v>
      </c>
      <c r="C152" s="34" t="s">
        <v>174</v>
      </c>
      <c r="D152" s="46">
        <v>148169954.09</v>
      </c>
      <c r="E152" s="46">
        <v>3788081.5</v>
      </c>
      <c r="F152" s="46">
        <v>0</v>
      </c>
      <c r="G152" s="11">
        <v>624983.56999999995</v>
      </c>
      <c r="H152" s="13">
        <f t="shared" si="73"/>
        <v>3163097.93</v>
      </c>
      <c r="I152" s="11">
        <v>223935595.96000001</v>
      </c>
      <c r="J152" s="14">
        <f t="shared" si="74"/>
        <v>4.249715026235619E-3</v>
      </c>
      <c r="K152" s="11">
        <v>224871779.84999999</v>
      </c>
      <c r="L152" s="14">
        <f t="shared" si="75"/>
        <v>4.210698056189198E-3</v>
      </c>
      <c r="M152" s="14">
        <f t="shared" si="68"/>
        <v>4.1805943623505456E-3</v>
      </c>
      <c r="N152" s="25">
        <f t="shared" si="76"/>
        <v>2.7792885813279606E-3</v>
      </c>
      <c r="O152" s="26">
        <f t="shared" si="77"/>
        <v>1.4066228906579272E-2</v>
      </c>
      <c r="P152" s="27">
        <f t="shared" si="78"/>
        <v>121.6185791231114</v>
      </c>
      <c r="Q152" s="27">
        <f t="shared" si="79"/>
        <v>1.7107147732386079</v>
      </c>
      <c r="R152" s="28">
        <v>120.51</v>
      </c>
      <c r="S152" s="28">
        <v>121.62</v>
      </c>
      <c r="T152" s="11">
        <v>66</v>
      </c>
      <c r="U152" s="11">
        <v>1853437</v>
      </c>
      <c r="V152" s="11">
        <v>1848992</v>
      </c>
    </row>
    <row r="153" spans="1:22">
      <c r="A153" s="19">
        <v>131</v>
      </c>
      <c r="B153" s="23" t="s">
        <v>175</v>
      </c>
      <c r="C153" s="29" t="s">
        <v>71</v>
      </c>
      <c r="D153" s="46">
        <v>302245288.5</v>
      </c>
      <c r="E153" s="46">
        <v>8299810.8799999999</v>
      </c>
      <c r="F153" s="46">
        <v>6989120.8600000003</v>
      </c>
      <c r="G153" s="11">
        <v>678777.86</v>
      </c>
      <c r="H153" s="13">
        <f t="shared" si="73"/>
        <v>14610153.880000001</v>
      </c>
      <c r="I153" s="21">
        <v>310759411.13</v>
      </c>
      <c r="J153" s="14">
        <f t="shared" si="74"/>
        <v>5.8974051595584182E-3</v>
      </c>
      <c r="K153" s="11">
        <v>302262891.55000001</v>
      </c>
      <c r="L153" s="14">
        <f t="shared" si="75"/>
        <v>5.659837667299503E-3</v>
      </c>
      <c r="M153" s="14">
        <f t="shared" si="68"/>
        <v>-2.7341149698747607E-2</v>
      </c>
      <c r="N153" s="25">
        <f t="shared" si="76"/>
        <v>2.2456539620832592E-3</v>
      </c>
      <c r="O153" s="26">
        <f t="shared" si="77"/>
        <v>4.8335916476810403E-2</v>
      </c>
      <c r="P153" s="27">
        <f t="shared" si="78"/>
        <v>1.2052715798276701</v>
      </c>
      <c r="Q153" s="27">
        <f t="shared" si="79"/>
        <v>5.8257906414423584E-2</v>
      </c>
      <c r="R153" s="28">
        <v>1.2279</v>
      </c>
      <c r="S153" s="28">
        <v>1.2279</v>
      </c>
      <c r="T153" s="11">
        <v>102</v>
      </c>
      <c r="U153" s="11">
        <v>250821255.91999999</v>
      </c>
      <c r="V153" s="11">
        <v>250784052.83000001</v>
      </c>
    </row>
    <row r="154" spans="1:22">
      <c r="A154" s="19">
        <v>132</v>
      </c>
      <c r="B154" s="29" t="s">
        <v>176</v>
      </c>
      <c r="C154" s="29" t="s">
        <v>75</v>
      </c>
      <c r="D154" s="46">
        <v>9335116969.5</v>
      </c>
      <c r="E154" s="46">
        <v>73737352.939999998</v>
      </c>
      <c r="F154" s="46">
        <v>96731991.959999993</v>
      </c>
      <c r="G154" s="11">
        <v>14808137.300000001</v>
      </c>
      <c r="H154" s="13">
        <f t="shared" si="73"/>
        <v>155661207.59999996</v>
      </c>
      <c r="I154" s="11">
        <v>9050921534.25</v>
      </c>
      <c r="J154" s="14">
        <f t="shared" si="74"/>
        <v>0.17176294407545767</v>
      </c>
      <c r="K154" s="11">
        <v>9213139304.5</v>
      </c>
      <c r="L154" s="14">
        <f t="shared" si="75"/>
        <v>0.17251496735933558</v>
      </c>
      <c r="M154" s="14">
        <f t="shared" si="68"/>
        <v>1.7922790473450072E-2</v>
      </c>
      <c r="N154" s="25">
        <f t="shared" si="76"/>
        <v>1.6072846410525041E-3</v>
      </c>
      <c r="O154" s="26">
        <f t="shared" si="77"/>
        <v>1.6895566479057787E-2</v>
      </c>
      <c r="P154" s="27">
        <f t="shared" si="78"/>
        <v>309.44573455841942</v>
      </c>
      <c r="Q154" s="27">
        <f t="shared" si="79"/>
        <v>5.2282609798926449</v>
      </c>
      <c r="R154" s="28">
        <v>309.45</v>
      </c>
      <c r="S154" s="28">
        <v>311.67</v>
      </c>
      <c r="T154" s="11">
        <v>5460</v>
      </c>
      <c r="U154" s="11">
        <v>29881795</v>
      </c>
      <c r="V154" s="11">
        <v>29773037</v>
      </c>
    </row>
    <row r="155" spans="1:22" ht="15.6" customHeight="1">
      <c r="A155" s="19">
        <v>133</v>
      </c>
      <c r="B155" s="44" t="s">
        <v>177</v>
      </c>
      <c r="C155" s="23" t="s">
        <v>258</v>
      </c>
      <c r="D155" s="46">
        <v>3242930238.8800001</v>
      </c>
      <c r="E155" s="46">
        <v>31738367.440000001</v>
      </c>
      <c r="F155" s="46">
        <v>-64561845.100000001</v>
      </c>
      <c r="G155" s="11">
        <v>9565661.7699999996</v>
      </c>
      <c r="H155" s="13">
        <f t="shared" si="73"/>
        <v>-42389139.43</v>
      </c>
      <c r="I155" s="11">
        <v>3040335305.0100002</v>
      </c>
      <c r="J155" s="14">
        <f t="shared" si="74"/>
        <v>5.7697654430980037E-2</v>
      </c>
      <c r="K155" s="11">
        <v>3205350581.5500002</v>
      </c>
      <c r="L155" s="14">
        <f t="shared" si="75"/>
        <v>6.001981872576663E-2</v>
      </c>
      <c r="M155" s="14">
        <f t="shared" si="68"/>
        <v>5.4275354520299267E-2</v>
      </c>
      <c r="N155" s="25">
        <f t="shared" si="76"/>
        <v>2.9842794186258296E-3</v>
      </c>
      <c r="O155" s="26">
        <f t="shared" si="77"/>
        <v>-1.3224493967677642E-2</v>
      </c>
      <c r="P155" s="27">
        <f t="shared" si="78"/>
        <v>2.2693688775651224</v>
      </c>
      <c r="Q155" s="27">
        <f t="shared" si="79"/>
        <v>-3.0011255031795345E-2</v>
      </c>
      <c r="R155" s="28">
        <v>2.2477</v>
      </c>
      <c r="S155" s="28">
        <v>2.2867000000000002</v>
      </c>
      <c r="T155" s="11">
        <v>10296</v>
      </c>
      <c r="U155" s="11">
        <v>1412441411.9000001</v>
      </c>
      <c r="V155" s="11">
        <v>1412441411.9000001</v>
      </c>
    </row>
    <row r="156" spans="1:22">
      <c r="A156" s="19">
        <v>134</v>
      </c>
      <c r="B156" s="23" t="s">
        <v>178</v>
      </c>
      <c r="C156" s="29" t="s">
        <v>79</v>
      </c>
      <c r="D156" s="46">
        <v>208988100.28</v>
      </c>
      <c r="E156" s="46">
        <v>6277680.9900000002</v>
      </c>
      <c r="F156" s="46">
        <v>0</v>
      </c>
      <c r="G156" s="11">
        <v>502776.59</v>
      </c>
      <c r="H156" s="13">
        <f t="shared" si="73"/>
        <v>5774904.4000000004</v>
      </c>
      <c r="I156" s="11">
        <v>229630437.28</v>
      </c>
      <c r="J156" s="14">
        <f t="shared" si="74"/>
        <v>4.3577882989365531E-3</v>
      </c>
      <c r="K156" s="11">
        <v>248914023.31</v>
      </c>
      <c r="L156" s="14">
        <f t="shared" si="75"/>
        <v>4.6608862828798822E-3</v>
      </c>
      <c r="M156" s="14">
        <f t="shared" si="68"/>
        <v>8.3976611543384164E-2</v>
      </c>
      <c r="N156" s="25">
        <f t="shared" si="76"/>
        <v>2.0198805327003898E-3</v>
      </c>
      <c r="O156" s="26">
        <f t="shared" si="77"/>
        <v>2.3200397965557274E-2</v>
      </c>
      <c r="P156" s="27">
        <f t="shared" si="78"/>
        <v>323.87271880370633</v>
      </c>
      <c r="Q156" s="27">
        <f t="shared" si="79"/>
        <v>7.5139759664330121</v>
      </c>
      <c r="R156" s="28">
        <v>322.13</v>
      </c>
      <c r="S156" s="28">
        <v>324.52999999999997</v>
      </c>
      <c r="T156" s="11">
        <v>40</v>
      </c>
      <c r="U156" s="11">
        <v>768555</v>
      </c>
      <c r="V156" s="11">
        <v>768555.08</v>
      </c>
    </row>
    <row r="157" spans="1:22">
      <c r="A157" s="19">
        <v>135</v>
      </c>
      <c r="B157" s="33" t="s">
        <v>234</v>
      </c>
      <c r="C157" s="33" t="s">
        <v>233</v>
      </c>
      <c r="D157" s="46">
        <v>46174839.439999998</v>
      </c>
      <c r="E157" s="46">
        <v>483565.49</v>
      </c>
      <c r="F157" s="46">
        <v>0</v>
      </c>
      <c r="G157" s="11">
        <v>58831.68</v>
      </c>
      <c r="H157" s="13">
        <f>(E157+F157)-G157</f>
        <v>424733.81</v>
      </c>
      <c r="I157" s="21">
        <v>58830975.960000001</v>
      </c>
      <c r="J157" s="14">
        <f t="shared" si="74"/>
        <v>1.1164588705673071E-3</v>
      </c>
      <c r="K157" s="11">
        <v>57920015.5</v>
      </c>
      <c r="L157" s="14">
        <f t="shared" si="75"/>
        <v>1.0845455879033824E-3</v>
      </c>
      <c r="M157" s="14">
        <f t="shared" si="68"/>
        <v>-1.5484367633461929E-2</v>
      </c>
      <c r="N157" s="25">
        <f t="shared" si="76"/>
        <v>1.0157400596690102E-3</v>
      </c>
      <c r="O157" s="26">
        <f t="shared" si="77"/>
        <v>7.3331093980801851E-3</v>
      </c>
      <c r="P157" s="27">
        <f t="shared" si="78"/>
        <v>1.1397539356133652</v>
      </c>
      <c r="Q157" s="27">
        <f t="shared" si="79"/>
        <v>8.3579402967452476E-3</v>
      </c>
      <c r="R157" s="28">
        <v>1.1379999999999999</v>
      </c>
      <c r="S157" s="28">
        <v>1.1499999999999999</v>
      </c>
      <c r="T157" s="11">
        <v>28</v>
      </c>
      <c r="U157" s="11">
        <v>50818000</v>
      </c>
      <c r="V157" s="11">
        <v>50818000</v>
      </c>
    </row>
    <row r="158" spans="1:22">
      <c r="A158" s="19">
        <v>136</v>
      </c>
      <c r="B158" s="29" t="s">
        <v>179</v>
      </c>
      <c r="C158" s="29" t="s">
        <v>36</v>
      </c>
      <c r="D158" s="46">
        <v>2973569311.1199999</v>
      </c>
      <c r="E158" s="46">
        <v>23845999.420000002</v>
      </c>
      <c r="F158" s="46">
        <v>25570793.199999999</v>
      </c>
      <c r="G158" s="11">
        <v>6244615.9900000002</v>
      </c>
      <c r="H158" s="13">
        <f t="shared" si="73"/>
        <v>43172176.630000003</v>
      </c>
      <c r="I158" s="21">
        <v>2835293312.2800002</v>
      </c>
      <c r="J158" s="14">
        <f t="shared" si="74"/>
        <v>5.3806490840937742E-2</v>
      </c>
      <c r="K158" s="11">
        <v>2878456967.29</v>
      </c>
      <c r="L158" s="14">
        <f t="shared" si="75"/>
        <v>5.389877362591728E-2</v>
      </c>
      <c r="M158" s="14">
        <f t="shared" si="68"/>
        <v>1.522370007471633E-2</v>
      </c>
      <c r="N158" s="25">
        <f t="shared" si="76"/>
        <v>2.1694317688129832E-3</v>
      </c>
      <c r="O158" s="26">
        <f t="shared" si="77"/>
        <v>1.4998374865630038E-2</v>
      </c>
      <c r="P158" s="27">
        <f t="shared" si="78"/>
        <v>4.0650391854968646</v>
      </c>
      <c r="Q158" s="27">
        <f t="shared" si="79"/>
        <v>6.096898154755738E-2</v>
      </c>
      <c r="R158" s="28">
        <v>4.07</v>
      </c>
      <c r="S158" s="28">
        <v>4.21</v>
      </c>
      <c r="T158" s="11">
        <v>2356</v>
      </c>
      <c r="U158" s="11">
        <v>707856686.14999998</v>
      </c>
      <c r="V158" s="11">
        <v>708100669.13</v>
      </c>
    </row>
    <row r="159" spans="1:22">
      <c r="A159" s="19">
        <v>137</v>
      </c>
      <c r="B159" s="33" t="s">
        <v>263</v>
      </c>
      <c r="C159" s="34" t="s">
        <v>264</v>
      </c>
      <c r="D159" s="21">
        <f>24719000+18197093.52+21482334.42</f>
        <v>64398427.939999998</v>
      </c>
      <c r="E159" s="21">
        <v>858330.3</v>
      </c>
      <c r="F159" s="21">
        <v>9009.5400000000009</v>
      </c>
      <c r="G159" s="21">
        <v>251572.48000000001</v>
      </c>
      <c r="H159" s="13">
        <f t="shared" si="73"/>
        <v>615767.3600000001</v>
      </c>
      <c r="I159" s="21">
        <v>63060571.68</v>
      </c>
      <c r="J159" s="14">
        <f t="shared" si="74"/>
        <v>1.1967255937254983E-3</v>
      </c>
      <c r="K159" s="21">
        <v>64057375.600000001</v>
      </c>
      <c r="L159" s="14">
        <f t="shared" si="75"/>
        <v>1.1994669455785932E-3</v>
      </c>
      <c r="M159" s="14">
        <f t="shared" si="68"/>
        <v>1.5807086638197153E-2</v>
      </c>
      <c r="N159" s="25">
        <f t="shared" si="76"/>
        <v>3.9272992008120922E-3</v>
      </c>
      <c r="O159" s="26">
        <f t="shared" si="77"/>
        <v>9.6127472321860166E-3</v>
      </c>
      <c r="P159" s="27">
        <f t="shared" si="78"/>
        <v>2.0877843920228876</v>
      </c>
      <c r="Q159" s="27">
        <f t="shared" si="79"/>
        <v>2.0069343635819178E-2</v>
      </c>
      <c r="R159" s="21">
        <v>2.0815999999999999</v>
      </c>
      <c r="S159" s="21">
        <v>2.0912999999999999</v>
      </c>
      <c r="T159" s="50">
        <v>68</v>
      </c>
      <c r="U159" s="51">
        <v>30480006.5</v>
      </c>
      <c r="V159" s="51">
        <v>30681987.969999999</v>
      </c>
    </row>
    <row r="160" spans="1:22">
      <c r="A160" s="19">
        <v>138</v>
      </c>
      <c r="B160" s="29" t="s">
        <v>180</v>
      </c>
      <c r="C160" s="29" t="s">
        <v>118</v>
      </c>
      <c r="D160" s="46">
        <v>381513456.25999999</v>
      </c>
      <c r="E160" s="46">
        <v>3395581.13</v>
      </c>
      <c r="F160" s="46">
        <v>4616997.9000000004</v>
      </c>
      <c r="G160" s="11">
        <v>902651.61</v>
      </c>
      <c r="H160" s="13">
        <f t="shared" si="73"/>
        <v>7109927.4199999999</v>
      </c>
      <c r="I160" s="11">
        <v>351378938.22000003</v>
      </c>
      <c r="J160" s="14">
        <f t="shared" si="74"/>
        <v>6.6682581090099736E-3</v>
      </c>
      <c r="K160" s="11">
        <v>376070370.75999999</v>
      </c>
      <c r="L160" s="14">
        <f t="shared" si="75"/>
        <v>7.0418741747219861E-3</v>
      </c>
      <c r="M160" s="14">
        <f t="shared" si="68"/>
        <v>7.0270098330539488E-2</v>
      </c>
      <c r="N160" s="25">
        <f t="shared" si="76"/>
        <v>2.4002199593013214E-3</v>
      </c>
      <c r="O160" s="26">
        <f t="shared" si="77"/>
        <v>1.8905843088971776E-2</v>
      </c>
      <c r="P160" s="27">
        <f t="shared" si="78"/>
        <v>216.55423343415444</v>
      </c>
      <c r="Q160" s="27">
        <f t="shared" si="79"/>
        <v>4.0941403575586897</v>
      </c>
      <c r="R160" s="28">
        <v>216.55420000000001</v>
      </c>
      <c r="S160" s="28">
        <v>219.6885</v>
      </c>
      <c r="T160" s="11">
        <v>139</v>
      </c>
      <c r="U160" s="11">
        <v>1659049.64</v>
      </c>
      <c r="V160" s="11">
        <v>1736610.57</v>
      </c>
    </row>
    <row r="161" spans="1:22">
      <c r="A161" s="19">
        <v>139</v>
      </c>
      <c r="B161" s="23" t="s">
        <v>181</v>
      </c>
      <c r="C161" s="29" t="s">
        <v>32</v>
      </c>
      <c r="D161" s="46">
        <v>2190637085.1100001</v>
      </c>
      <c r="E161" s="46">
        <v>24198978.300000001</v>
      </c>
      <c r="F161" s="46">
        <v>344238360.87</v>
      </c>
      <c r="G161" s="11">
        <v>5522030.9800000004</v>
      </c>
      <c r="H161" s="13">
        <f t="shared" si="73"/>
        <v>362915308.19</v>
      </c>
      <c r="I161" s="21">
        <v>2288267037.8800001</v>
      </c>
      <c r="J161" s="14">
        <f t="shared" si="74"/>
        <v>4.3425355282307683E-2</v>
      </c>
      <c r="K161" s="11">
        <v>2150194466.3899999</v>
      </c>
      <c r="L161" s="14">
        <f t="shared" si="75"/>
        <v>4.0262142568962912E-2</v>
      </c>
      <c r="M161" s="14">
        <f t="shared" si="68"/>
        <v>-6.0339361273988236E-2</v>
      </c>
      <c r="N161" s="25">
        <f t="shared" si="76"/>
        <v>2.5681542141028006E-3</v>
      </c>
      <c r="O161" s="26">
        <f t="shared" si="77"/>
        <v>0.1687825514681493</v>
      </c>
      <c r="P161" s="27">
        <f t="shared" si="78"/>
        <v>2882.4914087941547</v>
      </c>
      <c r="Q161" s="27">
        <f t="shared" si="79"/>
        <v>486.51425456129766</v>
      </c>
      <c r="R161" s="28">
        <v>552.20000000000005</v>
      </c>
      <c r="S161" s="28">
        <v>552.20000000000005</v>
      </c>
      <c r="T161" s="11">
        <v>823</v>
      </c>
      <c r="U161" s="11">
        <v>745950</v>
      </c>
      <c r="V161" s="11">
        <v>745950</v>
      </c>
    </row>
    <row r="162" spans="1:22">
      <c r="A162" s="19">
        <v>140</v>
      </c>
      <c r="B162" s="23" t="s">
        <v>182</v>
      </c>
      <c r="C162" s="29" t="s">
        <v>86</v>
      </c>
      <c r="D162" s="46">
        <v>29079660.690000001</v>
      </c>
      <c r="E162" s="46">
        <v>170383.4</v>
      </c>
      <c r="F162" s="46">
        <v>-1180269.45</v>
      </c>
      <c r="G162" s="11">
        <v>106027.18</v>
      </c>
      <c r="H162" s="13">
        <f t="shared" si="73"/>
        <v>-1115913.23</v>
      </c>
      <c r="I162" s="11">
        <v>28195922.890000001</v>
      </c>
      <c r="J162" s="14">
        <f t="shared" si="74"/>
        <v>5.3508526266461557E-4</v>
      </c>
      <c r="K162" s="11">
        <v>29454232.07</v>
      </c>
      <c r="L162" s="14">
        <f t="shared" si="75"/>
        <v>5.5152708715350404E-4</v>
      </c>
      <c r="M162" s="14">
        <f t="shared" si="68"/>
        <v>4.4627345056553303E-2</v>
      </c>
      <c r="N162" s="25">
        <f t="shared" si="76"/>
        <v>3.5997265095222696E-3</v>
      </c>
      <c r="O162" s="26">
        <f t="shared" si="77"/>
        <v>-3.7886346089348238E-2</v>
      </c>
      <c r="P162" s="27">
        <f t="shared" si="78"/>
        <v>1.8124501742426298</v>
      </c>
      <c r="Q162" s="27">
        <f t="shared" si="79"/>
        <v>-6.8667114571055787E-2</v>
      </c>
      <c r="R162" s="28">
        <v>1.8125</v>
      </c>
      <c r="S162" s="28">
        <v>1.8125</v>
      </c>
      <c r="T162" s="11">
        <v>8</v>
      </c>
      <c r="U162" s="11">
        <v>16109400.699999999</v>
      </c>
      <c r="V162" s="11">
        <v>16251057.539999999</v>
      </c>
    </row>
    <row r="163" spans="1:22">
      <c r="A163" s="19">
        <v>141</v>
      </c>
      <c r="B163" s="29" t="s">
        <v>183</v>
      </c>
      <c r="C163" s="29" t="s">
        <v>42</v>
      </c>
      <c r="D163" s="46">
        <v>229952219.87</v>
      </c>
      <c r="E163" s="46">
        <v>3605848.56</v>
      </c>
      <c r="F163" s="46">
        <v>75409187.129999995</v>
      </c>
      <c r="G163" s="11">
        <v>346044.4</v>
      </c>
      <c r="H163" s="13">
        <f t="shared" si="73"/>
        <v>78668991.289999992</v>
      </c>
      <c r="I163" s="11">
        <v>221360866.63999999</v>
      </c>
      <c r="J163" s="14">
        <f t="shared" si="74"/>
        <v>4.2008533620915764E-3</v>
      </c>
      <c r="K163" s="11">
        <v>233994018.56999999</v>
      </c>
      <c r="L163" s="14">
        <f t="shared" si="75"/>
        <v>4.3815109206225191E-3</v>
      </c>
      <c r="M163" s="14">
        <f t="shared" si="68"/>
        <v>5.7070394246989238E-2</v>
      </c>
      <c r="N163" s="25">
        <f t="shared" si="76"/>
        <v>1.4788600243492115E-3</v>
      </c>
      <c r="O163" s="26">
        <f t="shared" si="77"/>
        <v>0.33620086432451235</v>
      </c>
      <c r="P163" s="27">
        <f t="shared" si="78"/>
        <v>2.3608163440030761</v>
      </c>
      <c r="Q163" s="27">
        <f t="shared" si="79"/>
        <v>0.79370849536526955</v>
      </c>
      <c r="R163" s="28">
        <v>2.12</v>
      </c>
      <c r="S163" s="28">
        <v>2.17</v>
      </c>
      <c r="T163" s="11">
        <v>119</v>
      </c>
      <c r="U163" s="11">
        <v>98900001</v>
      </c>
      <c r="V163" s="11">
        <v>99115722.900000006</v>
      </c>
    </row>
    <row r="164" spans="1:22">
      <c r="A164" s="19">
        <v>142</v>
      </c>
      <c r="B164" s="23" t="s">
        <v>184</v>
      </c>
      <c r="C164" s="23" t="s">
        <v>46</v>
      </c>
      <c r="D164" s="46">
        <v>2705905053.5</v>
      </c>
      <c r="E164" s="46">
        <v>27706190.210000001</v>
      </c>
      <c r="F164" s="46">
        <v>-44672809.299999997</v>
      </c>
      <c r="G164" s="11">
        <v>4366952.34</v>
      </c>
      <c r="H164" s="13">
        <f t="shared" si="73"/>
        <v>-21333571.429999996</v>
      </c>
      <c r="I164" s="21">
        <v>2729404884.7800002</v>
      </c>
      <c r="J164" s="14">
        <f t="shared" si="74"/>
        <v>5.1797003963596495E-2</v>
      </c>
      <c r="K164" s="11">
        <v>2706210169.9299998</v>
      </c>
      <c r="L164" s="14">
        <f t="shared" si="75"/>
        <v>5.0673472277244884E-2</v>
      </c>
      <c r="M164" s="14">
        <f t="shared" si="68"/>
        <v>-8.4980850511923809E-3</v>
      </c>
      <c r="N164" s="25">
        <f t="shared" si="76"/>
        <v>1.6136781941488889E-3</v>
      </c>
      <c r="O164" s="26">
        <f t="shared" si="77"/>
        <v>-7.8831909165989946E-3</v>
      </c>
      <c r="P164" s="27">
        <f t="shared" si="78"/>
        <v>6229.3504379254646</v>
      </c>
      <c r="Q164" s="27">
        <f t="shared" si="79"/>
        <v>-49.107158788565989</v>
      </c>
      <c r="R164" s="28">
        <v>6191.59</v>
      </c>
      <c r="S164" s="28">
        <v>6255.23</v>
      </c>
      <c r="T164" s="11">
        <v>2243</v>
      </c>
      <c r="U164" s="11">
        <v>449686.75</v>
      </c>
      <c r="V164" s="11">
        <v>434428.95</v>
      </c>
    </row>
    <row r="165" spans="1:22">
      <c r="A165" s="19">
        <v>143</v>
      </c>
      <c r="B165" s="33" t="s">
        <v>232</v>
      </c>
      <c r="C165" s="33" t="s">
        <v>233</v>
      </c>
      <c r="D165" s="46">
        <v>649917377.45000005</v>
      </c>
      <c r="E165" s="46">
        <v>56007923.729999997</v>
      </c>
      <c r="F165" s="46">
        <v>0</v>
      </c>
      <c r="G165" s="11">
        <v>755088.92</v>
      </c>
      <c r="H165" s="13">
        <f t="shared" si="73"/>
        <v>55252834.809999995</v>
      </c>
      <c r="I165" s="21">
        <v>694878266.57000005</v>
      </c>
      <c r="J165" s="14">
        <f t="shared" si="74"/>
        <v>1.3186981722077664E-2</v>
      </c>
      <c r="K165" s="11">
        <v>648949584.13</v>
      </c>
      <c r="L165" s="14">
        <f t="shared" si="75"/>
        <v>1.2151505868293945E-2</v>
      </c>
      <c r="M165" s="14">
        <f t="shared" si="68"/>
        <v>-6.6096012279545563E-2</v>
      </c>
      <c r="N165" s="25">
        <f t="shared" si="76"/>
        <v>1.1635555957899156E-3</v>
      </c>
      <c r="O165" s="26">
        <f t="shared" si="77"/>
        <v>8.5141952720523731E-2</v>
      </c>
      <c r="P165" s="27">
        <f t="shared" si="78"/>
        <v>1.2387051196371071</v>
      </c>
      <c r="Q165" s="27">
        <f t="shared" si="79"/>
        <v>0.10546577273081326</v>
      </c>
      <c r="R165" s="28">
        <v>1.3280000000000001</v>
      </c>
      <c r="S165" s="28">
        <v>1.3280000000000001</v>
      </c>
      <c r="T165" s="11">
        <v>43</v>
      </c>
      <c r="U165" s="11">
        <v>522693519</v>
      </c>
      <c r="V165" s="11">
        <v>523893519</v>
      </c>
    </row>
    <row r="166" spans="1:22">
      <c r="A166" s="19">
        <v>144</v>
      </c>
      <c r="B166" s="23" t="s">
        <v>185</v>
      </c>
      <c r="C166" s="23" t="s">
        <v>50</v>
      </c>
      <c r="D166" s="46">
        <v>1396239084</v>
      </c>
      <c r="E166" s="46">
        <v>15662431</v>
      </c>
      <c r="F166" s="46">
        <v>33058643</v>
      </c>
      <c r="G166" s="11">
        <v>3310493</v>
      </c>
      <c r="H166" s="13">
        <f t="shared" si="73"/>
        <v>45410581</v>
      </c>
      <c r="I166" s="11">
        <v>1914088841.5</v>
      </c>
      <c r="J166" s="14">
        <f t="shared" si="74"/>
        <v>3.6324426567384376E-2</v>
      </c>
      <c r="K166" s="11">
        <v>2000274325.73</v>
      </c>
      <c r="L166" s="14">
        <f t="shared" si="75"/>
        <v>3.7454905283422872E-2</v>
      </c>
      <c r="M166" s="14">
        <f t="shared" si="68"/>
        <v>4.5026898627369707E-2</v>
      </c>
      <c r="N166" s="25">
        <f t="shared" si="76"/>
        <v>1.6550194927847388E-3</v>
      </c>
      <c r="O166" s="26">
        <f t="shared" si="77"/>
        <v>2.2702176604415203E-2</v>
      </c>
      <c r="P166" s="27">
        <f t="shared" si="78"/>
        <v>1.8623203826915939</v>
      </c>
      <c r="Q166" s="27">
        <f t="shared" si="79"/>
        <v>4.2278726221866673E-2</v>
      </c>
      <c r="R166" s="28">
        <v>1.86</v>
      </c>
      <c r="S166" s="28">
        <v>1.87</v>
      </c>
      <c r="T166" s="11">
        <v>1407</v>
      </c>
      <c r="U166" s="11">
        <v>1057706215</v>
      </c>
      <c r="V166" s="11">
        <v>1074076375</v>
      </c>
    </row>
    <row r="167" spans="1:22">
      <c r="A167" s="19">
        <v>145</v>
      </c>
      <c r="B167" s="35" t="s">
        <v>186</v>
      </c>
      <c r="C167" s="23" t="s">
        <v>93</v>
      </c>
      <c r="D167" s="46">
        <v>8135957192.0200005</v>
      </c>
      <c r="E167" s="46">
        <v>51788972.020000003</v>
      </c>
      <c r="F167" s="46">
        <v>-32919840.920000002</v>
      </c>
      <c r="G167" s="11">
        <v>14591125.66</v>
      </c>
      <c r="H167" s="13">
        <f t="shared" si="73"/>
        <v>4278005.4400000013</v>
      </c>
      <c r="I167" s="20">
        <v>9796592769.8600006</v>
      </c>
      <c r="J167" s="14">
        <f t="shared" si="74"/>
        <v>0.18591384420823304</v>
      </c>
      <c r="K167" s="11">
        <v>9802896870.6599998</v>
      </c>
      <c r="L167" s="14">
        <f t="shared" si="75"/>
        <v>0.18355810954066779</v>
      </c>
      <c r="M167" s="14">
        <f t="shared" si="68"/>
        <v>6.434993214573853E-4</v>
      </c>
      <c r="N167" s="25">
        <f t="shared" si="76"/>
        <v>1.4884503889529977E-3</v>
      </c>
      <c r="O167" s="26">
        <f t="shared" si="77"/>
        <v>4.3640216728220828E-4</v>
      </c>
      <c r="P167" s="27">
        <f t="shared" si="78"/>
        <v>535.67934575385038</v>
      </c>
      <c r="Q167" s="27">
        <f t="shared" si="79"/>
        <v>0.23377162745529567</v>
      </c>
      <c r="R167" s="28">
        <v>531.72</v>
      </c>
      <c r="S167" s="28">
        <v>537.51</v>
      </c>
      <c r="T167" s="11">
        <v>37</v>
      </c>
      <c r="U167" s="11">
        <v>18296245.699999999</v>
      </c>
      <c r="V167" s="11">
        <v>18299934.370000001</v>
      </c>
    </row>
    <row r="168" spans="1:22">
      <c r="A168" s="19">
        <v>146</v>
      </c>
      <c r="B168" s="23" t="s">
        <v>187</v>
      </c>
      <c r="C168" s="23" t="s">
        <v>50</v>
      </c>
      <c r="D168" s="46">
        <v>547567282.01999998</v>
      </c>
      <c r="E168" s="46">
        <v>12575206</v>
      </c>
      <c r="F168" s="46">
        <v>-11841395.300000001</v>
      </c>
      <c r="G168" s="11">
        <v>1885762</v>
      </c>
      <c r="H168" s="13">
        <f t="shared" si="73"/>
        <v>-1151951.3000000007</v>
      </c>
      <c r="I168" s="20">
        <v>1105393029</v>
      </c>
      <c r="J168" s="14">
        <f t="shared" si="74"/>
        <v>2.0977483928354579E-2</v>
      </c>
      <c r="K168" s="11">
        <v>1155484925</v>
      </c>
      <c r="L168" s="14">
        <f t="shared" si="75"/>
        <v>2.1636321511302438E-2</v>
      </c>
      <c r="M168" s="14">
        <f t="shared" si="68"/>
        <v>4.5315914508087606E-2</v>
      </c>
      <c r="N168" s="25">
        <f t="shared" si="76"/>
        <v>1.6320091757146896E-3</v>
      </c>
      <c r="O168" s="26">
        <f t="shared" si="77"/>
        <v>-9.9694186836751732E-4</v>
      </c>
      <c r="P168" s="27">
        <f t="shared" si="78"/>
        <v>1.4625861814361032</v>
      </c>
      <c r="Q168" s="27">
        <f t="shared" si="79"/>
        <v>-1.4581134003694215E-3</v>
      </c>
      <c r="R168" s="28">
        <v>1.46</v>
      </c>
      <c r="S168" s="28">
        <v>1.47</v>
      </c>
      <c r="T168" s="11">
        <v>208</v>
      </c>
      <c r="U168" s="11">
        <v>771833681</v>
      </c>
      <c r="V168" s="11">
        <v>790028608</v>
      </c>
    </row>
    <row r="169" spans="1:22">
      <c r="A169" s="19">
        <v>147</v>
      </c>
      <c r="B169" s="23" t="s">
        <v>188</v>
      </c>
      <c r="C169" s="23" t="s">
        <v>44</v>
      </c>
      <c r="D169" s="46">
        <v>528388590.38999999</v>
      </c>
      <c r="E169" s="46">
        <v>3835852.83</v>
      </c>
      <c r="F169" s="46">
        <v>30081767</v>
      </c>
      <c r="G169" s="11">
        <v>1023786.16</v>
      </c>
      <c r="H169" s="13">
        <f t="shared" si="73"/>
        <v>32893833.669999998</v>
      </c>
      <c r="I169" s="11">
        <v>524745700.19</v>
      </c>
      <c r="J169" s="14">
        <f t="shared" si="74"/>
        <v>9.9583082246928988E-3</v>
      </c>
      <c r="K169" s="11">
        <v>525210510.02999997</v>
      </c>
      <c r="L169" s="14">
        <f t="shared" si="75"/>
        <v>9.8345060244937541E-3</v>
      </c>
      <c r="M169" s="14">
        <f t="shared" si="68"/>
        <v>8.8578113137787568E-4</v>
      </c>
      <c r="N169" s="25">
        <f t="shared" si="76"/>
        <v>1.9492872675787114E-3</v>
      </c>
      <c r="O169" s="26">
        <f t="shared" si="77"/>
        <v>6.2629808508822687E-2</v>
      </c>
      <c r="P169" s="27">
        <f t="shared" si="78"/>
        <v>255.49172661667521</v>
      </c>
      <c r="Q169" s="27">
        <f t="shared" si="79"/>
        <v>16.001397913590846</v>
      </c>
      <c r="R169" s="28">
        <v>255.49</v>
      </c>
      <c r="S169" s="28">
        <v>257.04000000000002</v>
      </c>
      <c r="T169" s="11">
        <v>768</v>
      </c>
      <c r="U169" s="11">
        <v>2055174</v>
      </c>
      <c r="V169" s="11">
        <v>2055685</v>
      </c>
    </row>
    <row r="170" spans="1:22">
      <c r="A170" s="19">
        <v>148</v>
      </c>
      <c r="B170" s="23" t="s">
        <v>189</v>
      </c>
      <c r="C170" s="23" t="s">
        <v>97</v>
      </c>
      <c r="D170" s="46">
        <v>3481513546.2600002</v>
      </c>
      <c r="E170" s="46">
        <v>19969787.969999999</v>
      </c>
      <c r="F170" s="46">
        <v>-23136431.199999999</v>
      </c>
      <c r="G170" s="11">
        <v>28488547.550000001</v>
      </c>
      <c r="H170" s="13">
        <f t="shared" si="73"/>
        <v>-31655190.780000001</v>
      </c>
      <c r="I170" s="21">
        <v>3502544268.8299999</v>
      </c>
      <c r="J170" s="14">
        <f t="shared" si="74"/>
        <v>6.6469178093334774E-2</v>
      </c>
      <c r="K170" s="11">
        <v>3472789834.71</v>
      </c>
      <c r="L170" s="14">
        <f t="shared" si="75"/>
        <v>6.5027587793902553E-2</v>
      </c>
      <c r="M170" s="14">
        <f t="shared" si="68"/>
        <v>-8.4950915209814452E-3</v>
      </c>
      <c r="N170" s="25">
        <f t="shared" si="76"/>
        <v>8.2033606713718607E-3</v>
      </c>
      <c r="O170" s="26">
        <f t="shared" si="77"/>
        <v>-9.1152048602570878E-3</v>
      </c>
      <c r="P170" s="27">
        <f t="shared" si="78"/>
        <v>20.65121505434189</v>
      </c>
      <c r="Q170" s="27">
        <f t="shared" si="79"/>
        <v>-0.18824005583355152</v>
      </c>
      <c r="R170" s="28">
        <v>20.651499999999999</v>
      </c>
      <c r="S170" s="28">
        <v>20.885000000000002</v>
      </c>
      <c r="T170" s="11">
        <v>6177</v>
      </c>
      <c r="U170" s="11">
        <v>170281899.56999999</v>
      </c>
      <c r="V170" s="11">
        <v>168163947.03999999</v>
      </c>
    </row>
    <row r="171" spans="1:22" ht="15" customHeight="1">
      <c r="A171" s="101" t="s">
        <v>51</v>
      </c>
      <c r="B171" s="101"/>
      <c r="C171" s="101"/>
      <c r="D171" s="101"/>
      <c r="E171" s="101"/>
      <c r="F171" s="101"/>
      <c r="G171" s="101"/>
      <c r="H171" s="101"/>
      <c r="I171" s="58">
        <f>SUM(I143:I170)</f>
        <v>52694261751.090004</v>
      </c>
      <c r="J171" s="56">
        <f>(I171/$I$201)</f>
        <v>1.4069830751864481E-2</v>
      </c>
      <c r="K171" s="58">
        <f>SUM(K143:K170)</f>
        <v>53404869418.139992</v>
      </c>
      <c r="L171" s="56">
        <f>(K171/$K$201)</f>
        <v>1.3911920784002741E-2</v>
      </c>
      <c r="M171" s="56">
        <f t="shared" si="68"/>
        <v>1.3485484821984219E-2</v>
      </c>
      <c r="N171" s="25"/>
      <c r="O171" s="25"/>
      <c r="P171" s="57"/>
      <c r="Q171" s="57"/>
      <c r="R171" s="37"/>
      <c r="S171" s="37"/>
      <c r="T171" s="58">
        <f>SUM(T143:T170)</f>
        <v>69149</v>
      </c>
      <c r="U171" s="58"/>
      <c r="V171" s="61"/>
    </row>
    <row r="172" spans="1:22" ht="6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</row>
    <row r="173" spans="1:22">
      <c r="A173" s="100" t="s">
        <v>190</v>
      </c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</row>
    <row r="174" spans="1:22">
      <c r="A174" s="19">
        <v>149</v>
      </c>
      <c r="B174" s="29" t="s">
        <v>191</v>
      </c>
      <c r="C174" s="29" t="s">
        <v>26</v>
      </c>
      <c r="D174" s="11">
        <v>596371265.25999999</v>
      </c>
      <c r="E174" s="11">
        <v>20052691.780000001</v>
      </c>
      <c r="F174" s="11">
        <v>12373181.890000001</v>
      </c>
      <c r="G174" s="11">
        <v>1634478.68</v>
      </c>
      <c r="H174" s="13">
        <f>(E174+F174)-G174</f>
        <v>30791394.990000002</v>
      </c>
      <c r="I174" s="11">
        <v>902492348</v>
      </c>
      <c r="J174" s="14">
        <f>(I174/$I$177)</f>
        <v>0.16462073911965316</v>
      </c>
      <c r="K174" s="11">
        <v>941319537</v>
      </c>
      <c r="L174" s="14">
        <f>(K174/$K$177)</f>
        <v>0.16689322246657171</v>
      </c>
      <c r="M174" s="14">
        <f>((K174-I174)/I174)</f>
        <v>4.3022180837371485E-2</v>
      </c>
      <c r="N174" s="25">
        <f>(G174/K174)</f>
        <v>1.736369655312912E-3</v>
      </c>
      <c r="O174" s="26">
        <f>H174/K174</f>
        <v>3.2710884858644977E-2</v>
      </c>
      <c r="P174" s="27">
        <f>K174/V174</f>
        <v>66.142419668982782</v>
      </c>
      <c r="Q174" s="27">
        <f>H174/V174</f>
        <v>2.1635770740642708</v>
      </c>
      <c r="R174" s="11">
        <v>65.811700000000002</v>
      </c>
      <c r="S174" s="11">
        <v>67.796000000000006</v>
      </c>
      <c r="T174" s="11">
        <v>1647</v>
      </c>
      <c r="U174" s="11">
        <v>14100467</v>
      </c>
      <c r="V174" s="11">
        <v>14231707</v>
      </c>
    </row>
    <row r="175" spans="1:22">
      <c r="A175" s="19">
        <v>150</v>
      </c>
      <c r="B175" s="29" t="s">
        <v>192</v>
      </c>
      <c r="C175" s="23" t="s">
        <v>46</v>
      </c>
      <c r="D175" s="11">
        <v>3759806635.2399998</v>
      </c>
      <c r="E175" s="11">
        <v>22597590.620000001</v>
      </c>
      <c r="F175" s="32">
        <v>60579090.200000003</v>
      </c>
      <c r="G175" s="11">
        <v>10657380.710000001</v>
      </c>
      <c r="H175" s="13">
        <f>(E175+F175)-G175</f>
        <v>72519300.110000014</v>
      </c>
      <c r="I175" s="21">
        <v>3662795976.0500002</v>
      </c>
      <c r="J175" s="14">
        <f t="shared" ref="J175:J176" si="80">(I175/$I$177)</f>
        <v>0.66811888450697698</v>
      </c>
      <c r="K175" s="11">
        <v>3782131441.52</v>
      </c>
      <c r="L175" s="14">
        <f t="shared" ref="L175:L176" si="81">(K175/$K$177)</f>
        <v>0.67056092990388338</v>
      </c>
      <c r="M175" s="14">
        <f t="shared" ref="M175:M177" si="82">((K175-I175)/I175)</f>
        <v>3.2580429336032113E-2</v>
      </c>
      <c r="N175" s="25">
        <f t="shared" ref="N175:N176" si="83">(G175/K175)</f>
        <v>2.8178239901987404E-3</v>
      </c>
      <c r="O175" s="26">
        <f t="shared" ref="O175:O176" si="84">H175/K175</f>
        <v>1.9174188214055102E-2</v>
      </c>
      <c r="P175" s="27">
        <f t="shared" ref="P175:P176" si="85">K175/V175</f>
        <v>2.7498967565222414</v>
      </c>
      <c r="Q175" s="27">
        <f t="shared" ref="Q175:Q176" si="86">H175/V175</f>
        <v>5.2727037978777112E-2</v>
      </c>
      <c r="R175" s="11">
        <v>2.73</v>
      </c>
      <c r="S175" s="11">
        <v>2.75</v>
      </c>
      <c r="T175" s="11">
        <v>10178</v>
      </c>
      <c r="U175" s="11">
        <v>1358549063.1199999</v>
      </c>
      <c r="V175" s="11">
        <v>1375372159.9000001</v>
      </c>
    </row>
    <row r="176" spans="1:22">
      <c r="A176" s="19">
        <v>151</v>
      </c>
      <c r="B176" s="29" t="s">
        <v>193</v>
      </c>
      <c r="C176" s="23" t="s">
        <v>97</v>
      </c>
      <c r="D176" s="11">
        <v>919571290.27999997</v>
      </c>
      <c r="E176" s="11">
        <v>6005032.6500000004</v>
      </c>
      <c r="F176" s="11">
        <v>-40879455.68</v>
      </c>
      <c r="G176" s="11">
        <v>7902690.5800000001</v>
      </c>
      <c r="H176" s="13">
        <f>(E176+F176)-G176</f>
        <v>-42777113.609999999</v>
      </c>
      <c r="I176" s="20">
        <v>916963504.15999997</v>
      </c>
      <c r="J176" s="14">
        <f t="shared" si="80"/>
        <v>0.16726037637336993</v>
      </c>
      <c r="K176" s="11">
        <v>916799255.05999994</v>
      </c>
      <c r="L176" s="14">
        <f t="shared" si="81"/>
        <v>0.16254584762954494</v>
      </c>
      <c r="M176" s="14">
        <f t="shared" si="82"/>
        <v>-1.7912283232088613E-4</v>
      </c>
      <c r="N176" s="25">
        <f t="shared" si="83"/>
        <v>8.6198702021009037E-3</v>
      </c>
      <c r="O176" s="26">
        <f t="shared" si="84"/>
        <v>-4.6659193246399888E-2</v>
      </c>
      <c r="P176" s="27">
        <f t="shared" si="85"/>
        <v>26.152896958493258</v>
      </c>
      <c r="Q176" s="27">
        <f t="shared" si="86"/>
        <v>-1.2202730731395208</v>
      </c>
      <c r="R176" s="11">
        <v>26.152200000000001</v>
      </c>
      <c r="S176" s="11">
        <v>26.425999999999998</v>
      </c>
      <c r="T176" s="11">
        <v>1482</v>
      </c>
      <c r="U176" s="11">
        <v>35074727</v>
      </c>
      <c r="V176" s="11">
        <v>35055361.420000002</v>
      </c>
    </row>
    <row r="177" spans="1:22" ht="15" customHeight="1">
      <c r="A177" s="101" t="s">
        <v>51</v>
      </c>
      <c r="B177" s="101"/>
      <c r="C177" s="101"/>
      <c r="D177" s="101"/>
      <c r="E177" s="101"/>
      <c r="F177" s="101"/>
      <c r="G177" s="101"/>
      <c r="H177" s="101"/>
      <c r="I177" s="58">
        <f>SUM(I174:I176)</f>
        <v>5482251828.21</v>
      </c>
      <c r="J177" s="56">
        <f>(I177/$I$201)</f>
        <v>1.4638093940165841E-3</v>
      </c>
      <c r="K177" s="58">
        <f>SUM(K174:K176)</f>
        <v>5640250233.5799999</v>
      </c>
      <c r="L177" s="56">
        <f>(K177/$K$201)</f>
        <v>1.4692801481668858E-3</v>
      </c>
      <c r="M177" s="56">
        <f t="shared" si="82"/>
        <v>2.8819983160384598E-2</v>
      </c>
      <c r="N177" s="25"/>
      <c r="O177" s="62"/>
      <c r="P177" s="57"/>
      <c r="Q177" s="57"/>
      <c r="R177" s="58"/>
      <c r="S177" s="58"/>
      <c r="T177" s="58">
        <f>SUM(T174:T176)</f>
        <v>13307</v>
      </c>
      <c r="U177" s="58"/>
      <c r="V177" s="61"/>
    </row>
    <row r="178" spans="1:22" ht="8.1" customHeight="1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</row>
    <row r="179" spans="1:22">
      <c r="A179" s="100" t="s">
        <v>194</v>
      </c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</row>
    <row r="180" spans="1:22" ht="12.9" customHeight="1">
      <c r="A180" s="108" t="s">
        <v>195</v>
      </c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</row>
    <row r="181" spans="1:22" ht="15" customHeight="1">
      <c r="A181" s="19">
        <v>152</v>
      </c>
      <c r="B181" s="29" t="s">
        <v>196</v>
      </c>
      <c r="C181" s="23" t="s">
        <v>121</v>
      </c>
      <c r="D181" s="45">
        <v>3696355829.98</v>
      </c>
      <c r="E181" s="24">
        <v>62740597.700000003</v>
      </c>
      <c r="F181" s="24">
        <v>24992177.600000001</v>
      </c>
      <c r="G181" s="51">
        <v>4118511.32</v>
      </c>
      <c r="H181" s="13">
        <f>(E181+F181)-G181</f>
        <v>83614263.980000019</v>
      </c>
      <c r="I181" s="46">
        <v>4542828893.5799999</v>
      </c>
      <c r="J181" s="14">
        <f>(I181/$I$200)</f>
        <v>8.9761304314596432E-2</v>
      </c>
      <c r="K181" s="46">
        <v>4655324317.4799995</v>
      </c>
      <c r="L181" s="14">
        <f>(K181/$K$200)</f>
        <v>9.0914789145711966E-2</v>
      </c>
      <c r="M181" s="14">
        <f>((K181-I181)/I181)</f>
        <v>2.4763297613735791E-2</v>
      </c>
      <c r="N181" s="25">
        <f>(G181/K181)</f>
        <v>8.8468837810840538E-4</v>
      </c>
      <c r="O181" s="26">
        <f>H181/K181</f>
        <v>1.7960996544546168E-2</v>
      </c>
      <c r="P181" s="27">
        <f>K181/V181</f>
        <v>2.1767507440623359</v>
      </c>
      <c r="Q181" s="27">
        <f>H181/V181</f>
        <v>3.9096612592441918E-2</v>
      </c>
      <c r="R181" s="46">
        <v>2.15</v>
      </c>
      <c r="S181" s="46">
        <v>2.2000000000000002</v>
      </c>
      <c r="T181" s="46">
        <v>14969</v>
      </c>
      <c r="U181" s="11">
        <v>2124974726.22</v>
      </c>
      <c r="V181" s="11">
        <v>2138657506</v>
      </c>
    </row>
    <row r="182" spans="1:22">
      <c r="A182" s="19">
        <v>153</v>
      </c>
      <c r="B182" s="23" t="s">
        <v>197</v>
      </c>
      <c r="C182" s="23" t="s">
        <v>46</v>
      </c>
      <c r="D182" s="51">
        <v>620931515.95000005</v>
      </c>
      <c r="E182" s="51">
        <v>4421773.9000000004</v>
      </c>
      <c r="F182" s="51">
        <v>39785738.880000003</v>
      </c>
      <c r="G182" s="51">
        <v>1546757.82</v>
      </c>
      <c r="H182" s="13">
        <f>(E182+F182)-G182</f>
        <v>42660754.960000001</v>
      </c>
      <c r="I182" s="21">
        <v>606875530.98000002</v>
      </c>
      <c r="J182" s="14">
        <f>(I182/$I$200)</f>
        <v>1.1991193261617565E-2</v>
      </c>
      <c r="K182" s="21">
        <v>636502613.01999998</v>
      </c>
      <c r="L182" s="14">
        <f>(K182/$K$200)</f>
        <v>1.243039086151845E-2</v>
      </c>
      <c r="M182" s="14">
        <f>((K182-I182)/I182)</f>
        <v>4.8819042007110257E-2</v>
      </c>
      <c r="N182" s="25">
        <f>(G182/K182)</f>
        <v>2.4300887197636662E-3</v>
      </c>
      <c r="O182" s="26">
        <f>H182/K182</f>
        <v>6.7023691792227613E-2</v>
      </c>
      <c r="P182" s="27">
        <f>K182/V182</f>
        <v>450.65631859692036</v>
      </c>
      <c r="Q182" s="27">
        <f>H182/V182</f>
        <v>30.204650201859923</v>
      </c>
      <c r="R182" s="21">
        <v>447.13</v>
      </c>
      <c r="S182" s="21">
        <v>453.07</v>
      </c>
      <c r="T182" s="21">
        <v>850</v>
      </c>
      <c r="U182" s="21">
        <v>1442293.79</v>
      </c>
      <c r="V182" s="21">
        <v>1412390.3</v>
      </c>
    </row>
    <row r="183" spans="1:22" ht="6.9" customHeight="1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</row>
    <row r="184" spans="1:22">
      <c r="A184" s="109" t="s">
        <v>149</v>
      </c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</row>
    <row r="185" spans="1:22">
      <c r="A185" s="68">
        <v>154</v>
      </c>
      <c r="B185" s="36" t="s">
        <v>198</v>
      </c>
      <c r="C185" s="47" t="s">
        <v>199</v>
      </c>
      <c r="D185" s="98">
        <v>272682107</v>
      </c>
      <c r="E185" s="98">
        <v>2797394</v>
      </c>
      <c r="F185" s="11">
        <v>0</v>
      </c>
      <c r="G185" s="98">
        <v>868614</v>
      </c>
      <c r="H185" s="98">
        <f>(E185+F185)-G185</f>
        <v>1928780</v>
      </c>
      <c r="I185" s="11">
        <v>358603604</v>
      </c>
      <c r="J185" s="14">
        <f>(I185/$I$200)</f>
        <v>7.0856129475720874E-3</v>
      </c>
      <c r="K185" s="98">
        <v>339919857</v>
      </c>
      <c r="L185" s="14">
        <f>(K185/$K$200)</f>
        <v>6.6383650242276245E-3</v>
      </c>
      <c r="M185" s="14">
        <f t="shared" ref="M185:M200" si="87">((K185-I185)/I185)</f>
        <v>-5.2101392154441373E-2</v>
      </c>
      <c r="N185" s="25">
        <f>(G185/K185)</f>
        <v>2.5553493922539513E-3</v>
      </c>
      <c r="O185" s="26">
        <f>H185/K185</f>
        <v>5.6742198500042322E-3</v>
      </c>
      <c r="P185" s="27">
        <f>K185/V185</f>
        <v>1047.0251530095209</v>
      </c>
      <c r="Q185" s="27">
        <f>H185/V185</f>
        <v>5.9410509066603421</v>
      </c>
      <c r="R185" s="98">
        <v>1047.03</v>
      </c>
      <c r="S185" s="98">
        <v>1047.03</v>
      </c>
      <c r="T185" s="98">
        <v>18</v>
      </c>
      <c r="U185" s="98">
        <v>344431</v>
      </c>
      <c r="V185" s="98">
        <v>324653</v>
      </c>
    </row>
    <row r="186" spans="1:22" ht="15" customHeight="1">
      <c r="A186" s="68">
        <v>155</v>
      </c>
      <c r="B186" s="36" t="s">
        <v>200</v>
      </c>
      <c r="C186" s="47" t="s">
        <v>62</v>
      </c>
      <c r="D186" s="98">
        <v>68932780.170000002</v>
      </c>
      <c r="E186" s="98">
        <v>1559000.96</v>
      </c>
      <c r="F186" s="11">
        <v>0</v>
      </c>
      <c r="G186" s="98">
        <v>227696.25</v>
      </c>
      <c r="H186" s="98">
        <f t="shared" ref="H186:H196" si="88">(E186+F186)-G186</f>
        <v>1331304.71</v>
      </c>
      <c r="I186" s="21">
        <v>129288971.25</v>
      </c>
      <c r="J186" s="14">
        <f t="shared" ref="J186:J196" si="89">(I186/$I$200)</f>
        <v>2.5546079248753881E-3</v>
      </c>
      <c r="K186" s="98">
        <v>128214417.3</v>
      </c>
      <c r="L186" s="14">
        <f t="shared" ref="L186:L196" si="90">(K186/$K$200)</f>
        <v>2.5039258103890212E-3</v>
      </c>
      <c r="M186" s="14">
        <f t="shared" si="87"/>
        <v>-8.3112576394639929E-3</v>
      </c>
      <c r="N186" s="25">
        <f t="shared" ref="N186:N196" si="91">(G186/K186)</f>
        <v>1.7759020771215563E-3</v>
      </c>
      <c r="O186" s="26">
        <f t="shared" ref="O186:O196" si="92">H186/K186</f>
        <v>1.0383424407607552E-2</v>
      </c>
      <c r="P186" s="27">
        <f t="shared" ref="P186:P196" si="93">K186/V186</f>
        <v>114.05799517131683</v>
      </c>
      <c r="Q186" s="27">
        <f t="shared" ref="Q186:Q196" si="94">H186/V186</f>
        <v>1.1843125709446356</v>
      </c>
      <c r="R186" s="98">
        <v>114.65</v>
      </c>
      <c r="S186" s="98">
        <v>114.65</v>
      </c>
      <c r="T186" s="98">
        <v>80</v>
      </c>
      <c r="U186" s="98">
        <v>1104036</v>
      </c>
      <c r="V186" s="98">
        <v>1124116</v>
      </c>
    </row>
    <row r="187" spans="1:22" ht="15" customHeight="1">
      <c r="A187" s="68">
        <v>156</v>
      </c>
      <c r="B187" s="36" t="s">
        <v>201</v>
      </c>
      <c r="C187" s="47" t="s">
        <v>174</v>
      </c>
      <c r="D187" s="98">
        <v>33522185.449999999</v>
      </c>
      <c r="E187" s="98">
        <v>644216.59</v>
      </c>
      <c r="F187" s="11">
        <v>0</v>
      </c>
      <c r="G187" s="98">
        <v>246345.54</v>
      </c>
      <c r="H187" s="98">
        <f t="shared" si="88"/>
        <v>397871.04999999993</v>
      </c>
      <c r="I187" s="11">
        <v>58704575.399999999</v>
      </c>
      <c r="J187" s="14">
        <f t="shared" si="89"/>
        <v>1.1599378670381737E-3</v>
      </c>
      <c r="K187" s="98">
        <v>59081341.899999999</v>
      </c>
      <c r="L187" s="14">
        <f t="shared" si="90"/>
        <v>1.1538117164287759E-3</v>
      </c>
      <c r="M187" s="14">
        <f t="shared" si="87"/>
        <v>6.4180091148397954E-3</v>
      </c>
      <c r="N187" s="25">
        <f t="shared" si="91"/>
        <v>4.1695996075539372E-3</v>
      </c>
      <c r="O187" s="26">
        <f t="shared" si="92"/>
        <v>6.73429270908283E-3</v>
      </c>
      <c r="P187" s="27">
        <f t="shared" si="93"/>
        <v>109.1822272446713</v>
      </c>
      <c r="Q187" s="27">
        <f t="shared" si="94"/>
        <v>0.7352650768952147</v>
      </c>
      <c r="R187" s="98">
        <v>105.42</v>
      </c>
      <c r="S187" s="98">
        <v>109.18</v>
      </c>
      <c r="T187" s="98">
        <v>16</v>
      </c>
      <c r="U187" s="98">
        <v>543340</v>
      </c>
      <c r="V187" s="98">
        <v>541126</v>
      </c>
    </row>
    <row r="188" spans="1:22" ht="15" customHeight="1">
      <c r="A188" s="68">
        <v>157</v>
      </c>
      <c r="B188" s="23" t="s">
        <v>267</v>
      </c>
      <c r="C188" s="29" t="s">
        <v>71</v>
      </c>
      <c r="D188" s="20">
        <v>105722860.91</v>
      </c>
      <c r="E188" s="46">
        <v>1474978.57</v>
      </c>
      <c r="F188" s="46">
        <v>0</v>
      </c>
      <c r="G188" s="11">
        <v>435749.11</v>
      </c>
      <c r="H188" s="13">
        <f t="shared" si="88"/>
        <v>1039229.4600000001</v>
      </c>
      <c r="I188" s="21">
        <v>105230666.36</v>
      </c>
      <c r="J188" s="14">
        <f t="shared" si="89"/>
        <v>2.079242271201643E-3</v>
      </c>
      <c r="K188" s="21">
        <v>105770695.81999999</v>
      </c>
      <c r="L188" s="14">
        <f t="shared" si="90"/>
        <v>2.0656177427131211E-3</v>
      </c>
      <c r="M188" s="14">
        <f t="shared" si="87"/>
        <v>5.1318639202808276E-3</v>
      </c>
      <c r="N188" s="25">
        <f t="shared" si="91"/>
        <v>4.11975270297508E-3</v>
      </c>
      <c r="O188" s="26">
        <f t="shared" si="92"/>
        <v>9.8253060731353717E-3</v>
      </c>
      <c r="P188" s="27">
        <f t="shared" si="93"/>
        <v>1.0325507322429095</v>
      </c>
      <c r="Q188" s="27">
        <f t="shared" si="94"/>
        <v>1.0145126980326633E-2</v>
      </c>
      <c r="R188" s="11">
        <v>1.0326</v>
      </c>
      <c r="S188" s="11">
        <v>1.0326</v>
      </c>
      <c r="T188" s="11">
        <v>25</v>
      </c>
      <c r="U188" s="11">
        <v>102486527.52</v>
      </c>
      <c r="V188" s="11">
        <v>102436318.64</v>
      </c>
    </row>
    <row r="189" spans="1:22" ht="15" customHeight="1">
      <c r="A189" s="68">
        <v>158</v>
      </c>
      <c r="B189" s="47" t="s">
        <v>202</v>
      </c>
      <c r="C189" s="47" t="s">
        <v>75</v>
      </c>
      <c r="D189" s="98">
        <v>8025732815.1800003</v>
      </c>
      <c r="E189" s="98">
        <v>112968619.95999999</v>
      </c>
      <c r="F189" s="11">
        <v>0</v>
      </c>
      <c r="G189" s="98">
        <v>12560748.49</v>
      </c>
      <c r="H189" s="98">
        <f t="shared" si="88"/>
        <v>100407871.47</v>
      </c>
      <c r="I189" s="20">
        <v>8082340869</v>
      </c>
      <c r="J189" s="14">
        <f t="shared" si="89"/>
        <v>0.15969816942519471</v>
      </c>
      <c r="K189" s="98">
        <v>7990852479.1199999</v>
      </c>
      <c r="L189" s="14">
        <f t="shared" si="90"/>
        <v>0.15605500684578369</v>
      </c>
      <c r="M189" s="14">
        <f t="shared" si="87"/>
        <v>-1.1319541128351304E-2</v>
      </c>
      <c r="N189" s="25">
        <f t="shared" si="91"/>
        <v>1.5718909243814829E-3</v>
      </c>
      <c r="O189" s="26">
        <f t="shared" si="92"/>
        <v>1.2565351660835253E-2</v>
      </c>
      <c r="P189" s="27">
        <f t="shared" si="93"/>
        <v>141.61002242338898</v>
      </c>
      <c r="Q189" s="27">
        <f t="shared" si="94"/>
        <v>1.7793797304486485</v>
      </c>
      <c r="R189" s="98">
        <v>141.61000000000001</v>
      </c>
      <c r="S189" s="98">
        <v>141.61000000000001</v>
      </c>
      <c r="T189" s="98">
        <v>690</v>
      </c>
      <c r="U189" s="98">
        <v>57742403</v>
      </c>
      <c r="V189" s="98">
        <v>56428580</v>
      </c>
    </row>
    <row r="190" spans="1:22" ht="15" customHeight="1">
      <c r="A190" s="68">
        <v>159</v>
      </c>
      <c r="B190" s="47" t="s">
        <v>228</v>
      </c>
      <c r="C190" s="47" t="s">
        <v>60</v>
      </c>
      <c r="D190" s="98">
        <v>455362995.87</v>
      </c>
      <c r="E190" s="98">
        <v>7707009.0099999998</v>
      </c>
      <c r="F190" s="11">
        <v>0</v>
      </c>
      <c r="G190" s="98">
        <v>1087400.3500000001</v>
      </c>
      <c r="H190" s="98">
        <f t="shared" si="88"/>
        <v>6619608.6600000001</v>
      </c>
      <c r="I190" s="20">
        <v>461419221.94</v>
      </c>
      <c r="J190" s="14">
        <f t="shared" si="89"/>
        <v>9.1171365172244695E-3</v>
      </c>
      <c r="K190" s="98">
        <v>466619696.19999999</v>
      </c>
      <c r="L190" s="14">
        <f t="shared" si="90"/>
        <v>9.1127123263934524E-3</v>
      </c>
      <c r="M190" s="14">
        <f t="shared" si="87"/>
        <v>1.1270606018828204E-2</v>
      </c>
      <c r="N190" s="25">
        <f t="shared" si="91"/>
        <v>2.3303781620352443E-3</v>
      </c>
      <c r="O190" s="26">
        <f t="shared" si="92"/>
        <v>1.4186303565640187E-2</v>
      </c>
      <c r="P190" s="27">
        <f t="shared" si="93"/>
        <v>1169.4749452072988</v>
      </c>
      <c r="Q190" s="27">
        <f t="shared" si="94"/>
        <v>16.590526585121161</v>
      </c>
      <c r="R190" s="98">
        <v>1169.47</v>
      </c>
      <c r="S190" s="98">
        <v>1169.47</v>
      </c>
      <c r="T190" s="98">
        <v>96</v>
      </c>
      <c r="U190" s="98">
        <v>400225.49</v>
      </c>
      <c r="V190" s="98">
        <v>398999.31</v>
      </c>
    </row>
    <row r="191" spans="1:22" ht="15" customHeight="1">
      <c r="A191" s="68">
        <v>160</v>
      </c>
      <c r="B191" s="36" t="s">
        <v>120</v>
      </c>
      <c r="C191" s="47" t="s">
        <v>121</v>
      </c>
      <c r="D191" s="98">
        <v>13782145129.969999</v>
      </c>
      <c r="E191" s="98">
        <v>358653335.91000003</v>
      </c>
      <c r="F191" s="11">
        <v>0</v>
      </c>
      <c r="G191" s="98">
        <v>41134167.369999997</v>
      </c>
      <c r="H191" s="98">
        <f t="shared" si="88"/>
        <v>317519168.54000002</v>
      </c>
      <c r="I191" s="11">
        <v>23956996087.209999</v>
      </c>
      <c r="J191" s="14">
        <f t="shared" si="89"/>
        <v>0.47336390311478577</v>
      </c>
      <c r="K191" s="98">
        <v>24309652940.240002</v>
      </c>
      <c r="L191" s="14">
        <f t="shared" si="90"/>
        <v>0.47474822816721018</v>
      </c>
      <c r="M191" s="14">
        <f t="shared" si="87"/>
        <v>1.4720412014354199E-2</v>
      </c>
      <c r="N191" s="25">
        <f t="shared" si="91"/>
        <v>1.6920919221314844E-3</v>
      </c>
      <c r="O191" s="26">
        <f t="shared" si="92"/>
        <v>1.3061443917794791E-2</v>
      </c>
      <c r="P191" s="27">
        <f t="shared" si="93"/>
        <v>1245.0102877058016</v>
      </c>
      <c r="Q191" s="27">
        <f t="shared" si="94"/>
        <v>16.261632049946886</v>
      </c>
      <c r="R191" s="98">
        <v>1245.01</v>
      </c>
      <c r="S191" s="98">
        <v>1245.01</v>
      </c>
      <c r="T191" s="98">
        <v>9370</v>
      </c>
      <c r="U191" s="98">
        <v>19496593.07</v>
      </c>
      <c r="V191" s="98">
        <v>19525664.309999999</v>
      </c>
    </row>
    <row r="192" spans="1:22" ht="15" customHeight="1">
      <c r="A192" s="68">
        <v>161</v>
      </c>
      <c r="B192" s="48" t="s">
        <v>225</v>
      </c>
      <c r="C192" s="48" t="s">
        <v>226</v>
      </c>
      <c r="D192" s="98">
        <v>113547296.67</v>
      </c>
      <c r="E192" s="98">
        <v>0</v>
      </c>
      <c r="F192" s="11">
        <v>26547908.309999999</v>
      </c>
      <c r="G192" s="98">
        <v>659140.54</v>
      </c>
      <c r="H192" s="98">
        <f t="shared" si="88"/>
        <v>25888767.77</v>
      </c>
      <c r="I192" s="20">
        <v>379626675.37</v>
      </c>
      <c r="J192" s="14">
        <f t="shared" si="89"/>
        <v>7.5010057239843515E-3</v>
      </c>
      <c r="K192" s="98">
        <v>409720219.75800002</v>
      </c>
      <c r="L192" s="14">
        <f t="shared" si="90"/>
        <v>8.001510710686029E-3</v>
      </c>
      <c r="M192" s="14">
        <f t="shared" si="87"/>
        <v>7.9271416737692599E-2</v>
      </c>
      <c r="N192" s="25">
        <f t="shared" si="91"/>
        <v>1.6087576551367647E-3</v>
      </c>
      <c r="O192" s="26">
        <f t="shared" si="92"/>
        <v>6.3186453881361085E-2</v>
      </c>
      <c r="P192" s="27">
        <f t="shared" si="93"/>
        <v>127.14008680164223</v>
      </c>
      <c r="Q192" s="27">
        <f t="shared" si="94"/>
        <v>8.0335312311642113</v>
      </c>
      <c r="R192" s="98">
        <v>126.98</v>
      </c>
      <c r="S192" s="98">
        <v>127.22</v>
      </c>
      <c r="T192" s="98">
        <v>149</v>
      </c>
      <c r="U192" s="98">
        <v>3065107.96</v>
      </c>
      <c r="V192" s="98">
        <v>3222588.8</v>
      </c>
    </row>
    <row r="193" spans="1:22" ht="15" customHeight="1">
      <c r="A193" s="68">
        <v>162</v>
      </c>
      <c r="B193" s="48" t="s">
        <v>227</v>
      </c>
      <c r="C193" s="48" t="s">
        <v>226</v>
      </c>
      <c r="D193" s="98">
        <v>102900446.78</v>
      </c>
      <c r="E193" s="98">
        <v>0</v>
      </c>
      <c r="F193" s="11">
        <v>5900454.8700000001</v>
      </c>
      <c r="G193" s="98">
        <v>178703.02</v>
      </c>
      <c r="H193" s="98">
        <f t="shared" si="88"/>
        <v>5721751.8500000006</v>
      </c>
      <c r="I193" s="20">
        <v>105867075</v>
      </c>
      <c r="J193" s="14">
        <f t="shared" si="89"/>
        <v>2.0918170062272584E-3</v>
      </c>
      <c r="K193" s="98">
        <v>108641158.8</v>
      </c>
      <c r="L193" s="14">
        <f t="shared" si="90"/>
        <v>2.1216756065223904E-3</v>
      </c>
      <c r="M193" s="14">
        <f t="shared" si="87"/>
        <v>2.6203461274433029E-2</v>
      </c>
      <c r="N193" s="25">
        <f t="shared" si="91"/>
        <v>1.6448924327931598E-3</v>
      </c>
      <c r="O193" s="26">
        <f t="shared" si="92"/>
        <v>5.2666520802979511E-2</v>
      </c>
      <c r="P193" s="27">
        <f t="shared" si="93"/>
        <v>110.39926937274637</v>
      </c>
      <c r="Q193" s="27">
        <f t="shared" si="94"/>
        <v>5.8143454170534854</v>
      </c>
      <c r="R193" s="98">
        <v>110.4</v>
      </c>
      <c r="S193" s="98">
        <v>110.4</v>
      </c>
      <c r="T193" s="98">
        <v>67</v>
      </c>
      <c r="U193" s="98">
        <v>966546.37</v>
      </c>
      <c r="V193" s="98">
        <v>984074.98</v>
      </c>
    </row>
    <row r="194" spans="1:22" ht="16.2" customHeight="1">
      <c r="A194" s="68">
        <v>163</v>
      </c>
      <c r="B194" s="47" t="s">
        <v>203</v>
      </c>
      <c r="C194" s="47" t="s">
        <v>147</v>
      </c>
      <c r="D194" s="98">
        <v>997371763.28999996</v>
      </c>
      <c r="E194" s="98">
        <v>17111975.530000001</v>
      </c>
      <c r="F194" s="11">
        <v>0</v>
      </c>
      <c r="G194" s="98">
        <v>2415888.1</v>
      </c>
      <c r="H194" s="98">
        <f t="shared" si="88"/>
        <v>14696087.430000002</v>
      </c>
      <c r="I194" s="11">
        <v>1042607938.33</v>
      </c>
      <c r="J194" s="14">
        <f t="shared" si="89"/>
        <v>2.0600786563964617E-2</v>
      </c>
      <c r="K194" s="98">
        <v>1234717019.9000001</v>
      </c>
      <c r="L194" s="14">
        <f t="shared" si="90"/>
        <v>2.4113043445186916E-2</v>
      </c>
      <c r="M194" s="14">
        <f t="shared" si="87"/>
        <v>0.18425821874875734</v>
      </c>
      <c r="N194" s="25">
        <f t="shared" si="91"/>
        <v>1.9566330268903746E-3</v>
      </c>
      <c r="O194" s="26">
        <f t="shared" si="92"/>
        <v>1.190239317442165E-2</v>
      </c>
      <c r="P194" s="27">
        <f t="shared" si="93"/>
        <v>104.9483675853666</v>
      </c>
      <c r="Q194" s="27">
        <f t="shared" si="94"/>
        <v>1.2491367340147617</v>
      </c>
      <c r="R194" s="98">
        <v>104.95</v>
      </c>
      <c r="S194" s="98">
        <v>104.95</v>
      </c>
      <c r="T194" s="98">
        <f>574+13</f>
        <v>587</v>
      </c>
      <c r="U194" s="98">
        <v>10055341</v>
      </c>
      <c r="V194" s="98">
        <v>11764995</v>
      </c>
    </row>
    <row r="195" spans="1:22">
      <c r="A195" s="68">
        <v>164</v>
      </c>
      <c r="B195" s="36" t="s">
        <v>204</v>
      </c>
      <c r="C195" s="36" t="s">
        <v>46</v>
      </c>
      <c r="D195" s="98">
        <v>7011566379.4099998</v>
      </c>
      <c r="E195" s="98">
        <v>62619443.399999999</v>
      </c>
      <c r="F195" s="11">
        <v>0</v>
      </c>
      <c r="G195" s="98">
        <v>11252344.02</v>
      </c>
      <c r="H195" s="98">
        <f t="shared" si="88"/>
        <v>51367099.379999995</v>
      </c>
      <c r="I195" s="21">
        <v>6999196452.6000004</v>
      </c>
      <c r="J195" s="14">
        <f t="shared" si="89"/>
        <v>0.13829642662248087</v>
      </c>
      <c r="K195" s="98">
        <v>6954184339.04</v>
      </c>
      <c r="L195" s="14">
        <f t="shared" si="90"/>
        <v>0.13580970083873223</v>
      </c>
      <c r="M195" s="14">
        <f t="shared" si="87"/>
        <v>-6.4310401722300157E-3</v>
      </c>
      <c r="N195" s="25">
        <f t="shared" si="91"/>
        <v>1.6180681258088918E-3</v>
      </c>
      <c r="O195" s="26">
        <f t="shared" si="92"/>
        <v>7.3865024100139166E-3</v>
      </c>
      <c r="P195" s="27">
        <f t="shared" si="93"/>
        <v>133.37249499833126</v>
      </c>
      <c r="Q195" s="27">
        <f t="shared" si="94"/>
        <v>0.98515625573474286</v>
      </c>
      <c r="R195" s="98">
        <v>133.27000000000001</v>
      </c>
      <c r="S195" s="98">
        <v>133.27000000000001</v>
      </c>
      <c r="T195" s="98">
        <v>1254</v>
      </c>
      <c r="U195" s="98">
        <v>52969590.299999997</v>
      </c>
      <c r="V195" s="98">
        <v>52141068.060000002</v>
      </c>
    </row>
    <row r="196" spans="1:22" ht="15" customHeight="1">
      <c r="A196" s="68">
        <v>165</v>
      </c>
      <c r="B196" s="47" t="s">
        <v>205</v>
      </c>
      <c r="C196" s="47" t="s">
        <v>50</v>
      </c>
      <c r="D196" s="98">
        <v>3088399717</v>
      </c>
      <c r="E196" s="98">
        <v>40761113</v>
      </c>
      <c r="F196" s="11">
        <v>0</v>
      </c>
      <c r="G196" s="98">
        <v>6127281</v>
      </c>
      <c r="H196" s="98">
        <f t="shared" si="88"/>
        <v>34633832</v>
      </c>
      <c r="I196" s="21">
        <v>3780516849</v>
      </c>
      <c r="J196" s="14">
        <f t="shared" si="89"/>
        <v>7.4698856439236544E-2</v>
      </c>
      <c r="K196" s="98">
        <v>3806156814</v>
      </c>
      <c r="L196" s="14">
        <f t="shared" si="90"/>
        <v>7.4331221758495991E-2</v>
      </c>
      <c r="M196" s="14">
        <f t="shared" si="87"/>
        <v>6.782132185651317E-3</v>
      </c>
      <c r="N196" s="25">
        <f t="shared" si="91"/>
        <v>1.6098340923480405E-3</v>
      </c>
      <c r="O196" s="26">
        <f t="shared" si="92"/>
        <v>9.0994233008498421E-3</v>
      </c>
      <c r="P196" s="27">
        <f t="shared" si="93"/>
        <v>1.1987507180098131</v>
      </c>
      <c r="Q196" s="27">
        <f t="shared" si="94"/>
        <v>1.0907940215368974E-2</v>
      </c>
      <c r="R196" s="98">
        <v>1.2</v>
      </c>
      <c r="S196" s="98">
        <v>1.21</v>
      </c>
      <c r="T196" s="98">
        <v>173</v>
      </c>
      <c r="U196" s="98">
        <v>3192785199</v>
      </c>
      <c r="V196" s="98">
        <v>3175102844</v>
      </c>
    </row>
    <row r="197" spans="1:22" ht="4.8" customHeight="1">
      <c r="A197" s="19"/>
      <c r="B197" s="23"/>
      <c r="C197" s="23"/>
      <c r="D197" s="12"/>
      <c r="E197" s="12"/>
      <c r="F197" s="12"/>
      <c r="G197" s="52"/>
      <c r="H197" s="13"/>
      <c r="I197" s="28"/>
      <c r="J197" s="14"/>
      <c r="K197" s="53"/>
      <c r="L197" s="14"/>
      <c r="M197" s="14"/>
      <c r="N197" s="25"/>
      <c r="O197" s="26"/>
      <c r="P197" s="27"/>
      <c r="Q197" s="27"/>
      <c r="R197" s="13"/>
      <c r="S197" s="13"/>
      <c r="T197" s="63"/>
      <c r="U197" s="52"/>
      <c r="V197" s="63"/>
    </row>
    <row r="198" spans="1:22" ht="15" customHeight="1">
      <c r="A198" s="108" t="s">
        <v>223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</row>
    <row r="199" spans="1:22" ht="15" customHeight="1">
      <c r="A199" s="19">
        <v>166</v>
      </c>
      <c r="B199" s="29" t="s">
        <v>224</v>
      </c>
      <c r="C199" s="23" t="s">
        <v>121</v>
      </c>
      <c r="D199" s="20">
        <v>70783781.319999993</v>
      </c>
      <c r="E199" s="20">
        <v>4199613.8</v>
      </c>
      <c r="F199" s="20">
        <v>8164000</v>
      </c>
      <c r="G199" s="11">
        <v>1467494.07</v>
      </c>
      <c r="H199" s="13">
        <f>(E199+F199)-G199</f>
        <v>10896119.73</v>
      </c>
      <c r="I199" s="21">
        <v>209729917.52000001</v>
      </c>
      <c r="J199" s="14">
        <f t="shared" ref="J199" si="95">(I199/$I$200)</f>
        <v>4.1440325822072275E-3</v>
      </c>
      <c r="K199" s="21">
        <v>220221883.09999999</v>
      </c>
      <c r="L199" s="14">
        <f t="shared" ref="L199" si="96">(K199/$K$200)</f>
        <v>4.3007585942252983E-3</v>
      </c>
      <c r="M199" s="14">
        <f>((K199-I199)/I199)</f>
        <v>5.0026079750875127E-2</v>
      </c>
      <c r="N199" s="25">
        <f t="shared" ref="N199" si="97">(G199/K199)</f>
        <v>6.6637068457616874E-3</v>
      </c>
      <c r="O199" s="26">
        <f t="shared" ref="O199" si="98">H199/K199</f>
        <v>4.9477915530547929E-2</v>
      </c>
      <c r="P199" s="27">
        <f t="shared" ref="P199" si="99">K199/V199</f>
        <v>1179.5169179853904</v>
      </c>
      <c r="Q199" s="27">
        <f t="shared" ref="Q199" si="100">H199/V199</f>
        <v>58.360038434933372</v>
      </c>
      <c r="R199" s="13">
        <v>1179.52</v>
      </c>
      <c r="S199" s="13">
        <v>1179.52</v>
      </c>
      <c r="T199" s="11">
        <v>69</v>
      </c>
      <c r="U199" s="11">
        <v>186409.4</v>
      </c>
      <c r="V199" s="11">
        <v>186705.15</v>
      </c>
    </row>
    <row r="200" spans="1:22" ht="15" customHeight="1">
      <c r="A200" s="101" t="s">
        <v>51</v>
      </c>
      <c r="B200" s="101"/>
      <c r="C200" s="101"/>
      <c r="D200" s="101"/>
      <c r="E200" s="101"/>
      <c r="F200" s="101"/>
      <c r="G200" s="101"/>
      <c r="H200" s="101"/>
      <c r="I200" s="58">
        <f>SUM(I181:I196)</f>
        <v>50610103410.020004</v>
      </c>
      <c r="J200" s="56">
        <f>(I200/$I$201)</f>
        <v>1.3513342167633864E-2</v>
      </c>
      <c r="K200" s="58">
        <f>SUM(K181:K196)</f>
        <v>51205357909.578011</v>
      </c>
      <c r="L200" s="56">
        <f>(K200/$K$201)</f>
        <v>1.3338950000551617E-2</v>
      </c>
      <c r="M200" s="56">
        <f t="shared" si="87"/>
        <v>1.17615744574858E-2</v>
      </c>
      <c r="N200" s="25"/>
      <c r="O200" s="25"/>
      <c r="P200" s="57"/>
      <c r="Q200" s="57"/>
      <c r="R200" s="58"/>
      <c r="S200" s="58"/>
      <c r="T200" s="58">
        <f>SUM(T181:T196)</f>
        <v>28344</v>
      </c>
      <c r="U200" s="58"/>
      <c r="V200" s="58"/>
    </row>
    <row r="201" spans="1:22" ht="15" customHeight="1">
      <c r="A201" s="107" t="s">
        <v>206</v>
      </c>
      <c r="B201" s="107"/>
      <c r="C201" s="107"/>
      <c r="D201" s="107"/>
      <c r="E201" s="107"/>
      <c r="F201" s="107"/>
      <c r="G201" s="107"/>
      <c r="H201" s="107"/>
      <c r="I201" s="81">
        <f>SUM(I24,I61,I98,I132,I140,I171,I177,I200)</f>
        <v>3745195139899.4023</v>
      </c>
      <c r="J201" s="82"/>
      <c r="K201" s="81">
        <f>SUM(K24,K61,K98,K132,K140,K171,K177,K200)</f>
        <v>3838784754981.4995</v>
      </c>
      <c r="L201" s="64"/>
      <c r="M201" s="64"/>
      <c r="N201" s="65"/>
      <c r="O201" s="65"/>
      <c r="P201" s="66"/>
      <c r="Q201" s="66"/>
      <c r="R201" s="67"/>
      <c r="S201" s="67"/>
      <c r="T201" s="81">
        <f>SUM(T24,T61,T98,T132,T140,T171,T177,T200)</f>
        <v>773061</v>
      </c>
      <c r="U201" s="67"/>
      <c r="V201" s="67"/>
    </row>
    <row r="202" spans="1:22" ht="5.0999999999999996" customHeight="1">
      <c r="A202" s="7"/>
      <c r="B202" s="16"/>
      <c r="C202" s="16"/>
      <c r="D202" s="6"/>
      <c r="E202" s="6"/>
      <c r="F202" s="6"/>
      <c r="G202" s="6"/>
      <c r="H202" s="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>
      <c r="A203" s="15" t="s">
        <v>207</v>
      </c>
      <c r="B203" s="69" t="s">
        <v>268</v>
      </c>
      <c r="C203" s="18"/>
      <c r="D203" s="6"/>
      <c r="E203" s="6"/>
      <c r="F203" s="6"/>
      <c r="G203" s="6"/>
      <c r="H203" s="8"/>
      <c r="I203" s="9"/>
      <c r="J203" s="6"/>
      <c r="K203" s="9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10"/>
    </row>
  </sheetData>
  <sheetProtection algorithmName="SHA-512" hashValue="KIPKWKKiTD15G1Uynm/K8dUWvSkiY0Rk1jX8ktN2c11oU6eODbENDkry5y1Nwm0DwnrVDXkpVL5iVT2EAMkxXw==" saltValue="1tyCv6h0F6iUbs3SVzjSlQ==" spinCount="100000" sheet="1" objects="1" scenarios="1"/>
  <mergeCells count="33">
    <mergeCell ref="A200:H200"/>
    <mergeCell ref="A201:H201"/>
    <mergeCell ref="A178:V178"/>
    <mergeCell ref="A179:V179"/>
    <mergeCell ref="A180:V180"/>
    <mergeCell ref="A183:V183"/>
    <mergeCell ref="A184:V184"/>
    <mergeCell ref="A198:V198"/>
    <mergeCell ref="A142:V142"/>
    <mergeCell ref="A171:H171"/>
    <mergeCell ref="A172:V172"/>
    <mergeCell ref="A173:V173"/>
    <mergeCell ref="A177:H177"/>
    <mergeCell ref="A132:H132"/>
    <mergeCell ref="A133:V133"/>
    <mergeCell ref="A134:V134"/>
    <mergeCell ref="A140:H140"/>
    <mergeCell ref="A141:V141"/>
    <mergeCell ref="A99:V99"/>
    <mergeCell ref="A100:V100"/>
    <mergeCell ref="A101:V101"/>
    <mergeCell ref="A117:V117"/>
    <mergeCell ref="A118:V118"/>
    <mergeCell ref="A26:V26"/>
    <mergeCell ref="A61:H61"/>
    <mergeCell ref="A62:V62"/>
    <mergeCell ref="A63:V63"/>
    <mergeCell ref="A98:H98"/>
    <mergeCell ref="A1:V1"/>
    <mergeCell ref="A3:V3"/>
    <mergeCell ref="A4:V4"/>
    <mergeCell ref="A24:H24"/>
    <mergeCell ref="A25:V25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1 J98 J132 J140 J171 J177 J20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I8" sqref="I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126"/>
      <c r="B3" s="126"/>
      <c r="C3" s="126"/>
      <c r="D3" s="126"/>
      <c r="E3" s="113"/>
    </row>
    <row r="4" spans="1:5" ht="33" customHeight="1">
      <c r="A4" s="127" t="s">
        <v>208</v>
      </c>
      <c r="B4" s="128" t="s">
        <v>271</v>
      </c>
      <c r="C4" s="128" t="s">
        <v>272</v>
      </c>
      <c r="D4" s="126"/>
      <c r="E4" s="113"/>
    </row>
    <row r="5" spans="1:5" ht="18.899999999999999" customHeight="1">
      <c r="A5" s="129" t="s">
        <v>20</v>
      </c>
      <c r="B5" s="130">
        <v>30.628950018609999</v>
      </c>
      <c r="C5" s="130">
        <f>November!K24/1000000000</f>
        <v>31.228529608879999</v>
      </c>
      <c r="D5" s="126"/>
      <c r="E5" s="113"/>
    </row>
    <row r="6" spans="1:5">
      <c r="A6" s="127" t="s">
        <v>52</v>
      </c>
      <c r="B6" s="130">
        <v>1510.5252124151007</v>
      </c>
      <c r="C6" s="130">
        <f>November!K61/1000000000</f>
        <v>1584.1650796173797</v>
      </c>
      <c r="D6" s="126"/>
      <c r="E6" s="113"/>
    </row>
    <row r="7" spans="1:5">
      <c r="A7" s="127" t="s">
        <v>209</v>
      </c>
      <c r="B7" s="130">
        <v>209.49459869465005</v>
      </c>
      <c r="C7" s="130">
        <f>November!K98/1000000000</f>
        <v>199.84515983545998</v>
      </c>
      <c r="D7" s="126"/>
      <c r="E7" s="113"/>
    </row>
    <row r="8" spans="1:5">
      <c r="A8" s="127" t="s">
        <v>210</v>
      </c>
      <c r="B8" s="130">
        <v>1786.413448419692</v>
      </c>
      <c r="C8" s="130">
        <f>November!K132/1000000000</f>
        <v>1813.5641643351717</v>
      </c>
      <c r="D8" s="126"/>
      <c r="E8" s="113"/>
    </row>
    <row r="9" spans="1:5">
      <c r="A9" s="127" t="s">
        <v>211</v>
      </c>
      <c r="B9" s="130">
        <v>99.346313362030003</v>
      </c>
      <c r="C9" s="130">
        <f>November!K140/1000000000</f>
        <v>99.731344023310001</v>
      </c>
      <c r="D9" s="126"/>
      <c r="E9" s="113"/>
    </row>
    <row r="10" spans="1:5">
      <c r="A10" s="127" t="s">
        <v>165</v>
      </c>
      <c r="B10" s="130">
        <v>52.694261751090004</v>
      </c>
      <c r="C10" s="130">
        <f>November!K171/1000000000</f>
        <v>53.404869418139995</v>
      </c>
      <c r="D10" s="126"/>
      <c r="E10" s="113"/>
    </row>
    <row r="11" spans="1:5">
      <c r="A11" s="127" t="s">
        <v>190</v>
      </c>
      <c r="B11" s="130">
        <v>5.4822518282099999</v>
      </c>
      <c r="C11" s="130">
        <f>November!K177/1000000000</f>
        <v>5.6402502335799998</v>
      </c>
      <c r="D11" s="126"/>
      <c r="E11" s="113"/>
    </row>
    <row r="12" spans="1:5">
      <c r="A12" s="127" t="s">
        <v>212</v>
      </c>
      <c r="B12" s="130">
        <v>50.610103410020002</v>
      </c>
      <c r="C12" s="130">
        <f>November!K200/1000000000</f>
        <v>51.205357909578012</v>
      </c>
      <c r="D12" s="126"/>
      <c r="E12" s="113"/>
    </row>
    <row r="13" spans="1:5">
      <c r="A13" s="126"/>
      <c r="B13" s="126"/>
      <c r="C13" s="126"/>
      <c r="D13" s="126"/>
      <c r="E13" s="113"/>
    </row>
    <row r="14" spans="1:5">
      <c r="A14" s="126"/>
      <c r="B14" s="126"/>
      <c r="C14" s="126"/>
      <c r="D14" s="126"/>
      <c r="E14" s="113"/>
    </row>
    <row r="15" spans="1:5">
      <c r="A15" s="126"/>
      <c r="B15" s="126"/>
      <c r="C15" s="126"/>
      <c r="D15" s="126"/>
      <c r="E15" s="113"/>
    </row>
    <row r="16" spans="1:5">
      <c r="A16" s="126"/>
      <c r="B16" s="131"/>
      <c r="C16" s="126"/>
      <c r="D16" s="126"/>
      <c r="E16" s="113"/>
    </row>
    <row r="17" spans="1:5">
      <c r="A17" s="132"/>
      <c r="B17" s="133"/>
      <c r="C17" s="134"/>
      <c r="D17" s="126"/>
      <c r="E17" s="113"/>
    </row>
    <row r="18" spans="1:5" ht="15.6">
      <c r="A18" s="83"/>
      <c r="B18" s="86"/>
      <c r="C18" s="87"/>
      <c r="D18" s="2"/>
      <c r="E18" s="2"/>
    </row>
    <row r="19" spans="1:5">
      <c r="A19" s="88"/>
      <c r="B19" s="85"/>
      <c r="C19" s="89"/>
      <c r="D19" s="2"/>
      <c r="E19" s="2"/>
    </row>
    <row r="20" spans="1:5">
      <c r="A20" s="88"/>
      <c r="B20" s="86"/>
      <c r="C20" s="87"/>
      <c r="D20" s="2"/>
      <c r="E20" s="2"/>
    </row>
    <row r="21" spans="1:5">
      <c r="A21" s="88"/>
      <c r="B21" s="85"/>
      <c r="C21" s="89"/>
      <c r="D21" s="2"/>
      <c r="E21" s="2"/>
    </row>
    <row r="22" spans="1:5">
      <c r="A22" s="88"/>
      <c r="B22" s="90"/>
      <c r="C22" s="91"/>
      <c r="D22" s="2"/>
      <c r="E22" s="2"/>
    </row>
    <row r="23" spans="1:5">
      <c r="A23" s="88"/>
      <c r="B23" s="85"/>
      <c r="C23" s="89"/>
      <c r="D23" s="2"/>
      <c r="E23" s="2"/>
    </row>
    <row r="24" spans="1:5">
      <c r="A24" s="88"/>
      <c r="B24" s="85"/>
      <c r="C24" s="84"/>
      <c r="D24" s="2"/>
      <c r="E24" s="2"/>
    </row>
    <row r="25" spans="1:5">
      <c r="A25" s="88"/>
      <c r="B25" s="85"/>
      <c r="C25" s="85"/>
      <c r="D25" s="2"/>
      <c r="E25" s="2"/>
    </row>
    <row r="26" spans="1:5">
      <c r="A26" s="88"/>
      <c r="B26" s="85"/>
      <c r="C26" s="85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</sheetData>
  <sheetProtection algorithmName="SHA-512" hashValue="vT6XXMcSyKve2x7o3gLgtbdX+IhIRitwSr4hA/IirgmDlLvpDPIJ6t6WvF99sknkCRRfw3lUCA1gIsUQgM67aA==" saltValue="1chABv3nQ+mClDM26vEWp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H11" sqref="H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18" t="s">
        <v>208</v>
      </c>
      <c r="B1" s="119" t="s">
        <v>272</v>
      </c>
      <c r="C1" s="113"/>
      <c r="D1" s="2"/>
      <c r="E1" s="2"/>
      <c r="F1" s="2"/>
    </row>
    <row r="2" spans="1:6">
      <c r="A2" s="118" t="s">
        <v>190</v>
      </c>
      <c r="B2" s="120">
        <f>November!K177</f>
        <v>5640250233.5799999</v>
      </c>
      <c r="C2" s="113"/>
      <c r="D2" s="2"/>
      <c r="E2" s="2"/>
      <c r="F2" s="2"/>
    </row>
    <row r="3" spans="1:6">
      <c r="A3" s="118" t="s">
        <v>20</v>
      </c>
      <c r="B3" s="121">
        <f>November!K24</f>
        <v>31228529608.879997</v>
      </c>
      <c r="C3" s="113"/>
      <c r="D3" s="2"/>
      <c r="E3" s="2"/>
      <c r="F3" s="2"/>
    </row>
    <row r="4" spans="1:6">
      <c r="A4" s="118" t="s">
        <v>212</v>
      </c>
      <c r="B4" s="122">
        <f>November!K200</f>
        <v>51205357909.578011</v>
      </c>
      <c r="C4" s="113"/>
      <c r="D4" s="2"/>
      <c r="E4" s="2"/>
      <c r="F4" s="2"/>
    </row>
    <row r="5" spans="1:6">
      <c r="A5" s="118" t="s">
        <v>165</v>
      </c>
      <c r="B5" s="122">
        <f>November!K171</f>
        <v>53404869418.139992</v>
      </c>
      <c r="C5" s="113"/>
      <c r="D5" s="2"/>
      <c r="E5" s="2"/>
      <c r="F5" s="2"/>
    </row>
    <row r="6" spans="1:6">
      <c r="A6" s="118" t="s">
        <v>211</v>
      </c>
      <c r="B6" s="123">
        <f>November!K140</f>
        <v>99731344023.309998</v>
      </c>
      <c r="C6" s="113"/>
      <c r="D6" s="2"/>
      <c r="E6" s="2"/>
      <c r="F6" s="2"/>
    </row>
    <row r="7" spans="1:6">
      <c r="A7" s="118" t="s">
        <v>209</v>
      </c>
      <c r="B7" s="123">
        <f>November!K98</f>
        <v>199845159835.45999</v>
      </c>
      <c r="C7" s="113"/>
      <c r="D7" s="2"/>
      <c r="E7" s="2"/>
      <c r="F7" s="2"/>
    </row>
    <row r="8" spans="1:6">
      <c r="A8" s="118" t="s">
        <v>52</v>
      </c>
      <c r="B8" s="122">
        <f>November!K61</f>
        <v>1584165079617.3796</v>
      </c>
      <c r="C8" s="113"/>
      <c r="D8" s="2"/>
      <c r="E8" s="2"/>
      <c r="F8" s="2"/>
    </row>
    <row r="9" spans="1:6">
      <c r="A9" s="118" t="s">
        <v>210</v>
      </c>
      <c r="B9" s="122">
        <f>November!K132</f>
        <v>1813564164335.1716</v>
      </c>
      <c r="C9" s="113"/>
      <c r="D9" s="2"/>
      <c r="E9" s="2"/>
      <c r="F9" s="2"/>
    </row>
    <row r="10" spans="1:6">
      <c r="A10" s="113"/>
      <c r="B10" s="113"/>
      <c r="C10" s="113"/>
      <c r="D10" s="2"/>
      <c r="E10" s="2"/>
      <c r="F10" s="2"/>
    </row>
    <row r="11" spans="1:6">
      <c r="A11" s="116"/>
      <c r="B11" s="113"/>
      <c r="C11" s="113"/>
      <c r="D11" s="2"/>
      <c r="E11" s="2"/>
      <c r="F11" s="2"/>
    </row>
    <row r="12" spans="1:6">
      <c r="A12" s="124"/>
      <c r="B12" s="113"/>
      <c r="C12" s="113"/>
      <c r="D12" s="2"/>
      <c r="E12" s="2"/>
      <c r="F12" s="2"/>
    </row>
    <row r="13" spans="1:6" ht="15" customHeight="1">
      <c r="A13" s="118"/>
      <c r="B13" s="125"/>
      <c r="C13" s="113"/>
      <c r="D13" s="2"/>
      <c r="E13" s="2"/>
      <c r="F13" s="2"/>
    </row>
    <row r="14" spans="1:6">
      <c r="A14" s="93"/>
      <c r="B14" s="92"/>
      <c r="C14" s="2"/>
      <c r="D14" s="2"/>
      <c r="E14" s="2"/>
      <c r="F14" s="2"/>
    </row>
    <row r="15" spans="1:6">
      <c r="A15" s="93"/>
      <c r="B15" s="92"/>
      <c r="C15" s="2"/>
      <c r="D15" s="2"/>
      <c r="E15" s="2"/>
      <c r="F15" s="2"/>
    </row>
    <row r="16" spans="1:6">
      <c r="A16" s="94"/>
      <c r="B16" s="92"/>
      <c r="C16" s="2"/>
      <c r="D16" s="2"/>
      <c r="E16" s="2"/>
      <c r="F16" s="2"/>
    </row>
    <row r="17" spans="1:17">
      <c r="A17" s="94"/>
      <c r="B17" s="92"/>
      <c r="C17" s="2"/>
      <c r="D17" s="2"/>
      <c r="E17" s="2"/>
      <c r="F17" s="2"/>
    </row>
    <row r="18" spans="1:17">
      <c r="A18" s="93"/>
      <c r="B18" s="92"/>
      <c r="C18" s="2"/>
      <c r="D18" s="2"/>
      <c r="E18" s="2"/>
      <c r="F18" s="2"/>
    </row>
    <row r="19" spans="1:17">
      <c r="A19" s="28"/>
      <c r="B19" s="92"/>
      <c r="C19" s="2"/>
      <c r="D19" s="2"/>
      <c r="E19" s="2"/>
      <c r="F19" s="2"/>
    </row>
    <row r="20" spans="1:17">
      <c r="A20" s="95"/>
      <c r="B20" s="92"/>
      <c r="C20" s="2"/>
      <c r="D20" s="2"/>
      <c r="E20" s="2"/>
      <c r="F20" s="2"/>
    </row>
    <row r="21" spans="1:17">
      <c r="A21" s="88"/>
      <c r="B21" s="96"/>
      <c r="C21" s="2"/>
      <c r="D21" s="2"/>
      <c r="E21" s="2"/>
      <c r="F21" s="2"/>
    </row>
    <row r="22" spans="1:17">
      <c r="A22" s="2"/>
      <c r="B22" s="86"/>
      <c r="C22" s="2"/>
      <c r="D22" s="2"/>
      <c r="E22" s="2"/>
      <c r="F22" s="2"/>
    </row>
    <row r="23" spans="1:17">
      <c r="A23" s="2"/>
      <c r="B23" s="2"/>
      <c r="C23" s="2"/>
      <c r="D23" s="2"/>
      <c r="E23" s="2"/>
      <c r="F23" s="2"/>
    </row>
    <row r="24" spans="1:17">
      <c r="A24" s="2"/>
      <c r="B24" s="2"/>
      <c r="C24" s="2"/>
      <c r="D24" s="2"/>
      <c r="E24" s="2"/>
      <c r="F24" s="2"/>
    </row>
    <row r="25" spans="1:17">
      <c r="A25" s="2"/>
      <c r="B25" s="2"/>
      <c r="C25" s="2"/>
      <c r="D25" s="2"/>
      <c r="E25" s="2"/>
      <c r="F25" s="2"/>
    </row>
    <row r="26" spans="1:17">
      <c r="A26" s="2"/>
      <c r="B26" s="2"/>
      <c r="C26" s="2"/>
      <c r="D26" s="2"/>
      <c r="E26" s="2"/>
      <c r="F26" s="2"/>
    </row>
    <row r="27" spans="1:17">
      <c r="A27" s="2"/>
      <c r="B27" s="2"/>
      <c r="C27" s="2"/>
      <c r="D27" s="2"/>
      <c r="E27" s="2"/>
      <c r="F27" s="2"/>
    </row>
    <row r="28" spans="1:17">
      <c r="A28" s="2"/>
      <c r="B28" s="2"/>
      <c r="C28" s="2"/>
      <c r="D28" s="2"/>
      <c r="E28" s="2"/>
      <c r="F28" s="2"/>
    </row>
    <row r="32" spans="1:17" ht="15.9" customHeight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"/>
    </row>
    <row r="33" spans="1:17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"/>
    </row>
  </sheetData>
  <sheetProtection algorithmName="SHA-512" hashValue="G3u0fLaLL/3JaGLPnO6PuZn+TZrDKxQdl3/D6KwqWl99lWuT3B6t5Pe3rYLqnBNIElbYbr5cLCXSJ8hxj+gWig==" saltValue="65Z9XBx2nyBQX7Cr8eJWmQ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E7" sqref="E7"/>
    </sheetView>
  </sheetViews>
  <sheetFormatPr defaultColWidth="9" defaultRowHeight="14.4"/>
  <cols>
    <col min="1" max="1" width="34.6640625" customWidth="1"/>
    <col min="2" max="2" width="15" customWidth="1"/>
  </cols>
  <sheetData>
    <row r="2" spans="1:4">
      <c r="A2" s="2"/>
      <c r="B2" s="2"/>
      <c r="C2" s="2"/>
      <c r="D2" s="2"/>
    </row>
    <row r="3" spans="1:4">
      <c r="A3" s="113"/>
      <c r="B3" s="113"/>
      <c r="C3" s="113"/>
      <c r="D3" s="113"/>
    </row>
    <row r="4" spans="1:4">
      <c r="A4" s="113"/>
      <c r="B4" s="113"/>
      <c r="C4" s="113"/>
      <c r="D4" s="113"/>
    </row>
    <row r="5" spans="1:4" ht="15.6">
      <c r="A5" s="114" t="s">
        <v>208</v>
      </c>
      <c r="B5" s="115" t="s">
        <v>213</v>
      </c>
      <c r="C5" s="113"/>
      <c r="D5" s="113"/>
    </row>
    <row r="6" spans="1:4">
      <c r="A6" s="116" t="s">
        <v>20</v>
      </c>
      <c r="B6" s="117">
        <f>November!T24</f>
        <v>49299</v>
      </c>
      <c r="C6" s="113"/>
      <c r="D6" s="113"/>
    </row>
    <row r="7" spans="1:4">
      <c r="A7" s="116" t="s">
        <v>52</v>
      </c>
      <c r="B7" s="117">
        <f>November!T61</f>
        <v>332496</v>
      </c>
      <c r="C7" s="113"/>
      <c r="D7" s="113"/>
    </row>
    <row r="8" spans="1:4">
      <c r="A8" s="116" t="s">
        <v>209</v>
      </c>
      <c r="B8" s="117">
        <f>November!T98</f>
        <v>44929</v>
      </c>
      <c r="C8" s="113"/>
      <c r="D8" s="113"/>
    </row>
    <row r="9" spans="1:4">
      <c r="A9" s="116" t="s">
        <v>210</v>
      </c>
      <c r="B9" s="117">
        <f>November!T132</f>
        <v>18691</v>
      </c>
      <c r="C9" s="113"/>
      <c r="D9" s="113"/>
    </row>
    <row r="10" spans="1:4">
      <c r="A10" s="116" t="s">
        <v>211</v>
      </c>
      <c r="B10" s="117">
        <f>November!T140</f>
        <v>216846</v>
      </c>
      <c r="C10" s="113"/>
      <c r="D10" s="113"/>
    </row>
    <row r="11" spans="1:4">
      <c r="A11" s="116" t="s">
        <v>165</v>
      </c>
      <c r="B11" s="117">
        <f>November!T171</f>
        <v>69149</v>
      </c>
      <c r="C11" s="113"/>
      <c r="D11" s="113"/>
    </row>
    <row r="12" spans="1:4">
      <c r="A12" s="116" t="s">
        <v>190</v>
      </c>
      <c r="B12" s="117">
        <f>November!T177</f>
        <v>13307</v>
      </c>
      <c r="C12" s="113"/>
      <c r="D12" s="113"/>
    </row>
    <row r="13" spans="1:4">
      <c r="A13" s="116" t="s">
        <v>212</v>
      </c>
      <c r="B13" s="117">
        <f>November!T200</f>
        <v>28344</v>
      </c>
      <c r="C13" s="113"/>
      <c r="D13" s="113"/>
    </row>
    <row r="14" spans="1:4">
      <c r="A14" s="113"/>
      <c r="B14" s="113"/>
      <c r="C14" s="113"/>
      <c r="D14" s="113"/>
    </row>
    <row r="15" spans="1:4">
      <c r="A15" s="113"/>
      <c r="B15" s="113"/>
      <c r="C15" s="113"/>
      <c r="D15" s="113"/>
    </row>
    <row r="16" spans="1:4">
      <c r="A16" s="113"/>
      <c r="B16" s="113"/>
      <c r="C16" s="113"/>
      <c r="D16" s="113"/>
    </row>
    <row r="17" spans="1:4">
      <c r="A17" s="113"/>
      <c r="B17" s="113"/>
      <c r="C17" s="113"/>
      <c r="D17" s="113"/>
    </row>
    <row r="18" spans="1:4">
      <c r="A18" s="113"/>
      <c r="B18" s="113"/>
      <c r="C18" s="113"/>
      <c r="D18" s="113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  <row r="25" spans="1:4">
      <c r="A25" s="2"/>
      <c r="B25" s="2"/>
      <c r="C25" s="2"/>
      <c r="D25" s="2"/>
    </row>
    <row r="26" spans="1:4">
      <c r="A26" s="2"/>
      <c r="B26" s="2"/>
      <c r="C26" s="2"/>
      <c r="D26" s="2"/>
    </row>
  </sheetData>
  <sheetProtection algorithmName="SHA-512" hashValue="GdJpXCuTIIRVApnsKeoqAGDHnROnFZ/74naj80rdoiWGutrtX6zaOU2d+WTfNj5qTPYR0RzcmnP6wD1vGmtp6g==" saltValue="WqyhkEA0AIvvvnrnPYgOX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November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cp:lastPrinted>2024-12-20T14:59:31Z</cp:lastPrinted>
  <dcterms:created xsi:type="dcterms:W3CDTF">2023-10-09T09:40:00Z</dcterms:created>
  <dcterms:modified xsi:type="dcterms:W3CDTF">2025-03-01T23:21:21Z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