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0" yWindow="0" windowWidth="24000" windowHeight="10212"/>
  </bookViews>
  <sheets>
    <sheet name="October 2024" sheetId="7" r:id="rId1"/>
    <sheet name="NAV Comparison" sheetId="2" r:id="rId2"/>
    <sheet name="Market Share" sheetId="3" r:id="rId3"/>
    <sheet name="Unitholders" sheetId="6" r:id="rId4"/>
  </sheets>
  <calcPr calcId="162913"/>
</workbook>
</file>

<file path=xl/calcChain.xml><?xml version="1.0" encoding="utf-8"?>
<calcChain xmlns="http://schemas.openxmlformats.org/spreadsheetml/2006/main">
  <c r="M186" i="7" l="1"/>
  <c r="M187" i="7"/>
  <c r="M188" i="7"/>
  <c r="M189" i="7"/>
  <c r="M190" i="7"/>
  <c r="M191" i="7"/>
  <c r="M192" i="7"/>
  <c r="M193" i="7"/>
  <c r="M194" i="7"/>
  <c r="M195" i="7"/>
  <c r="M196" i="7"/>
  <c r="L186" i="7"/>
  <c r="L187" i="7"/>
  <c r="L188" i="7"/>
  <c r="L189" i="7"/>
  <c r="L190" i="7"/>
  <c r="L191" i="7"/>
  <c r="L192" i="7"/>
  <c r="L193" i="7"/>
  <c r="L194" i="7"/>
  <c r="L195" i="7"/>
  <c r="L196" i="7"/>
  <c r="J186" i="7"/>
  <c r="J187" i="7"/>
  <c r="J188" i="7"/>
  <c r="J189" i="7"/>
  <c r="J190" i="7"/>
  <c r="J191" i="7"/>
  <c r="J192" i="7"/>
  <c r="J193" i="7"/>
  <c r="J194" i="7"/>
  <c r="J195" i="7"/>
  <c r="J196" i="7"/>
  <c r="J182" i="7"/>
  <c r="M175" i="7"/>
  <c r="M176" i="7"/>
  <c r="M177" i="7"/>
  <c r="L175" i="7"/>
  <c r="L176" i="7"/>
  <c r="J175" i="7"/>
  <c r="J176" i="7"/>
  <c r="M171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M136" i="7"/>
  <c r="M137" i="7"/>
  <c r="M138" i="7"/>
  <c r="M139" i="7"/>
  <c r="M140" i="7"/>
  <c r="L136" i="7"/>
  <c r="L137" i="7"/>
  <c r="L138" i="7"/>
  <c r="L139" i="7"/>
  <c r="J136" i="7"/>
  <c r="J137" i="7"/>
  <c r="J138" i="7"/>
  <c r="J13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M116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M61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N136" i="7"/>
  <c r="O136" i="7"/>
  <c r="P136" i="7"/>
  <c r="Q136" i="7"/>
  <c r="N137" i="7"/>
  <c r="O137" i="7"/>
  <c r="P137" i="7"/>
  <c r="Q137" i="7"/>
  <c r="N138" i="7"/>
  <c r="O138" i="7"/>
  <c r="P138" i="7"/>
  <c r="Q138" i="7"/>
  <c r="N139" i="7"/>
  <c r="O139" i="7"/>
  <c r="P139" i="7"/>
  <c r="Q139" i="7"/>
  <c r="N120" i="7"/>
  <c r="O120" i="7"/>
  <c r="P120" i="7"/>
  <c r="Q120" i="7"/>
  <c r="N121" i="7"/>
  <c r="O121" i="7"/>
  <c r="P121" i="7"/>
  <c r="Q121" i="7"/>
  <c r="N122" i="7"/>
  <c r="O122" i="7"/>
  <c r="P122" i="7"/>
  <c r="Q122" i="7"/>
  <c r="N123" i="7"/>
  <c r="O123" i="7"/>
  <c r="P123" i="7"/>
  <c r="Q123" i="7"/>
  <c r="N124" i="7"/>
  <c r="O124" i="7"/>
  <c r="P124" i="7"/>
  <c r="Q124" i="7"/>
  <c r="N125" i="7"/>
  <c r="O125" i="7"/>
  <c r="P125" i="7"/>
  <c r="Q125" i="7"/>
  <c r="N126" i="7"/>
  <c r="O126" i="7"/>
  <c r="P126" i="7"/>
  <c r="Q126" i="7"/>
  <c r="N127" i="7"/>
  <c r="O127" i="7"/>
  <c r="P127" i="7"/>
  <c r="Q127" i="7"/>
  <c r="N128" i="7"/>
  <c r="O128" i="7"/>
  <c r="P128" i="7"/>
  <c r="Q128" i="7"/>
  <c r="N129" i="7"/>
  <c r="O129" i="7"/>
  <c r="P129" i="7"/>
  <c r="Q129" i="7"/>
  <c r="N130" i="7"/>
  <c r="O130" i="7"/>
  <c r="P130" i="7"/>
  <c r="Q130" i="7"/>
  <c r="N131" i="7"/>
  <c r="O131" i="7"/>
  <c r="P131" i="7"/>
  <c r="Q131" i="7"/>
  <c r="N103" i="7"/>
  <c r="O103" i="7"/>
  <c r="P103" i="7"/>
  <c r="Q103" i="7"/>
  <c r="N104" i="7"/>
  <c r="O104" i="7"/>
  <c r="P104" i="7"/>
  <c r="Q104" i="7"/>
  <c r="N105" i="7"/>
  <c r="O105" i="7"/>
  <c r="P105" i="7"/>
  <c r="Q105" i="7"/>
  <c r="N106" i="7"/>
  <c r="O106" i="7"/>
  <c r="P106" i="7"/>
  <c r="Q106" i="7"/>
  <c r="N107" i="7"/>
  <c r="O107" i="7"/>
  <c r="P107" i="7"/>
  <c r="Q107" i="7"/>
  <c r="N108" i="7"/>
  <c r="O108" i="7"/>
  <c r="P108" i="7"/>
  <c r="Q108" i="7"/>
  <c r="N109" i="7"/>
  <c r="O109" i="7"/>
  <c r="P109" i="7"/>
  <c r="Q109" i="7"/>
  <c r="N110" i="7"/>
  <c r="O110" i="7"/>
  <c r="P110" i="7"/>
  <c r="Q110" i="7"/>
  <c r="N111" i="7"/>
  <c r="O111" i="7"/>
  <c r="P111" i="7"/>
  <c r="Q111" i="7"/>
  <c r="N112" i="7"/>
  <c r="O112" i="7"/>
  <c r="P112" i="7"/>
  <c r="Q112" i="7"/>
  <c r="N113" i="7"/>
  <c r="O113" i="7"/>
  <c r="P113" i="7"/>
  <c r="Q113" i="7"/>
  <c r="N114" i="7"/>
  <c r="O114" i="7"/>
  <c r="P114" i="7"/>
  <c r="Q114" i="7"/>
  <c r="N115" i="7"/>
  <c r="O115" i="7"/>
  <c r="P115" i="7"/>
  <c r="Q115" i="7"/>
  <c r="N116" i="7"/>
  <c r="O116" i="7"/>
  <c r="P116" i="7"/>
  <c r="Q116" i="7"/>
  <c r="N65" i="7"/>
  <c r="O65" i="7"/>
  <c r="P65" i="7"/>
  <c r="Q65" i="7"/>
  <c r="N66" i="7"/>
  <c r="O66" i="7"/>
  <c r="P66" i="7"/>
  <c r="Q66" i="7"/>
  <c r="N67" i="7"/>
  <c r="O67" i="7"/>
  <c r="P67" i="7"/>
  <c r="Q67" i="7"/>
  <c r="N68" i="7"/>
  <c r="O68" i="7"/>
  <c r="P68" i="7"/>
  <c r="Q68" i="7"/>
  <c r="N69" i="7"/>
  <c r="O69" i="7"/>
  <c r="P69" i="7"/>
  <c r="Q69" i="7"/>
  <c r="N70" i="7"/>
  <c r="O70" i="7"/>
  <c r="P70" i="7"/>
  <c r="Q70" i="7"/>
  <c r="N71" i="7"/>
  <c r="O71" i="7"/>
  <c r="P71" i="7"/>
  <c r="Q71" i="7"/>
  <c r="N72" i="7"/>
  <c r="O72" i="7"/>
  <c r="P72" i="7"/>
  <c r="Q72" i="7"/>
  <c r="N73" i="7"/>
  <c r="O73" i="7"/>
  <c r="P73" i="7"/>
  <c r="Q73" i="7"/>
  <c r="N74" i="7"/>
  <c r="O74" i="7"/>
  <c r="P74" i="7"/>
  <c r="Q74" i="7"/>
  <c r="N75" i="7"/>
  <c r="O75" i="7"/>
  <c r="P75" i="7"/>
  <c r="Q75" i="7"/>
  <c r="N76" i="7"/>
  <c r="O76" i="7"/>
  <c r="P76" i="7"/>
  <c r="Q76" i="7"/>
  <c r="N77" i="7"/>
  <c r="O77" i="7"/>
  <c r="P77" i="7"/>
  <c r="Q77" i="7"/>
  <c r="N78" i="7"/>
  <c r="O78" i="7"/>
  <c r="P78" i="7"/>
  <c r="Q78" i="7"/>
  <c r="N79" i="7"/>
  <c r="O79" i="7"/>
  <c r="P79" i="7"/>
  <c r="Q79" i="7"/>
  <c r="N80" i="7"/>
  <c r="O80" i="7"/>
  <c r="P80" i="7"/>
  <c r="Q80" i="7"/>
  <c r="N81" i="7"/>
  <c r="O81" i="7"/>
  <c r="P81" i="7"/>
  <c r="Q81" i="7"/>
  <c r="N82" i="7"/>
  <c r="O82" i="7"/>
  <c r="P82" i="7"/>
  <c r="Q82" i="7"/>
  <c r="N83" i="7"/>
  <c r="O83" i="7"/>
  <c r="P83" i="7"/>
  <c r="Q83" i="7"/>
  <c r="N84" i="7"/>
  <c r="O84" i="7"/>
  <c r="P84" i="7"/>
  <c r="Q84" i="7"/>
  <c r="N85" i="7"/>
  <c r="O85" i="7"/>
  <c r="P85" i="7"/>
  <c r="Q85" i="7"/>
  <c r="N86" i="7"/>
  <c r="O86" i="7"/>
  <c r="P86" i="7"/>
  <c r="Q86" i="7"/>
  <c r="N87" i="7"/>
  <c r="O87" i="7"/>
  <c r="P87" i="7"/>
  <c r="Q87" i="7"/>
  <c r="N88" i="7"/>
  <c r="O88" i="7"/>
  <c r="P88" i="7"/>
  <c r="Q88" i="7"/>
  <c r="N89" i="7"/>
  <c r="O89" i="7"/>
  <c r="P89" i="7"/>
  <c r="Q89" i="7"/>
  <c r="N90" i="7"/>
  <c r="O90" i="7"/>
  <c r="P90" i="7"/>
  <c r="Q90" i="7"/>
  <c r="N91" i="7"/>
  <c r="O91" i="7"/>
  <c r="P91" i="7"/>
  <c r="Q91" i="7"/>
  <c r="N92" i="7"/>
  <c r="O92" i="7"/>
  <c r="P92" i="7"/>
  <c r="Q92" i="7"/>
  <c r="N93" i="7"/>
  <c r="O93" i="7"/>
  <c r="P93" i="7"/>
  <c r="Q93" i="7"/>
  <c r="N94" i="7"/>
  <c r="O94" i="7"/>
  <c r="P94" i="7"/>
  <c r="Q94" i="7"/>
  <c r="N95" i="7"/>
  <c r="O95" i="7"/>
  <c r="P95" i="7"/>
  <c r="Q95" i="7"/>
  <c r="N96" i="7"/>
  <c r="O96" i="7"/>
  <c r="P96" i="7"/>
  <c r="Q96" i="7"/>
  <c r="N97" i="7"/>
  <c r="O97" i="7"/>
  <c r="P97" i="7"/>
  <c r="Q97" i="7"/>
  <c r="N28" i="7"/>
  <c r="O28" i="7"/>
  <c r="P28" i="7"/>
  <c r="Q28" i="7"/>
  <c r="N29" i="7"/>
  <c r="O29" i="7"/>
  <c r="P29" i="7"/>
  <c r="Q29" i="7"/>
  <c r="N30" i="7"/>
  <c r="O30" i="7"/>
  <c r="P30" i="7"/>
  <c r="Q30" i="7"/>
  <c r="N31" i="7"/>
  <c r="O31" i="7"/>
  <c r="P31" i="7"/>
  <c r="Q31" i="7"/>
  <c r="N32" i="7"/>
  <c r="O32" i="7"/>
  <c r="P32" i="7"/>
  <c r="Q32" i="7"/>
  <c r="N33" i="7"/>
  <c r="O33" i="7"/>
  <c r="P33" i="7"/>
  <c r="Q33" i="7"/>
  <c r="N34" i="7"/>
  <c r="O34" i="7"/>
  <c r="P34" i="7"/>
  <c r="Q34" i="7"/>
  <c r="N35" i="7"/>
  <c r="O35" i="7"/>
  <c r="P35" i="7"/>
  <c r="Q35" i="7"/>
  <c r="N36" i="7"/>
  <c r="O36" i="7"/>
  <c r="P36" i="7"/>
  <c r="Q36" i="7"/>
  <c r="N37" i="7"/>
  <c r="O37" i="7"/>
  <c r="P37" i="7"/>
  <c r="Q37" i="7"/>
  <c r="N38" i="7"/>
  <c r="O38" i="7"/>
  <c r="P38" i="7"/>
  <c r="Q38" i="7"/>
  <c r="N39" i="7"/>
  <c r="O39" i="7"/>
  <c r="P39" i="7"/>
  <c r="Q39" i="7"/>
  <c r="N40" i="7"/>
  <c r="O40" i="7"/>
  <c r="P40" i="7"/>
  <c r="Q40" i="7"/>
  <c r="N41" i="7"/>
  <c r="O41" i="7"/>
  <c r="P41" i="7"/>
  <c r="Q41" i="7"/>
  <c r="N42" i="7"/>
  <c r="O42" i="7"/>
  <c r="P42" i="7"/>
  <c r="Q42" i="7"/>
  <c r="N43" i="7"/>
  <c r="O43" i="7"/>
  <c r="P43" i="7"/>
  <c r="Q43" i="7"/>
  <c r="N44" i="7"/>
  <c r="O44" i="7"/>
  <c r="P44" i="7"/>
  <c r="Q44" i="7"/>
  <c r="N45" i="7"/>
  <c r="O45" i="7"/>
  <c r="P45" i="7"/>
  <c r="Q45" i="7"/>
  <c r="N46" i="7"/>
  <c r="O46" i="7"/>
  <c r="P46" i="7"/>
  <c r="Q46" i="7"/>
  <c r="N47" i="7"/>
  <c r="O47" i="7"/>
  <c r="P47" i="7"/>
  <c r="Q47" i="7"/>
  <c r="N48" i="7"/>
  <c r="O48" i="7"/>
  <c r="P48" i="7"/>
  <c r="Q48" i="7"/>
  <c r="N49" i="7"/>
  <c r="O49" i="7"/>
  <c r="P49" i="7"/>
  <c r="Q49" i="7"/>
  <c r="N50" i="7"/>
  <c r="O50" i="7"/>
  <c r="P50" i="7"/>
  <c r="Q50" i="7"/>
  <c r="N51" i="7"/>
  <c r="O51" i="7"/>
  <c r="P51" i="7"/>
  <c r="Q51" i="7"/>
  <c r="N52" i="7"/>
  <c r="O52" i="7"/>
  <c r="P52" i="7"/>
  <c r="Q52" i="7"/>
  <c r="N53" i="7"/>
  <c r="O53" i="7"/>
  <c r="P53" i="7"/>
  <c r="Q53" i="7"/>
  <c r="N54" i="7"/>
  <c r="O54" i="7"/>
  <c r="P54" i="7"/>
  <c r="Q54" i="7"/>
  <c r="N55" i="7"/>
  <c r="O55" i="7"/>
  <c r="P55" i="7"/>
  <c r="Q55" i="7"/>
  <c r="N56" i="7"/>
  <c r="O56" i="7"/>
  <c r="P56" i="7"/>
  <c r="Q56" i="7"/>
  <c r="N57" i="7"/>
  <c r="O57" i="7"/>
  <c r="P57" i="7"/>
  <c r="Q57" i="7"/>
  <c r="N58" i="7"/>
  <c r="O58" i="7"/>
  <c r="P58" i="7"/>
  <c r="Q58" i="7"/>
  <c r="N59" i="7"/>
  <c r="O59" i="7"/>
  <c r="P59" i="7"/>
  <c r="Q59" i="7"/>
  <c r="N60" i="7"/>
  <c r="O60" i="7"/>
  <c r="P60" i="7"/>
  <c r="Q60" i="7"/>
  <c r="N6" i="7"/>
  <c r="O6" i="7"/>
  <c r="P6" i="7"/>
  <c r="Q6" i="7"/>
  <c r="N7" i="7"/>
  <c r="O7" i="7"/>
  <c r="P7" i="7"/>
  <c r="Q7" i="7"/>
  <c r="N8" i="7"/>
  <c r="O8" i="7"/>
  <c r="P8" i="7"/>
  <c r="Q8" i="7"/>
  <c r="N9" i="7"/>
  <c r="O9" i="7"/>
  <c r="P9" i="7"/>
  <c r="Q9" i="7"/>
  <c r="N10" i="7"/>
  <c r="O10" i="7"/>
  <c r="P10" i="7"/>
  <c r="Q10" i="7"/>
  <c r="N11" i="7"/>
  <c r="O11" i="7"/>
  <c r="P11" i="7"/>
  <c r="Q11" i="7"/>
  <c r="N12" i="7"/>
  <c r="O12" i="7"/>
  <c r="P12" i="7"/>
  <c r="Q12" i="7"/>
  <c r="N13" i="7"/>
  <c r="O13" i="7"/>
  <c r="P13" i="7"/>
  <c r="Q13" i="7"/>
  <c r="N14" i="7"/>
  <c r="O14" i="7"/>
  <c r="P14" i="7"/>
  <c r="Q14" i="7"/>
  <c r="N15" i="7"/>
  <c r="O15" i="7"/>
  <c r="P15" i="7"/>
  <c r="Q15" i="7"/>
  <c r="N16" i="7"/>
  <c r="O16" i="7"/>
  <c r="P16" i="7"/>
  <c r="Q16" i="7"/>
  <c r="N17" i="7"/>
  <c r="O17" i="7"/>
  <c r="P17" i="7"/>
  <c r="Q17" i="7"/>
  <c r="N18" i="7"/>
  <c r="O18" i="7"/>
  <c r="P18" i="7"/>
  <c r="Q18" i="7"/>
  <c r="N19" i="7"/>
  <c r="O19" i="7"/>
  <c r="P19" i="7"/>
  <c r="Q19" i="7"/>
  <c r="N20" i="7"/>
  <c r="O20" i="7"/>
  <c r="P20" i="7"/>
  <c r="Q20" i="7"/>
  <c r="N21" i="7"/>
  <c r="O21" i="7"/>
  <c r="P21" i="7"/>
  <c r="Q21" i="7"/>
  <c r="N22" i="7"/>
  <c r="O22" i="7"/>
  <c r="P22" i="7"/>
  <c r="Q22" i="7"/>
  <c r="N23" i="7"/>
  <c r="O23" i="7"/>
  <c r="P23" i="7"/>
  <c r="Q23" i="7"/>
  <c r="C12" i="2"/>
  <c r="C11" i="2"/>
  <c r="C10" i="2"/>
  <c r="C9" i="2"/>
  <c r="C8" i="2"/>
  <c r="C6" i="2"/>
  <c r="C5" i="2"/>
  <c r="B13" i="6"/>
  <c r="B12" i="6"/>
  <c r="B11" i="6"/>
  <c r="B10" i="6"/>
  <c r="B9" i="6"/>
  <c r="B8" i="6"/>
  <c r="B7" i="6"/>
  <c r="B6" i="6"/>
  <c r="B9" i="3"/>
  <c r="B8" i="3"/>
  <c r="B6" i="3"/>
  <c r="B5" i="3"/>
  <c r="B4" i="3"/>
  <c r="B3" i="3"/>
  <c r="B2" i="3"/>
  <c r="I131" i="7"/>
  <c r="I130" i="7"/>
  <c r="I129" i="7"/>
  <c r="I128" i="7"/>
  <c r="I127" i="7"/>
  <c r="I126" i="7"/>
  <c r="I125" i="7"/>
  <c r="I124" i="7"/>
  <c r="I123" i="7"/>
  <c r="I121" i="7"/>
  <c r="I120" i="7"/>
  <c r="I119" i="7"/>
  <c r="I116" i="7"/>
  <c r="I114" i="7"/>
  <c r="I113" i="7"/>
  <c r="I112" i="7"/>
  <c r="I109" i="7"/>
  <c r="I108" i="7"/>
  <c r="I107" i="7"/>
  <c r="I106" i="7"/>
  <c r="I105" i="7"/>
  <c r="I104" i="7"/>
  <c r="I103" i="7"/>
  <c r="T149" i="7"/>
  <c r="P149" i="7"/>
  <c r="N149" i="7"/>
  <c r="H149" i="7"/>
  <c r="Q149" i="7" s="1"/>
  <c r="H36" i="7"/>
  <c r="O149" i="7" l="1"/>
  <c r="S103" i="7" l="1"/>
  <c r="R103" i="7"/>
  <c r="K103" i="7"/>
  <c r="G103" i="7"/>
  <c r="E103" i="7"/>
  <c r="D103" i="7"/>
  <c r="S108" i="7"/>
  <c r="R108" i="7"/>
  <c r="K108" i="7"/>
  <c r="G108" i="7"/>
  <c r="E108" i="7"/>
  <c r="D108" i="7"/>
  <c r="S124" i="7" l="1"/>
  <c r="R124" i="7"/>
  <c r="G124" i="7"/>
  <c r="E124" i="7"/>
  <c r="D124" i="7"/>
  <c r="S122" i="7" l="1"/>
  <c r="R122" i="7"/>
  <c r="H122" i="7"/>
  <c r="H74" i="7"/>
  <c r="D159" i="7"/>
  <c r="P157" i="7"/>
  <c r="N157" i="7"/>
  <c r="H157" i="7"/>
  <c r="O157" i="7" s="1"/>
  <c r="H45" i="7"/>
  <c r="P188" i="7"/>
  <c r="N188" i="7"/>
  <c r="H188" i="7"/>
  <c r="O188" i="7" s="1"/>
  <c r="K23" i="7"/>
  <c r="H22" i="7"/>
  <c r="H15" i="7"/>
  <c r="Q157" i="7" l="1"/>
  <c r="Q188" i="7"/>
  <c r="S125" i="7" l="1"/>
  <c r="R125" i="7"/>
  <c r="K125" i="7"/>
  <c r="G125" i="7" l="1"/>
  <c r="E125" i="7"/>
  <c r="D125" i="7"/>
  <c r="S123" i="7"/>
  <c r="R123" i="7"/>
  <c r="K123" i="7"/>
  <c r="G123" i="7"/>
  <c r="E123" i="7"/>
  <c r="D123" i="7"/>
  <c r="S107" i="7" l="1"/>
  <c r="R107" i="7"/>
  <c r="K107" i="7"/>
  <c r="G107" i="7"/>
  <c r="D107" i="7"/>
  <c r="T148" i="7"/>
  <c r="S102" i="7"/>
  <c r="R102" i="7"/>
  <c r="K102" i="7"/>
  <c r="G102" i="7"/>
  <c r="F102" i="7"/>
  <c r="E102" i="7"/>
  <c r="D102" i="7"/>
  <c r="S104" i="7" l="1"/>
  <c r="R104" i="7"/>
  <c r="K104" i="7"/>
  <c r="G104" i="7"/>
  <c r="F104" i="7"/>
  <c r="E104" i="7"/>
  <c r="D104" i="7"/>
  <c r="S128" i="7" l="1"/>
  <c r="R128" i="7"/>
  <c r="K128" i="7"/>
  <c r="G128" i="7"/>
  <c r="E128" i="7"/>
  <c r="D128" i="7"/>
  <c r="S120" i="7"/>
  <c r="R120" i="7"/>
  <c r="K120" i="7"/>
  <c r="G120" i="7"/>
  <c r="E120" i="7"/>
  <c r="D120" i="7"/>
  <c r="R130" i="7"/>
  <c r="S130" i="7"/>
  <c r="K130" i="7"/>
  <c r="G130" i="7"/>
  <c r="E130" i="7"/>
  <c r="D130" i="7"/>
  <c r="S112" i="7"/>
  <c r="R112" i="7"/>
  <c r="K112" i="7"/>
  <c r="G112" i="7"/>
  <c r="E112" i="7"/>
  <c r="D112" i="7"/>
  <c r="S119" i="7" l="1"/>
  <c r="R119" i="7"/>
  <c r="K119" i="7"/>
  <c r="G119" i="7"/>
  <c r="E119" i="7"/>
  <c r="D119" i="7"/>
  <c r="S105" i="7"/>
  <c r="R105" i="7"/>
  <c r="K105" i="7"/>
  <c r="G105" i="7"/>
  <c r="E105" i="7"/>
  <c r="D105" i="7"/>
  <c r="S127" i="7"/>
  <c r="R127" i="7"/>
  <c r="K127" i="7"/>
  <c r="G127" i="7"/>
  <c r="F127" i="7"/>
  <c r="E127" i="7"/>
  <c r="D127" i="7"/>
  <c r="S126" i="7"/>
  <c r="R126" i="7"/>
  <c r="K126" i="7"/>
  <c r="G126" i="7"/>
  <c r="F126" i="7"/>
  <c r="E126" i="7"/>
  <c r="D126" i="7"/>
  <c r="S121" i="7" l="1"/>
  <c r="R121" i="7"/>
  <c r="K121" i="7"/>
  <c r="G121" i="7"/>
  <c r="E121" i="7"/>
  <c r="D121" i="7"/>
  <c r="S116" i="7"/>
  <c r="R116" i="7"/>
  <c r="K116" i="7"/>
  <c r="G116" i="7"/>
  <c r="E116" i="7"/>
  <c r="D116" i="7"/>
  <c r="S114" i="7"/>
  <c r="R114" i="7"/>
  <c r="K114" i="7"/>
  <c r="G114" i="7"/>
  <c r="E114" i="7"/>
  <c r="D114" i="7"/>
  <c r="S129" i="7"/>
  <c r="R129" i="7"/>
  <c r="K129" i="7"/>
  <c r="G129" i="7"/>
  <c r="E129" i="7"/>
  <c r="D129" i="7"/>
  <c r="S106" i="7" l="1"/>
  <c r="R106" i="7"/>
  <c r="K106" i="7"/>
  <c r="G106" i="7"/>
  <c r="E106" i="7"/>
  <c r="D106" i="7"/>
  <c r="S109" i="7"/>
  <c r="R109" i="7"/>
  <c r="K109" i="7"/>
  <c r="G109" i="7"/>
  <c r="E109" i="7"/>
  <c r="D109" i="7"/>
  <c r="S113" i="7"/>
  <c r="R113" i="7"/>
  <c r="K113" i="7"/>
  <c r="G113" i="7"/>
  <c r="E113" i="7"/>
  <c r="D113" i="7"/>
  <c r="S111" i="7"/>
  <c r="R111" i="7"/>
  <c r="S131" i="7"/>
  <c r="R131" i="7"/>
  <c r="K131" i="7"/>
  <c r="G131" i="7"/>
  <c r="E131" i="7"/>
  <c r="D131" i="7"/>
  <c r="H40" i="7" l="1"/>
  <c r="H41" i="7"/>
  <c r="H42" i="7"/>
  <c r="H43" i="7"/>
  <c r="S110" i="7" l="1"/>
  <c r="R110" i="7"/>
  <c r="P199" i="7" l="1"/>
  <c r="N199" i="7"/>
  <c r="M199" i="7"/>
  <c r="N186" i="7"/>
  <c r="P186" i="7"/>
  <c r="N187" i="7"/>
  <c r="P187" i="7"/>
  <c r="N189" i="7"/>
  <c r="P189" i="7"/>
  <c r="N190" i="7"/>
  <c r="P190" i="7"/>
  <c r="N191" i="7"/>
  <c r="P191" i="7"/>
  <c r="N192" i="7"/>
  <c r="P192" i="7"/>
  <c r="N193" i="7"/>
  <c r="P193" i="7"/>
  <c r="N194" i="7"/>
  <c r="P194" i="7"/>
  <c r="N195" i="7"/>
  <c r="P195" i="7"/>
  <c r="N196" i="7"/>
  <c r="P196" i="7"/>
  <c r="P185" i="7"/>
  <c r="N185" i="7"/>
  <c r="M185" i="7"/>
  <c r="M182" i="7"/>
  <c r="N182" i="7"/>
  <c r="P182" i="7"/>
  <c r="P181" i="7"/>
  <c r="N181" i="7"/>
  <c r="M181" i="7"/>
  <c r="N175" i="7"/>
  <c r="P175" i="7"/>
  <c r="N176" i="7"/>
  <c r="P176" i="7"/>
  <c r="P174" i="7"/>
  <c r="N174" i="7"/>
  <c r="M174" i="7"/>
  <c r="N144" i="7"/>
  <c r="P144" i="7"/>
  <c r="N145" i="7"/>
  <c r="P145" i="7"/>
  <c r="N146" i="7"/>
  <c r="P146" i="7"/>
  <c r="N147" i="7"/>
  <c r="P147" i="7"/>
  <c r="N148" i="7"/>
  <c r="P148" i="7"/>
  <c r="N150" i="7"/>
  <c r="P150" i="7"/>
  <c r="N151" i="7"/>
  <c r="P151" i="7"/>
  <c r="N152" i="7"/>
  <c r="P152" i="7"/>
  <c r="N153" i="7"/>
  <c r="P153" i="7"/>
  <c r="N154" i="7"/>
  <c r="P154" i="7"/>
  <c r="N155" i="7"/>
  <c r="P155" i="7"/>
  <c r="N156" i="7"/>
  <c r="P156" i="7"/>
  <c r="N158" i="7"/>
  <c r="P158" i="7"/>
  <c r="N159" i="7"/>
  <c r="P159" i="7"/>
  <c r="N160" i="7"/>
  <c r="P160" i="7"/>
  <c r="N161" i="7"/>
  <c r="P161" i="7"/>
  <c r="N162" i="7"/>
  <c r="P162" i="7"/>
  <c r="N163" i="7"/>
  <c r="P163" i="7"/>
  <c r="N164" i="7"/>
  <c r="P164" i="7"/>
  <c r="N165" i="7"/>
  <c r="P165" i="7"/>
  <c r="N166" i="7"/>
  <c r="P166" i="7"/>
  <c r="N167" i="7"/>
  <c r="P167" i="7"/>
  <c r="N168" i="7"/>
  <c r="P168" i="7"/>
  <c r="N169" i="7"/>
  <c r="P169" i="7"/>
  <c r="N170" i="7"/>
  <c r="P170" i="7"/>
  <c r="P143" i="7"/>
  <c r="N143" i="7"/>
  <c r="M143" i="7"/>
  <c r="P135" i="7"/>
  <c r="N135" i="7"/>
  <c r="M135" i="7"/>
  <c r="P119" i="7"/>
  <c r="N119" i="7"/>
  <c r="M119" i="7"/>
  <c r="P102" i="7"/>
  <c r="N102" i="7"/>
  <c r="M102" i="7"/>
  <c r="P64" i="7"/>
  <c r="N64" i="7"/>
  <c r="M64" i="7"/>
  <c r="P27" i="7"/>
  <c r="N27" i="7"/>
  <c r="M27" i="7"/>
  <c r="H96" i="7" l="1"/>
  <c r="I200" i="7"/>
  <c r="K124" i="7"/>
  <c r="H124" i="7"/>
  <c r="J199" i="7" l="1"/>
  <c r="H130" i="7"/>
  <c r="H165" i="7" l="1"/>
  <c r="O165" i="7" l="1"/>
  <c r="Q165" i="7"/>
  <c r="H68" i="7"/>
  <c r="H125" i="7"/>
  <c r="H84" i="7"/>
  <c r="H70" i="7" l="1"/>
  <c r="U33" i="7"/>
  <c r="H33" i="7"/>
  <c r="H87" i="7" l="1"/>
  <c r="H199" i="7"/>
  <c r="H136" i="7"/>
  <c r="H159" i="7"/>
  <c r="O159" i="7" l="1"/>
  <c r="Q159" i="7"/>
  <c r="Q199" i="7"/>
  <c r="O199" i="7"/>
  <c r="H190" i="7"/>
  <c r="H192" i="7"/>
  <c r="H193" i="7"/>
  <c r="H144" i="7"/>
  <c r="H52" i="7"/>
  <c r="H53" i="7"/>
  <c r="H54" i="7"/>
  <c r="H103" i="7"/>
  <c r="H106" i="7"/>
  <c r="H107" i="7"/>
  <c r="H108" i="7"/>
  <c r="H9" i="7"/>
  <c r="O190" i="7" l="1"/>
  <c r="Q190" i="7"/>
  <c r="O193" i="7"/>
  <c r="Q193" i="7"/>
  <c r="O192" i="7"/>
  <c r="Q192" i="7"/>
  <c r="O144" i="7"/>
  <c r="Q144" i="7"/>
  <c r="H105" i="7"/>
  <c r="H16" i="7" l="1"/>
  <c r="H17" i="7"/>
  <c r="H79" i="7" l="1"/>
  <c r="H170" i="7" l="1"/>
  <c r="O170" i="7" l="1"/>
  <c r="Q170" i="7"/>
  <c r="H112" i="7"/>
  <c r="H186" i="7"/>
  <c r="H187" i="7"/>
  <c r="H189" i="7"/>
  <c r="H194" i="7"/>
  <c r="H195" i="7"/>
  <c r="H196" i="7"/>
  <c r="H185" i="7"/>
  <c r="H182" i="7"/>
  <c r="H181" i="7"/>
  <c r="H175" i="7"/>
  <c r="H176" i="7"/>
  <c r="H174" i="7"/>
  <c r="H145" i="7"/>
  <c r="H146" i="7"/>
  <c r="H147" i="7"/>
  <c r="H148" i="7"/>
  <c r="H150" i="7"/>
  <c r="H152" i="7"/>
  <c r="H153" i="7"/>
  <c r="H154" i="7"/>
  <c r="H155" i="7"/>
  <c r="H156" i="7"/>
  <c r="H158" i="7"/>
  <c r="H160" i="7"/>
  <c r="H161" i="7"/>
  <c r="H162" i="7"/>
  <c r="H163" i="7"/>
  <c r="H164" i="7"/>
  <c r="H151" i="7"/>
  <c r="H166" i="7"/>
  <c r="H167" i="7"/>
  <c r="H168" i="7"/>
  <c r="H169" i="7"/>
  <c r="H143" i="7"/>
  <c r="H137" i="7"/>
  <c r="H138" i="7"/>
  <c r="H139" i="7"/>
  <c r="H135" i="7"/>
  <c r="H120" i="7"/>
  <c r="H121" i="7"/>
  <c r="H127" i="7"/>
  <c r="H128" i="7"/>
  <c r="H129" i="7"/>
  <c r="H131" i="7"/>
  <c r="H119" i="7"/>
  <c r="H104" i="7"/>
  <c r="H109" i="7"/>
  <c r="H110" i="7"/>
  <c r="H111" i="7"/>
  <c r="H113" i="7"/>
  <c r="H114" i="7"/>
  <c r="H115" i="7"/>
  <c r="H116" i="7"/>
  <c r="H102" i="7"/>
  <c r="H65" i="7"/>
  <c r="H66" i="7"/>
  <c r="H67" i="7"/>
  <c r="H69" i="7"/>
  <c r="H85" i="7"/>
  <c r="H71" i="7"/>
  <c r="H72" i="7"/>
  <c r="H73" i="7"/>
  <c r="H76" i="7"/>
  <c r="H77" i="7"/>
  <c r="H78" i="7"/>
  <c r="H64" i="7"/>
  <c r="H28" i="7"/>
  <c r="H29" i="7"/>
  <c r="H30" i="7"/>
  <c r="H31" i="7"/>
  <c r="H32" i="7"/>
  <c r="H34" i="7"/>
  <c r="H35" i="7"/>
  <c r="H37" i="7"/>
  <c r="H38" i="7"/>
  <c r="H39" i="7"/>
  <c r="H44" i="7"/>
  <c r="H46" i="7"/>
  <c r="H47" i="7"/>
  <c r="H48" i="7"/>
  <c r="H49" i="7"/>
  <c r="H50" i="7"/>
  <c r="H51" i="7"/>
  <c r="H55" i="7"/>
  <c r="H56" i="7"/>
  <c r="H57" i="7"/>
  <c r="H58" i="7"/>
  <c r="H59" i="7"/>
  <c r="H60" i="7"/>
  <c r="H27" i="7"/>
  <c r="H6" i="7"/>
  <c r="H7" i="7"/>
  <c r="H8" i="7"/>
  <c r="H11" i="7"/>
  <c r="H12" i="7"/>
  <c r="H13" i="7"/>
  <c r="H14" i="7"/>
  <c r="H18" i="7"/>
  <c r="H19" i="7"/>
  <c r="H20" i="7"/>
  <c r="H21" i="7"/>
  <c r="H10" i="7"/>
  <c r="H23" i="7"/>
  <c r="H5" i="7"/>
  <c r="H80" i="7"/>
  <c r="H82" i="7"/>
  <c r="H83" i="7"/>
  <c r="H191" i="7"/>
  <c r="H86" i="7"/>
  <c r="H88" i="7"/>
  <c r="H89" i="7"/>
  <c r="H90" i="7"/>
  <c r="H91" i="7"/>
  <c r="H92" i="7"/>
  <c r="H93" i="7"/>
  <c r="H94" i="7"/>
  <c r="H75" i="7"/>
  <c r="H95" i="7"/>
  <c r="H81" i="7"/>
  <c r="H97" i="7"/>
  <c r="Q181" i="7" l="1"/>
  <c r="O181" i="7"/>
  <c r="Q161" i="7"/>
  <c r="O161" i="7"/>
  <c r="Q143" i="7"/>
  <c r="O143" i="7"/>
  <c r="O152" i="7"/>
  <c r="Q152" i="7"/>
  <c r="O187" i="7"/>
  <c r="Q187" i="7"/>
  <c r="Q160" i="7"/>
  <c r="O160" i="7"/>
  <c r="O146" i="7"/>
  <c r="Q146" i="7"/>
  <c r="O150" i="7"/>
  <c r="Q150" i="7"/>
  <c r="O147" i="7"/>
  <c r="Q147" i="7"/>
  <c r="Q27" i="7"/>
  <c r="O27" i="7"/>
  <c r="O163" i="7"/>
  <c r="Q163" i="7"/>
  <c r="O151" i="7"/>
  <c r="Q151" i="7"/>
  <c r="O191" i="7"/>
  <c r="Q191" i="7"/>
  <c r="O148" i="7"/>
  <c r="Q148" i="7"/>
  <c r="O186" i="7"/>
  <c r="Q186" i="7"/>
  <c r="Q102" i="7"/>
  <c r="O102" i="7"/>
  <c r="O145" i="7"/>
  <c r="Q145" i="7"/>
  <c r="Q174" i="7"/>
  <c r="O174" i="7"/>
  <c r="O176" i="7"/>
  <c r="Q176" i="7"/>
  <c r="O169" i="7"/>
  <c r="Q169" i="7"/>
  <c r="O167" i="7"/>
  <c r="Q167" i="7"/>
  <c r="O195" i="7"/>
  <c r="Q195" i="7"/>
  <c r="O182" i="7"/>
  <c r="Q182" i="7"/>
  <c r="O175" i="7"/>
  <c r="Q175" i="7"/>
  <c r="O164" i="7"/>
  <c r="Q164" i="7"/>
  <c r="Q119" i="7"/>
  <c r="O119" i="7"/>
  <c r="O194" i="7"/>
  <c r="Q194" i="7"/>
  <c r="O162" i="7"/>
  <c r="Q162" i="7"/>
  <c r="O168" i="7"/>
  <c r="Q168" i="7"/>
  <c r="O196" i="7"/>
  <c r="Q196" i="7"/>
  <c r="Q185" i="7"/>
  <c r="O185" i="7"/>
  <c r="O166" i="7"/>
  <c r="Q166" i="7"/>
  <c r="Q135" i="7"/>
  <c r="O135" i="7"/>
  <c r="O156" i="7"/>
  <c r="Q156" i="7"/>
  <c r="O153" i="7"/>
  <c r="Q153" i="7"/>
  <c r="O158" i="7"/>
  <c r="Q158" i="7"/>
  <c r="O155" i="7"/>
  <c r="Q155" i="7"/>
  <c r="O189" i="7"/>
  <c r="Q189" i="7"/>
  <c r="O154" i="7"/>
  <c r="Q154" i="7"/>
  <c r="Q64" i="7"/>
  <c r="O64" i="7"/>
  <c r="T200" i="7"/>
  <c r="K200" i="7"/>
  <c r="J185" i="7"/>
  <c r="T177" i="7"/>
  <c r="K177" i="7"/>
  <c r="I177" i="7"/>
  <c r="K171" i="7"/>
  <c r="I171" i="7"/>
  <c r="T171" i="7"/>
  <c r="T140" i="7"/>
  <c r="K140" i="7"/>
  <c r="I140" i="7"/>
  <c r="T132" i="7"/>
  <c r="K132" i="7"/>
  <c r="H123" i="7"/>
  <c r="T98" i="7"/>
  <c r="K98" i="7"/>
  <c r="I98" i="7"/>
  <c r="T61" i="7"/>
  <c r="K61" i="7"/>
  <c r="I61" i="7"/>
  <c r="T24" i="7"/>
  <c r="K24" i="7"/>
  <c r="I24" i="7"/>
  <c r="J22" i="7" s="1"/>
  <c r="Q5" i="7"/>
  <c r="P5" i="7"/>
  <c r="O5" i="7"/>
  <c r="N5" i="7"/>
  <c r="M5" i="7"/>
  <c r="C7" i="2" l="1"/>
  <c r="B7" i="3"/>
  <c r="J13" i="7"/>
  <c r="J10" i="7"/>
  <c r="J12" i="7"/>
  <c r="J14" i="7"/>
  <c r="J6" i="7"/>
  <c r="J19" i="7"/>
  <c r="J20" i="7"/>
  <c r="J9" i="7"/>
  <c r="J23" i="7"/>
  <c r="J16" i="7"/>
  <c r="J8" i="7"/>
  <c r="J17" i="7"/>
  <c r="J18" i="7"/>
  <c r="J21" i="7"/>
  <c r="J7" i="7"/>
  <c r="J11" i="7"/>
  <c r="L199" i="7"/>
  <c r="L182" i="7"/>
  <c r="M24" i="7"/>
  <c r="J181" i="7"/>
  <c r="J135" i="7"/>
  <c r="J174" i="7"/>
  <c r="L64" i="7"/>
  <c r="J64" i="7"/>
  <c r="J143" i="7"/>
  <c r="I132" i="7"/>
  <c r="M200" i="7"/>
  <c r="H126" i="7"/>
  <c r="J5" i="7"/>
  <c r="L135" i="7"/>
  <c r="L181" i="7"/>
  <c r="L185" i="7"/>
  <c r="L174" i="7"/>
  <c r="L5" i="7"/>
  <c r="T201" i="7"/>
  <c r="L143" i="7"/>
  <c r="L27" i="7"/>
  <c r="L102" i="7"/>
  <c r="L119" i="7"/>
  <c r="K201" i="7"/>
  <c r="L61" i="7" s="1"/>
  <c r="J27" i="7"/>
  <c r="J102" i="7" l="1"/>
  <c r="I201" i="7"/>
  <c r="J177" i="7" s="1"/>
  <c r="J119" i="7"/>
  <c r="L98" i="7"/>
  <c r="L177" i="7"/>
  <c r="L200" i="7"/>
  <c r="L171" i="7"/>
  <c r="L140" i="7"/>
  <c r="L24" i="7"/>
  <c r="L132" i="7"/>
  <c r="J200" i="7" l="1"/>
  <c r="J171" i="7"/>
  <c r="J132" i="7"/>
  <c r="J61" i="7"/>
  <c r="J98" i="7"/>
  <c r="J24" i="7"/>
  <c r="J140" i="7"/>
</calcChain>
</file>

<file path=xl/sharedStrings.xml><?xml version="1.0" encoding="utf-8"?>
<sst xmlns="http://schemas.openxmlformats.org/spreadsheetml/2006/main" count="411" uniqueCount="275">
  <si>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</si>
  <si>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</si>
  <si>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</si>
  <si>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</si>
  <si>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</si>
  <si>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</si>
  <si>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</si>
  <si>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</si>
  <si>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</si>
  <si>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</si>
  <si>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</si>
  <si>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</si>
  <si>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</si>
  <si>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</si>
  <si>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</si>
  <si>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</si>
  <si>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</si>
  <si>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</si>
  <si>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</si>
  <si>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</si>
  <si>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</si>
  <si>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</si>
  <si>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</si>
  <si>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</si>
  <si>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</si>
  <si>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</si>
  <si>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</si>
  <si>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</si>
  <si>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</si>
  <si>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</si>
  <si>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</si>
  <si>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</si>
  <si>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</si>
  <si>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</si>
  <si>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</si>
  <si>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</si>
  <si>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</si>
  <si>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</si>
  <si>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</si>
  <si>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</si>
  <si>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</si>
  <si>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</si>
  <si>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</si>
  <si>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</si>
  <si>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</si>
  <si>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</si>
  <si>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</si>
  <si>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</si>
  <si>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</si>
  <si>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</si>
  <si>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</si>
  <si>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</si>
  <si>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</si>
  <si>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</si>
  <si>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</si>
  <si>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</si>
  <si>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</si>
  <si>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</si>
  <si>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</si>
  <si>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</si>
  <si>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</si>
  <si>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</si>
  <si>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</si>
  <si>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</si>
  <si>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</si>
  <si>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</si>
  <si>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</si>
  <si>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</si>
  <si>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</si>
  <si>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</si>
  <si>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</si>
  <si>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</si>
  <si>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</si>
  <si>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</si>
  <si>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</si>
  <si>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</si>
  <si>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</si>
  <si>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</si>
  <si>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</si>
  <si>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</si>
  <si>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</si>
  <si>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</si>
  <si>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</si>
  <si>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</si>
  <si>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</si>
  <si>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</si>
  <si>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</si>
  <si>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</si>
  <si>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</si>
  <si>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</si>
  <si>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</si>
  <si>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</si>
  <si>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</si>
  <si>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</si>
  <si>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</si>
  <si>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</si>
  <si>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</si>
  <si>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</si>
  <si>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</si>
  <si>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</si>
  <si>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</si>
  <si>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</si>
  <si>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</si>
  <si>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</si>
  <si>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</si>
  <si>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</si>
  <si>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</si>
  <si>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</si>
  <si>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</si>
  <si>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</si>
  <si>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</si>
  <si>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</si>
  <si>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</si>
  <si>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</si>
  <si>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</si>
  <si>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</si>
  <si>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</si>
  <si>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</si>
  <si>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</si>
  <si>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</si>
  <si>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</si>
  <si>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</si>
  <si>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</si>
  <si>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</si>
  <si>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</si>
  <si>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</si>
  <si>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</si>
  <si>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</si>
  <si>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</si>
  <si>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</si>
  <si>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</si>
  <si>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</si>
  <si>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</si>
  <si>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</si>
  <si>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</si>
  <si>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</si>
  <si>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</si>
  <si>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</si>
  <si>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</si>
  <si>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</si>
  <si>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</si>
  <si>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</si>
  <si>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</si>
  <si>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</si>
  <si>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</si>
  <si>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</si>
  <si>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</si>
  <si>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</si>
  <si>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</si>
  <si>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</si>
  <si>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</si>
  <si>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</si>
  <si>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</si>
  <si>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</si>
  <si>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</si>
  <si>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</si>
  <si>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</si>
  <si>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</si>
  <si>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</si>
  <si>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</si>
  <si>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</si>
  <si>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</si>
  <si>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</si>
  <si>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</si>
  <si>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</si>
  <si>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</si>
  <si>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</si>
  <si>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</si>
  <si>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</si>
  <si>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</si>
  <si>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</si>
  <si>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</si>
  <si>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</si>
  <si>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</si>
  <si>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</si>
  <si>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</si>
  <si>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</si>
  <si>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</si>
  <si>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</si>
  <si>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</si>
  <si>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</si>
  <si>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</si>
  <si>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</si>
  <si>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</si>
  <si>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</si>
  <si>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</si>
  <si>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</si>
  <si>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</si>
  <si>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</si>
  <si>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</si>
  <si>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</si>
  <si>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</si>
  <si>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</si>
  <si>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</si>
  <si>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</si>
  <si>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</si>
  <si>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</si>
  <si>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</si>
  <si>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</si>
  <si>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</si>
  <si>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</si>
  <si>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</si>
  <si>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</si>
  <si>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</si>
  <si>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</si>
  <si>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</si>
  <si>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</si>
  <si>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</si>
  <si>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</si>
  <si>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</si>
  <si>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</si>
  <si>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</si>
  <si>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</si>
  <si>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UNREALIZED CAPITAL GAIN/LOSS (N)</t>
  </si>
  <si>
    <t>Cowry Equity Fund</t>
  </si>
  <si>
    <t>AIICO Eurobond Fund</t>
  </si>
  <si>
    <t>CardinalStone Dollar Fund</t>
  </si>
  <si>
    <t>Comercio Partners Dollar Fund</t>
  </si>
  <si>
    <t>Comercio Partners Asset Management Limited</t>
  </si>
  <si>
    <t>Cowry Eurobond Fund</t>
  </si>
  <si>
    <t>EDC Dollar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</si>
  <si>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</si>
  <si>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</si>
  <si>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</si>
  <si>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</si>
  <si>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</si>
  <si>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Alpha Morgan Balanced Fund</t>
  </si>
  <si>
    <t>Alpha Morgan Capital Managers Limited</t>
  </si>
  <si>
    <t>Cowry Balanced Fund</t>
  </si>
  <si>
    <t>GTI Balanced Fund</t>
  </si>
  <si>
    <t>GTI Asset Management &amp; Trust Limited</t>
  </si>
  <si>
    <t>The Nigeria Football Fund</t>
  </si>
  <si>
    <t>FSDH Halal Fund</t>
  </si>
  <si>
    <t>Marble Halal Commodities Fund</t>
  </si>
  <si>
    <t xml:space="preserve">Marble Capital Limited </t>
  </si>
  <si>
    <t>Marble Halal Fixed Income Fund</t>
  </si>
  <si>
    <t>Coral Money Market Fund</t>
  </si>
  <si>
    <t>Growth and Development Asset Mgt. Ltd.</t>
  </si>
  <si>
    <t>Guaranty Trust Fixed Income Fund</t>
  </si>
  <si>
    <t>Utica Custodian Assured Fixed Income Fund</t>
  </si>
  <si>
    <t>Utica Capital Limited</t>
  </si>
  <si>
    <t>Nigeria Bond Fund</t>
  </si>
  <si>
    <t>Comercio Partners Fixed Income Fund</t>
  </si>
  <si>
    <t>Cowry Fixed Income Fund</t>
  </si>
  <si>
    <t>Norrenberger Turbo Fixed Income Fund</t>
  </si>
  <si>
    <t>Norrenberger Investment &amp; Capital Mgt. Ltd.</t>
  </si>
  <si>
    <t>Housing Solution Fund</t>
  </si>
  <si>
    <t>FUNDCO Capital Managers Limited</t>
  </si>
  <si>
    <t>BALANCED</t>
  </si>
  <si>
    <t>Lotus Waqf (Endowment) Fund</t>
  </si>
  <si>
    <t>Comercio Partners Money Market Fund</t>
  </si>
  <si>
    <t>Meristem Fixed Income Fund</t>
  </si>
  <si>
    <t>Lead Dollar Fixed Income Fund</t>
  </si>
  <si>
    <t>Lead Asset Management Limited</t>
  </si>
  <si>
    <t>Meristem Dollar Fund</t>
  </si>
  <si>
    <t>RMBN Dollar Fixed Income Fund</t>
  </si>
  <si>
    <t>CardinalStone Equity Fund</t>
  </si>
  <si>
    <t>Chapel Hill Denham Money Market Fund</t>
  </si>
  <si>
    <t>FBN Bond Fund</t>
  </si>
  <si>
    <t>Halo Equity Fund</t>
  </si>
  <si>
    <t>Halo Asset Management Limited</t>
  </si>
  <si>
    <t>Zrosk Magna Equity Fund</t>
  </si>
  <si>
    <t>Zrosk Investment Management Limited</t>
  </si>
  <si>
    <t>18,003,423.94</t>
  </si>
  <si>
    <t>NET ASSET VALUE (N) PREVIOUS - SEPTEMBER</t>
  </si>
  <si>
    <t>Emerging Africa Halal Fund</t>
  </si>
  <si>
    <t>GTI  Money Market Fund</t>
  </si>
  <si>
    <t>Hillcrest Balanced Fund</t>
  </si>
  <si>
    <t>Hillcrest Capital Management Limited</t>
  </si>
  <si>
    <t>Coronation Premium Fixed Income Fund</t>
  </si>
  <si>
    <t>Coronation Dollar Fund</t>
  </si>
  <si>
    <t>MONTHLY UPDATE ON REGISTERED MUTUAL FUNDS AS AT 31ST OCTOBER, 2024</t>
  </si>
  <si>
    <t>Sep 2024</t>
  </si>
  <si>
    <t>Oct 2024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</si>
  <si>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October, 2024 =N1,670.47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</si>
</sst>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entury Gothic"/>
      <family val="2"/>
    </font>
    <font>
      <b/>
      <sz val="8"/>
      <name val="Century Gothic"/>
      <family val="2"/>
    </font>
    <font>
      <sz val="8"/>
      <color indexed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color theme="0"/>
      <name val="Times New Roman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trike/>
      <sz val="8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28"/>
      <color indexed="9"/>
      <name val="Segoe UI Black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8"/>
      <color theme="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68059327982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465">
    <xf numFmtId="0" fontId="0" fillId="0" borderId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165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10" borderId="0" applyNumberFormat="0" applyBorder="0" applyAlignment="0" applyProtection="0"/>
    <xf numFmtId="17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0" fontId="9" fillId="0" borderId="0"/>
    <xf numFmtId="37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0" fontId="18" fillId="9" borderId="3" applyNumberFormat="0" applyFont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155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5" fillId="2" borderId="0" xfId="0" applyFont="1" applyFill="1"/>
    <xf numFmtId="0" fontId="10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0" fontId="19" fillId="0" borderId="0" xfId="0" applyFont="1"/>
    <xf numFmtId="164" fontId="20" fillId="2" borderId="4" xfId="1" applyFont="1" applyFill="1" applyBorder="1"/>
    <xf numFmtId="172" fontId="7" fillId="5" borderId="2" xfId="0" applyNumberFormat="1" applyFont="1" applyFill="1" applyBorder="1"/>
    <xf numFmtId="10" fontId="7" fillId="5" borderId="2" xfId="0" applyNumberFormat="1" applyFont="1" applyFill="1" applyBorder="1"/>
    <xf numFmtId="10" fontId="7" fillId="5" borderId="2" xfId="0" applyNumberFormat="1" applyFont="1" applyFill="1" applyBorder="1" applyAlignment="1">
      <alignment horizontal="right" vertical="center"/>
    </xf>
    <xf numFmtId="172" fontId="7" fillId="5" borderId="2" xfId="0" applyNumberFormat="1" applyFont="1" applyFill="1" applyBorder="1" applyAlignment="1">
      <alignment horizontal="right" vertical="center"/>
    </xf>
    <xf numFmtId="164" fontId="7" fillId="5" borderId="2" xfId="1" applyFont="1" applyFill="1" applyBorder="1"/>
    <xf numFmtId="49" fontId="20" fillId="2" borderId="2" xfId="0" applyNumberFormat="1" applyFont="1" applyFill="1" applyBorder="1" applyAlignment="1">
      <alignment wrapText="1"/>
    </xf>
    <xf numFmtId="164" fontId="20" fillId="2" borderId="2" xfId="1" applyFont="1" applyFill="1" applyBorder="1" applyAlignment="1"/>
    <xf numFmtId="10" fontId="20" fillId="2" borderId="2" xfId="0" applyNumberFormat="1" applyFont="1" applyFill="1" applyBorder="1" applyAlignment="1">
      <alignment horizontal="center"/>
    </xf>
    <xf numFmtId="10" fontId="21" fillId="6" borderId="2" xfId="0" applyNumberFormat="1" applyFont="1" applyFill="1" applyBorder="1" applyAlignment="1">
      <alignment horizontal="center" vertical="center"/>
    </xf>
    <xf numFmtId="10" fontId="20" fillId="6" borderId="2" xfId="0" applyNumberFormat="1" applyFont="1" applyFill="1" applyBorder="1" applyAlignment="1">
      <alignment horizontal="center" vertical="center"/>
    </xf>
    <xf numFmtId="172" fontId="20" fillId="6" borderId="2" xfId="0" applyNumberFormat="1" applyFont="1" applyFill="1" applyBorder="1" applyAlignment="1">
      <alignment horizontal="right" vertical="center"/>
    </xf>
    <xf numFmtId="172" fontId="20" fillId="2" borderId="2" xfId="0" applyNumberFormat="1" applyFont="1" applyFill="1" applyBorder="1"/>
    <xf numFmtId="164" fontId="20" fillId="2" borderId="2" xfId="1" applyFont="1" applyFill="1" applyBorder="1"/>
    <xf numFmtId="49" fontId="20" fillId="2" borderId="2" xfId="0" applyNumberFormat="1" applyFont="1" applyFill="1" applyBorder="1"/>
    <xf numFmtId="49" fontId="20" fillId="2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wrapText="1"/>
    </xf>
    <xf numFmtId="172" fontId="21" fillId="2" borderId="2" xfId="0" applyNumberFormat="1" applyFont="1" applyFill="1" applyBorder="1" applyAlignment="1">
      <alignment horizontal="left"/>
    </xf>
    <xf numFmtId="10" fontId="21" fillId="2" borderId="2" xfId="0" applyNumberFormat="1" applyFont="1" applyFill="1" applyBorder="1" applyAlignment="1">
      <alignment horizontal="center"/>
    </xf>
    <xf numFmtId="172" fontId="21" fillId="6" borderId="2" xfId="0" applyNumberFormat="1" applyFont="1" applyFill="1" applyBorder="1" applyAlignment="1">
      <alignment horizontal="right" vertical="center"/>
    </xf>
    <xf numFmtId="172" fontId="21" fillId="2" borderId="2" xfId="0" applyNumberFormat="1" applyFont="1" applyFill="1" applyBorder="1"/>
    <xf numFmtId="164" fontId="21" fillId="2" borderId="2" xfId="1" applyFont="1" applyFill="1" applyBorder="1"/>
    <xf numFmtId="172" fontId="20" fillId="6" borderId="2" xfId="0" applyNumberFormat="1" applyFont="1" applyFill="1" applyBorder="1" applyAlignment="1">
      <alignment horizontal="center" vertical="center"/>
    </xf>
    <xf numFmtId="172" fontId="21" fillId="6" borderId="2" xfId="0" applyNumberFormat="1" applyFont="1" applyFill="1" applyBorder="1" applyAlignment="1">
      <alignment horizontal="center" vertical="center"/>
    </xf>
    <xf numFmtId="173" fontId="20" fillId="2" borderId="2" xfId="0" applyNumberFormat="1" applyFont="1" applyFill="1" applyBorder="1" applyAlignment="1">
      <alignment horizontal="right" wrapText="1"/>
    </xf>
    <xf numFmtId="164" fontId="21" fillId="2" borderId="2" xfId="1" applyFont="1" applyFill="1" applyBorder="1" applyAlignment="1"/>
    <xf numFmtId="164" fontId="20" fillId="2" borderId="2" xfId="1" applyFont="1" applyFill="1" applyBorder="1" applyAlignment="1">
      <alignment horizontal="right"/>
    </xf>
    <xf numFmtId="164" fontId="21" fillId="2" borderId="2" xfId="1" applyFont="1" applyFill="1" applyBorder="1" applyAlignment="1">
      <alignment wrapText="1"/>
    </xf>
    <xf numFmtId="10" fontId="21" fillId="6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center" vertical="top" wrapText="1"/>
    </xf>
    <xf numFmtId="164" fontId="6" fillId="5" borderId="2" xfId="1" applyFont="1" applyFill="1" applyBorder="1" applyAlignment="1">
      <alignment horizontal="center" vertical="top" wrapText="1"/>
    </xf>
    <xf numFmtId="172" fontId="20" fillId="0" borderId="2" xfId="0" applyNumberFormat="1" applyFont="1" applyFill="1" applyBorder="1"/>
    <xf numFmtId="43" fontId="20" fillId="0" borderId="2" xfId="2" applyNumberFormat="1" applyFont="1" applyBorder="1" applyAlignment="1"/>
    <xf numFmtId="164" fontId="20" fillId="0" borderId="2" xfId="1" applyFont="1" applyFill="1" applyBorder="1" applyAlignment="1"/>
    <xf numFmtId="164" fontId="20" fillId="0" borderId="2" xfId="1" applyFont="1" applyBorder="1"/>
    <xf numFmtId="174" fontId="20" fillId="2" borderId="2" xfId="1" applyNumberFormat="1" applyFont="1" applyFill="1" applyBorder="1" applyAlignment="1">
      <alignment horizontal="center" wrapText="1"/>
    </xf>
    <xf numFmtId="4" fontId="20" fillId="2" borderId="2" xfId="464" applyNumberFormat="1" applyFont="1" applyFill="1" applyBorder="1" applyAlignment="1">
      <alignment wrapText="1"/>
    </xf>
    <xf numFmtId="0" fontId="20" fillId="2" borderId="2" xfId="464" applyFont="1" applyFill="1" applyBorder="1" applyAlignment="1">
      <alignment wrapText="1"/>
    </xf>
    <xf numFmtId="164" fontId="20" fillId="0" borderId="2" xfId="1" applyFont="1" applyBorder="1" applyAlignment="1">
      <alignment horizontal="right"/>
    </xf>
    <xf numFmtId="164" fontId="20" fillId="0" borderId="2" xfId="1" applyFont="1" applyFill="1" applyBorder="1"/>
    <xf numFmtId="164" fontId="20" fillId="0" borderId="2" xfId="1" applyFont="1" applyBorder="1" applyAlignment="1">
      <alignment vertical="center"/>
    </xf>
    <xf numFmtId="164" fontId="20" fillId="0" borderId="2" xfId="1" applyFont="1" applyFill="1" applyBorder="1" applyAlignment="1">
      <alignment horizontal="right"/>
    </xf>
    <xf numFmtId="164" fontId="20" fillId="0" borderId="2" xfId="1" applyFont="1" applyBorder="1" applyAlignment="1"/>
    <xf numFmtId="164" fontId="20" fillId="0" borderId="2" xfId="1" applyFont="1" applyBorder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26" fillId="2" borderId="0" xfId="0" applyFont="1" applyFill="1"/>
    <xf numFmtId="0" fontId="27" fillId="0" borderId="0" xfId="0" applyFont="1"/>
    <xf numFmtId="49" fontId="7" fillId="5" borderId="2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/>
    <xf numFmtId="0" fontId="20" fillId="2" borderId="2" xfId="0" applyFont="1" applyFill="1" applyBorder="1"/>
    <xf numFmtId="164" fontId="20" fillId="2" borderId="4" xfId="1" applyFont="1" applyFill="1" applyBorder="1" applyAlignment="1"/>
    <xf numFmtId="49" fontId="20" fillId="0" borderId="2" xfId="0" applyNumberFormat="1" applyFont="1" applyFill="1" applyBorder="1"/>
    <xf numFmtId="49" fontId="20" fillId="0" borderId="2" xfId="0" applyNumberFormat="1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164" fontId="20" fillId="2" borderId="2" xfId="1" applyFont="1" applyFill="1" applyBorder="1" applyAlignment="1">
      <alignment wrapText="1"/>
    </xf>
    <xf numFmtId="164" fontId="20" fillId="2" borderId="2" xfId="1" applyFont="1" applyFill="1" applyBorder="1" applyAlignment="1">
      <alignment horizontal="left" vertical="top" wrapText="1"/>
    </xf>
    <xf numFmtId="164" fontId="20" fillId="0" borderId="2" xfId="1" applyFont="1" applyFill="1" applyBorder="1" applyAlignment="1">
      <alignment horizontal="left"/>
    </xf>
    <xf numFmtId="49" fontId="20" fillId="2" borderId="2" xfId="0" applyNumberFormat="1" applyFont="1" applyFill="1" applyBorder="1" applyAlignment="1">
      <alignment vertical="top" wrapText="1"/>
    </xf>
    <xf numFmtId="173" fontId="20" fillId="2" borderId="2" xfId="0" applyNumberFormat="1" applyFont="1" applyFill="1" applyBorder="1" applyAlignment="1">
      <alignment horizontal="center" wrapText="1"/>
    </xf>
    <xf numFmtId="164" fontId="20" fillId="2" borderId="5" xfId="1" applyFont="1" applyFill="1" applyBorder="1"/>
    <xf numFmtId="164" fontId="20" fillId="2" borderId="5" xfId="1" applyFont="1" applyFill="1" applyBorder="1" applyAlignment="1"/>
    <xf numFmtId="10" fontId="21" fillId="29" borderId="5" xfId="0" applyNumberFormat="1" applyFont="1" applyFill="1" applyBorder="1" applyAlignment="1">
      <alignment horizontal="center" vertical="center"/>
    </xf>
    <xf numFmtId="10" fontId="20" fillId="29" borderId="5" xfId="0" applyNumberFormat="1" applyFont="1" applyFill="1" applyBorder="1" applyAlignment="1">
      <alignment horizontal="center" vertical="center"/>
    </xf>
    <xf numFmtId="164" fontId="20" fillId="2" borderId="5" xfId="1" applyFont="1" applyFill="1" applyBorder="1" applyAlignment="1">
      <alignment horizontal="left"/>
    </xf>
    <xf numFmtId="172" fontId="20" fillId="29" borderId="5" xfId="0" applyNumberFormat="1" applyFont="1" applyFill="1" applyBorder="1" applyAlignment="1">
      <alignment horizontal="right" vertical="center"/>
    </xf>
    <xf numFmtId="164" fontId="20" fillId="2" borderId="4" xfId="1" applyFont="1" applyFill="1" applyBorder="1" applyAlignment="1">
      <alignment horizontal="left"/>
    </xf>
    <xf numFmtId="164" fontId="20" fillId="0" borderId="4" xfId="1" applyFont="1" applyBorder="1"/>
    <xf numFmtId="164" fontId="20" fillId="2" borderId="4" xfId="1" applyFont="1" applyFill="1" applyBorder="1" applyAlignment="1">
      <alignment horizontal="right"/>
    </xf>
    <xf numFmtId="164" fontId="20" fillId="0" borderId="4" xfId="1" applyFont="1" applyBorder="1" applyAlignment="1"/>
    <xf numFmtId="164" fontId="20" fillId="28" borderId="2" xfId="1" applyFont="1" applyFill="1" applyBorder="1" applyAlignment="1">
      <alignment horizontal="left"/>
    </xf>
    <xf numFmtId="164" fontId="21" fillId="2" borderId="2" xfId="1" applyFont="1" applyFill="1" applyBorder="1" applyAlignment="1">
      <alignment horizontal="left"/>
    </xf>
    <xf numFmtId="164" fontId="22" fillId="2" borderId="4" xfId="1" applyFont="1" applyFill="1" applyBorder="1" applyAlignment="1">
      <alignment horizontal="left"/>
    </xf>
    <xf numFmtId="164" fontId="23" fillId="0" borderId="4" xfId="1" applyFont="1" applyBorder="1"/>
    <xf numFmtId="164" fontId="22" fillId="2" borderId="4" xfId="1" applyFont="1" applyFill="1" applyBorder="1"/>
    <xf numFmtId="164" fontId="23" fillId="28" borderId="4" xfId="1" applyFont="1" applyFill="1" applyBorder="1" applyAlignment="1">
      <alignment horizontal="left"/>
    </xf>
    <xf numFmtId="164" fontId="20" fillId="0" borderId="4" xfId="1" applyFont="1" applyFill="1" applyBorder="1" applyAlignment="1" applyProtection="1"/>
    <xf numFmtId="164" fontId="20" fillId="28" borderId="4" xfId="1" applyFont="1" applyFill="1" applyBorder="1"/>
    <xf numFmtId="164" fontId="24" fillId="0" borderId="4" xfId="1" applyFont="1" applyBorder="1"/>
    <xf numFmtId="164" fontId="20" fillId="0" borderId="4" xfId="1" applyFont="1" applyBorder="1" applyAlignment="1">
      <alignment horizontal="right"/>
    </xf>
    <xf numFmtId="164" fontId="20" fillId="2" borderId="4" xfId="1" applyFont="1" applyFill="1" applyBorder="1" applyAlignment="1">
      <alignment horizontal="center"/>
    </xf>
    <xf numFmtId="164" fontId="23" fillId="0" borderId="4" xfId="1" applyFont="1" applyFill="1" applyBorder="1"/>
    <xf numFmtId="164" fontId="24" fillId="2" borderId="4" xfId="1" applyFont="1" applyFill="1" applyBorder="1" applyAlignment="1">
      <alignment horizontal="left"/>
    </xf>
    <xf numFmtId="164" fontId="24" fillId="2" borderId="4" xfId="1" applyFont="1" applyFill="1" applyBorder="1"/>
    <xf numFmtId="49" fontId="20" fillId="2" borderId="2" xfId="0" applyNumberFormat="1" applyFont="1" applyFill="1" applyBorder="1" applyAlignment="1">
      <alignment horizontal="left" wrapText="1"/>
    </xf>
    <xf numFmtId="164" fontId="20" fillId="2" borderId="2" xfId="1" applyFont="1" applyFill="1" applyBorder="1" applyAlignment="1">
      <alignment horizontal="left" wrapText="1"/>
    </xf>
    <xf numFmtId="164" fontId="20" fillId="2" borderId="2" xfId="1" applyFont="1" applyFill="1" applyBorder="1" applyAlignment="1">
      <alignment horizontal="right" wrapText="1"/>
    </xf>
    <xf numFmtId="164" fontId="22" fillId="2" borderId="4" xfId="1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4" fontId="31" fillId="2" borderId="0" xfId="0" applyNumberFormat="1" applyFont="1" applyFill="1"/>
    <xf numFmtId="4" fontId="31" fillId="2" borderId="0" xfId="0" applyNumberFormat="1" applyFont="1" applyFill="1" applyAlignment="1">
      <alignment horizontal="right"/>
    </xf>
    <xf numFmtId="4" fontId="30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right"/>
    </xf>
    <xf numFmtId="4" fontId="30" fillId="2" borderId="0" xfId="0" applyNumberFormat="1" applyFont="1" applyFill="1"/>
    <xf numFmtId="164" fontId="31" fillId="2" borderId="0" xfId="1" applyFont="1" applyFill="1" applyBorder="1" applyAlignment="1">
      <alignment horizontal="right" vertical="top" wrapText="1"/>
    </xf>
    <xf numFmtId="164" fontId="30" fillId="2" borderId="0" xfId="1" applyFont="1" applyFill="1" applyBorder="1" applyAlignment="1">
      <alignment horizontal="right" vertical="top" wrapText="1"/>
    </xf>
    <xf numFmtId="0" fontId="32" fillId="0" borderId="2" xfId="0" applyFont="1" applyBorder="1" applyAlignment="1">
      <alignment horizontal="right"/>
    </xf>
    <xf numFmtId="164" fontId="30" fillId="2" borderId="2" xfId="1" applyFont="1" applyFill="1" applyBorder="1" applyAlignment="1">
      <alignment horizontal="right" vertical="top" wrapText="1"/>
    </xf>
    <xf numFmtId="43" fontId="4" fillId="0" borderId="0" xfId="201" applyFont="1"/>
    <xf numFmtId="4" fontId="30" fillId="2" borderId="2" xfId="0" applyNumberFormat="1" applyFont="1" applyFill="1" applyBorder="1"/>
    <xf numFmtId="4" fontId="30" fillId="2" borderId="2" xfId="0" applyNumberFormat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4" fontId="31" fillId="2" borderId="1" xfId="0" applyNumberFormat="1" applyFont="1" applyFill="1" applyBorder="1" applyAlignment="1">
      <alignment horizontal="right"/>
    </xf>
    <xf numFmtId="164" fontId="20" fillId="28" borderId="2" xfId="1" applyFont="1" applyFill="1" applyBorder="1"/>
    <xf numFmtId="164" fontId="20" fillId="2" borderId="2" xfId="1" applyFont="1" applyFill="1" applyBorder="1" applyAlignment="1">
      <alignment horizontal="center"/>
    </xf>
    <xf numFmtId="164" fontId="20" fillId="0" borderId="4" xfId="1" applyFont="1" applyFill="1" applyBorder="1"/>
    <xf numFmtId="164" fontId="24" fillId="0" borderId="4" xfId="1" applyFont="1" applyFill="1" applyBorder="1" applyAlignment="1" applyProtection="1"/>
    <xf numFmtId="164" fontId="20" fillId="2" borderId="2" xfId="1" applyFont="1" applyFill="1" applyBorder="1" applyAlignment="1" applyProtection="1"/>
    <xf numFmtId="0" fontId="25" fillId="8" borderId="0" xfId="0" applyFont="1" applyFill="1" applyAlignment="1">
      <alignment horizontal="left"/>
    </xf>
    <xf numFmtId="49" fontId="6" fillId="2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right"/>
    </xf>
    <xf numFmtId="173" fontId="21" fillId="2" borderId="2" xfId="0" applyNumberFormat="1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center" wrapText="1"/>
    </xf>
    <xf numFmtId="172" fontId="21" fillId="2" borderId="2" xfId="0" applyNumberFormat="1" applyFont="1" applyFill="1" applyBorder="1" applyAlignment="1">
      <alignment horizontal="center" wrapText="1"/>
    </xf>
    <xf numFmtId="173" fontId="20" fillId="2" borderId="2" xfId="0" applyNumberFormat="1" applyFont="1" applyFill="1" applyBorder="1" applyAlignment="1">
      <alignment horizontal="center" wrapText="1"/>
    </xf>
    <xf numFmtId="173" fontId="21" fillId="2" borderId="2" xfId="0" applyNumberFormat="1" applyFont="1" applyFill="1" applyBorder="1" applyAlignment="1">
      <alignment horizontal="center" wrapText="1"/>
    </xf>
    <xf numFmtId="49" fontId="7" fillId="5" borderId="2" xfId="0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35" fillId="4" borderId="2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4" fillId="0" borderId="0" xfId="0" applyFont="1"/>
    <xf numFmtId="0" fontId="36" fillId="0" borderId="0" xfId="0" applyFont="1" applyAlignment="1">
      <alignment horizontal="right"/>
    </xf>
    <xf numFmtId="16" fontId="36" fillId="2" borderId="0" xfId="0" quotePrefix="1" applyNumberFormat="1" applyFont="1" applyFill="1" applyAlignment="1">
      <alignment horizontal="right" wrapText="1"/>
    </xf>
    <xf numFmtId="0" fontId="36" fillId="0" borderId="0" xfId="0" applyFont="1" applyAlignment="1">
      <alignment horizontal="right" wrapText="1"/>
    </xf>
    <xf numFmtId="43" fontId="37" fillId="0" borderId="0" xfId="201" applyFont="1" applyBorder="1"/>
    <xf numFmtId="0" fontId="38" fillId="0" borderId="0" xfId="0" applyFont="1"/>
    <xf numFmtId="16" fontId="39" fillId="2" borderId="0" xfId="0" applyNumberFormat="1" applyFont="1" applyFill="1"/>
    <xf numFmtId="164" fontId="40" fillId="2" borderId="0" xfId="1" applyFont="1" applyFill="1" applyBorder="1"/>
    <xf numFmtId="164" fontId="34" fillId="0" borderId="0" xfId="1" applyFont="1" applyBorder="1"/>
    <xf numFmtId="4" fontId="41" fillId="2" borderId="0" xfId="0" applyNumberFormat="1" applyFont="1" applyFill="1"/>
    <xf numFmtId="172" fontId="42" fillId="2" borderId="0" xfId="0" applyNumberFormat="1" applyFont="1" applyFill="1"/>
    <xf numFmtId="0" fontId="36" fillId="0" borderId="2" xfId="0" applyFont="1" applyBorder="1" applyAlignment="1">
      <alignment horizontal="right"/>
    </xf>
    <xf numFmtId="16" fontId="36" fillId="2" borderId="2" xfId="0" quotePrefix="1" applyNumberFormat="1" applyFont="1" applyFill="1" applyBorder="1" applyAlignment="1">
      <alignment horizontal="right"/>
    </xf>
    <xf numFmtId="164" fontId="37" fillId="2" borderId="2" xfId="1" applyFont="1" applyFill="1" applyBorder="1" applyAlignment="1">
      <alignment horizontal="right" vertical="top" wrapText="1"/>
    </xf>
    <xf numFmtId="164" fontId="37" fillId="2" borderId="2" xfId="1" applyFont="1" applyFill="1" applyBorder="1"/>
    <xf numFmtId="4" fontId="37" fillId="2" borderId="2" xfId="0" applyNumberFormat="1" applyFont="1" applyFill="1" applyBorder="1"/>
    <xf numFmtId="4" fontId="37" fillId="2" borderId="2" xfId="0" applyNumberFormat="1" applyFont="1" applyFill="1" applyBorder="1" applyAlignment="1">
      <alignment horizontal="right"/>
    </xf>
    <xf numFmtId="0" fontId="39" fillId="0" borderId="1" xfId="0" applyFont="1" applyBorder="1" applyAlignment="1">
      <alignment horizontal="right"/>
    </xf>
    <xf numFmtId="164" fontId="40" fillId="2" borderId="2" xfId="1" applyFont="1" applyFill="1" applyBorder="1"/>
    <xf numFmtId="0" fontId="36" fillId="0" borderId="1" xfId="0" applyFont="1" applyBorder="1" applyAlignment="1">
      <alignment horizontal="right"/>
    </xf>
    <xf numFmtId="171" fontId="37" fillId="0" borderId="0" xfId="201" applyNumberFormat="1" applyFont="1"/>
  </cellXfs>
  <cellStyles count="465">
    <cellStyle name="20% - Accent1 2" xfId="3"/>
    <cellStyle name="20% - Accent1 2 2" xfId="4"/>
    <cellStyle name="20% - Accent1 2 3" xfId="5"/>
    <cellStyle name="20% - Accent1 3" xfId="6"/>
    <cellStyle name="20% - Accent1 3 2" xfId="7"/>
    <cellStyle name="20% - Accent1 3 3" xfId="8"/>
    <cellStyle name="20% - Accent1 4" xfId="9"/>
    <cellStyle name="20% - Accent1 4 2" xfId="10"/>
    <cellStyle name="20% - Accent1 5" xfId="11"/>
    <cellStyle name="20% - Accent1 6" xfId="12"/>
    <cellStyle name="20% - Accent2 2" xfId="13"/>
    <cellStyle name="20% - Accent2 2 2" xfId="14"/>
    <cellStyle name="20% - Accent2 2 3" xfId="15"/>
    <cellStyle name="20% - Accent2 3" xfId="16"/>
    <cellStyle name="20% - Accent2 3 2" xfId="17"/>
    <cellStyle name="20% - Accent2 3 3" xfId="18"/>
    <cellStyle name="20% - Accent2 4" xfId="19"/>
    <cellStyle name="20% - Accent2 4 2" xfId="20"/>
    <cellStyle name="20% - Accent2 5" xfId="21"/>
    <cellStyle name="20% - Accent2 6" xfId="22"/>
    <cellStyle name="20% - Accent3 2" xfId="23"/>
    <cellStyle name="20% - Accent3 2 2" xfId="24"/>
    <cellStyle name="20% - Accent3 2 3" xfId="25"/>
    <cellStyle name="20% - Accent3 3" xfId="26"/>
    <cellStyle name="20% - Accent3 3 2" xfId="27"/>
    <cellStyle name="20% - Accent3 3 3" xfId="28"/>
    <cellStyle name="20% - Accent3 4" xfId="29"/>
    <cellStyle name="20% - Accent3 4 2" xfId="30"/>
    <cellStyle name="20% - Accent3 5" xfId="31"/>
    <cellStyle name="20% - Accent3 6" xfId="32"/>
    <cellStyle name="20% - Accent4 2" xfId="33"/>
    <cellStyle name="20% - Accent4 2 2" xfId="34"/>
    <cellStyle name="20% - Accent4 2 3" xfId="35"/>
    <cellStyle name="20% - Accent4 3" xfId="36"/>
    <cellStyle name="20% - Accent4 3 2" xfId="37"/>
    <cellStyle name="20% - Accent4 3 3" xfId="38"/>
    <cellStyle name="20% - Accent4 4" xfId="39"/>
    <cellStyle name="20% - Accent4 4 2" xfId="40"/>
    <cellStyle name="20% - Accent4 5" xfId="41"/>
    <cellStyle name="20% - Accent4 6" xfId="42"/>
    <cellStyle name="20% - Accent5 2" xfId="43"/>
    <cellStyle name="20% - Accent5 2 2" xfId="44"/>
    <cellStyle name="20% - Accent5 2 3" xfId="45"/>
    <cellStyle name="20% - Accent5 3" xfId="46"/>
    <cellStyle name="20% - Accent5 3 2" xfId="47"/>
    <cellStyle name="20% - Accent5 3 3" xfId="48"/>
    <cellStyle name="20% - Accent5 4" xfId="49"/>
    <cellStyle name="20% - Accent5 4 2" xfId="50"/>
    <cellStyle name="20% - Accent5 5" xfId="51"/>
    <cellStyle name="20% - Accent5 6" xfId="52"/>
    <cellStyle name="20% - Accent6 2" xfId="53"/>
    <cellStyle name="20% - Accent6 2 2" xfId="54"/>
    <cellStyle name="20% - Accent6 2 3" xfId="55"/>
    <cellStyle name="20% - Accent6 3" xfId="56"/>
    <cellStyle name="20% - Accent6 3 2" xfId="57"/>
    <cellStyle name="20% - Accent6 3 3" xfId="58"/>
    <cellStyle name="20% - Accent6 4" xfId="59"/>
    <cellStyle name="20% - Accent6 4 2" xfId="60"/>
    <cellStyle name="20% - Accent6 5" xfId="61"/>
    <cellStyle name="20% - Accent6 6" xfId="62"/>
    <cellStyle name="40% - Accent1 2" xfId="63"/>
    <cellStyle name="40% - Accent1 2 2" xfId="64"/>
    <cellStyle name="40% - Accent1 2 3" xfId="65"/>
    <cellStyle name="40% - Accent1 3" xfId="66"/>
    <cellStyle name="40% - Accent1 3 2" xfId="67"/>
    <cellStyle name="40% - Accent1 3 3" xfId="68"/>
    <cellStyle name="40% - Accent1 4" xfId="69"/>
    <cellStyle name="40% - Accent1 4 2" xfId="70"/>
    <cellStyle name="40% - Accent1 5" xfId="71"/>
    <cellStyle name="40% - Accent1 6" xfId="72"/>
    <cellStyle name="40% - Accent2 2" xfId="73"/>
    <cellStyle name="40% - Accent2 2 2" xfId="74"/>
    <cellStyle name="40% - Accent2 2 3" xfId="75"/>
    <cellStyle name="40% - Accent2 3" xfId="76"/>
    <cellStyle name="40% - Accent2 3 2" xfId="77"/>
    <cellStyle name="40% - Accent2 3 3" xfId="78"/>
    <cellStyle name="40% - Accent2 4" xfId="79"/>
    <cellStyle name="40% - Accent2 4 2" xfId="80"/>
    <cellStyle name="40% - Accent2 5" xfId="81"/>
    <cellStyle name="40% - Accent2 6" xfId="82"/>
    <cellStyle name="40% - Accent3 2" xfId="83"/>
    <cellStyle name="40% - Accent3 2 2" xfId="84"/>
    <cellStyle name="40% - Accent3 2 3" xfId="85"/>
    <cellStyle name="40% - Accent3 3" xfId="86"/>
    <cellStyle name="40% - Accent3 3 2" xfId="87"/>
    <cellStyle name="40% - Accent3 3 3" xfId="88"/>
    <cellStyle name="40% - Accent3 4" xfId="89"/>
    <cellStyle name="40% - Accent3 4 2" xfId="90"/>
    <cellStyle name="40% - Accent3 5" xfId="91"/>
    <cellStyle name="40% - Accent3 6" xfId="92"/>
    <cellStyle name="40% - Accent4 2" xfId="93"/>
    <cellStyle name="40% - Accent4 2 2" xfId="94"/>
    <cellStyle name="40% - Accent4 2 3" xfId="95"/>
    <cellStyle name="40% - Accent4 3" xfId="96"/>
    <cellStyle name="40% - Accent4 3 2" xfId="97"/>
    <cellStyle name="40% - Accent4 3 3" xfId="98"/>
    <cellStyle name="40% - Accent4 4" xfId="99"/>
    <cellStyle name="40% - Accent4 4 2" xfId="100"/>
    <cellStyle name="40% - Accent4 5" xfId="101"/>
    <cellStyle name="40% - Accent4 6" xfId="102"/>
    <cellStyle name="40% - Accent5 2" xfId="103"/>
    <cellStyle name="40% - Accent5 2 2" xfId="104"/>
    <cellStyle name="40% - Accent5 2 3" xfId="105"/>
    <cellStyle name="40% - Accent5 3" xfId="106"/>
    <cellStyle name="40% - Accent5 3 2" xfId="107"/>
    <cellStyle name="40% - Accent5 3 3" xfId="108"/>
    <cellStyle name="40% - Accent5 4" xfId="109"/>
    <cellStyle name="40% - Accent5 4 2" xfId="110"/>
    <cellStyle name="40% - Accent5 5" xfId="111"/>
    <cellStyle name="40% - Accent5 6" xfId="112"/>
    <cellStyle name="40% - Accent6 2" xfId="113"/>
    <cellStyle name="40% - Accent6 2 2" xfId="114"/>
    <cellStyle name="40% - Accent6 2 3" xfId="115"/>
    <cellStyle name="40% - Accent6 3" xfId="116"/>
    <cellStyle name="40% - Accent6 3 2" xfId="117"/>
    <cellStyle name="40% - Accent6 3 3" xfId="118"/>
    <cellStyle name="40% - Accent6 4" xfId="119"/>
    <cellStyle name="40% - Accent6 4 2" xfId="120"/>
    <cellStyle name="40% - Accent6 5" xfId="121"/>
    <cellStyle name="40% - Accent6 6" xfId="122"/>
    <cellStyle name="60% - Accent1 2" xfId="123"/>
    <cellStyle name="60% - Accent1 2 2" xfId="124"/>
    <cellStyle name="60% - Accent1 2 3" xfId="125"/>
    <cellStyle name="60% - Accent1 3" xfId="126"/>
    <cellStyle name="60% - Accent1 3 2" xfId="127"/>
    <cellStyle name="60% - Accent1 3 3" xfId="128"/>
    <cellStyle name="60% - Accent1 4" xfId="129"/>
    <cellStyle name="60% - Accent1 4 2" xfId="130"/>
    <cellStyle name="60% - Accent1 5" xfId="131"/>
    <cellStyle name="60% - Accent1 6" xfId="132"/>
    <cellStyle name="60% - Accent2 2" xfId="133"/>
    <cellStyle name="60% - Accent2 2 2" xfId="134"/>
    <cellStyle name="60% - Accent2 2 3" xfId="135"/>
    <cellStyle name="60% - Accent2 3" xfId="136"/>
    <cellStyle name="60% - Accent2 3 2" xfId="137"/>
    <cellStyle name="60% - Accent2 3 3" xfId="138"/>
    <cellStyle name="60% - Accent2 4" xfId="139"/>
    <cellStyle name="60% - Accent2 4 2" xfId="140"/>
    <cellStyle name="60% - Accent2 5" xfId="141"/>
    <cellStyle name="60% - Accent2 6" xfId="142"/>
    <cellStyle name="60% - Accent3 2" xfId="143"/>
    <cellStyle name="60% - Accent3 2 2" xfId="144"/>
    <cellStyle name="60% - Accent3 2 3" xfId="145"/>
    <cellStyle name="60% - Accent3 3" xfId="146"/>
    <cellStyle name="60% - Accent3 3 2" xfId="147"/>
    <cellStyle name="60% - Accent3 3 3" xfId="148"/>
    <cellStyle name="60% - Accent3 4" xfId="149"/>
    <cellStyle name="60% - Accent3 4 2" xfId="150"/>
    <cellStyle name="60% - Accent3 5" xfId="151"/>
    <cellStyle name="60% - Accent3 6" xfId="152"/>
    <cellStyle name="60% - Accent4 2" xfId="153"/>
    <cellStyle name="60% - Accent4 2 2" xfId="154"/>
    <cellStyle name="60% - Accent4 2 3" xfId="155"/>
    <cellStyle name="60% - Accent4 3" xfId="156"/>
    <cellStyle name="60% - Accent4 3 2" xfId="157"/>
    <cellStyle name="60% - Accent4 3 3" xfId="158"/>
    <cellStyle name="60% - Accent4 4" xfId="159"/>
    <cellStyle name="60% - Accent4 4 2" xfId="160"/>
    <cellStyle name="60% - Accent4 5" xfId="161"/>
    <cellStyle name="60% - Accent4 6" xfId="162"/>
    <cellStyle name="60% - Accent5 2" xfId="163"/>
    <cellStyle name="60% - Accent5 2 2" xfId="164"/>
    <cellStyle name="60% - Accent5 2 3" xfId="165"/>
    <cellStyle name="60% - Accent5 3" xfId="166"/>
    <cellStyle name="60% - Accent5 3 2" xfId="167"/>
    <cellStyle name="60% - Accent5 3 3" xfId="168"/>
    <cellStyle name="60% - Accent5 4" xfId="169"/>
    <cellStyle name="60% - Accent5 4 2" xfId="170"/>
    <cellStyle name="60% - Accent5 5" xfId="171"/>
    <cellStyle name="60% - Accent5 6" xfId="172"/>
    <cellStyle name="60% - Accent6 2" xfId="173"/>
    <cellStyle name="60% - Accent6 2 2" xfId="174"/>
    <cellStyle name="60% - Accent6 2 3" xfId="175"/>
    <cellStyle name="60% - Accent6 3" xfId="176"/>
    <cellStyle name="60% - Accent6 3 2" xfId="177"/>
    <cellStyle name="60% - Accent6 3 3" xfId="178"/>
    <cellStyle name="60% - Accent6 4" xfId="179"/>
    <cellStyle name="60% - Accent6 4 2" xfId="180"/>
    <cellStyle name="60% - Accent6 5" xfId="181"/>
    <cellStyle name="60% - Accent6 6" xfId="182"/>
    <cellStyle name="Comma" xfId="1" builtinId="3"/>
    <cellStyle name="Comma 10" xfId="183"/>
    <cellStyle name="Comma 10 13" xfId="184"/>
    <cellStyle name="Comma 11" xfId="185"/>
    <cellStyle name="Comma 12" xfId="186"/>
    <cellStyle name="Comma 12 2" xfId="187"/>
    <cellStyle name="Comma 12 3" xfId="188"/>
    <cellStyle name="Comma 13" xfId="189"/>
    <cellStyle name="Comma 13 2" xfId="190"/>
    <cellStyle name="Comma 13 3" xfId="191"/>
    <cellStyle name="Comma 14" xfId="192"/>
    <cellStyle name="Comma 15" xfId="193"/>
    <cellStyle name="Comma 15 2" xfId="194"/>
    <cellStyle name="Comma 15 3" xfId="195"/>
    <cellStyle name="Comma 16" xfId="196"/>
    <cellStyle name="Comma 16 2" xfId="197"/>
    <cellStyle name="Comma 16 3" xfId="198"/>
    <cellStyle name="Comma 17" xfId="199"/>
    <cellStyle name="Comma 18" xfId="200"/>
    <cellStyle name="Comma 2" xfId="201"/>
    <cellStyle name="Comma 2 10" xfId="202"/>
    <cellStyle name="Comma 2 10 2" xfId="203"/>
    <cellStyle name="Comma 2 11" xfId="204"/>
    <cellStyle name="Comma 2 11 2" xfId="205"/>
    <cellStyle name="Comma 2 12" xfId="206"/>
    <cellStyle name="Comma 2 13" xfId="207"/>
    <cellStyle name="Comma 2 2" xfId="208"/>
    <cellStyle name="Comma 2 2 2" xfId="209"/>
    <cellStyle name="Comma 2 2 2 2" xfId="210"/>
    <cellStyle name="Comma 2 2 2 2 2" xfId="211"/>
    <cellStyle name="Comma 2 2 2 2 3" xfId="212"/>
    <cellStyle name="Comma 2 2 2 3" xfId="213"/>
    <cellStyle name="Comma 2 3" xfId="214"/>
    <cellStyle name="Comma 2 3 2" xfId="215"/>
    <cellStyle name="Comma 2 4" xfId="216"/>
    <cellStyle name="Comma 2 4 2" xfId="217"/>
    <cellStyle name="Comma 2 5" xfId="218"/>
    <cellStyle name="Comma 2 5 2" xfId="219"/>
    <cellStyle name="Comma 2 6" xfId="220"/>
    <cellStyle name="Comma 2 6 2" xfId="221"/>
    <cellStyle name="Comma 2 7" xfId="222"/>
    <cellStyle name="Comma 2 7 2" xfId="223"/>
    <cellStyle name="Comma 2 8" xfId="224"/>
    <cellStyle name="Comma 2 8 2" xfId="225"/>
    <cellStyle name="Comma 2 9" xfId="226"/>
    <cellStyle name="Comma 2 9 2" xfId="227"/>
    <cellStyle name="Comma 3" xfId="228"/>
    <cellStyle name="Comma 3 2" xfId="229"/>
    <cellStyle name="Comma 3 2 2" xfId="230"/>
    <cellStyle name="Comma 3 3" xfId="231"/>
    <cellStyle name="Comma 3 4" xfId="232"/>
    <cellStyle name="Comma 3 4 3" xfId="233"/>
    <cellStyle name="Comma 3 4 4" xfId="234"/>
    <cellStyle name="Comma 4" xfId="235"/>
    <cellStyle name="Comma 4 2" xfId="236"/>
    <cellStyle name="Comma 4 3" xfId="237"/>
    <cellStyle name="Comma 5" xfId="238"/>
    <cellStyle name="Comma 6" xfId="239"/>
    <cellStyle name="Comma 7" xfId="240"/>
    <cellStyle name="Comma 8" xfId="241"/>
    <cellStyle name="Comma 8 2" xfId="242"/>
    <cellStyle name="Comma 9" xfId="243"/>
    <cellStyle name="Currency" xfId="2" builtinId="4"/>
    <cellStyle name="Neutral 2" xfId="244"/>
    <cellStyle name="Normal" xfId="0" builtinId="0"/>
    <cellStyle name="Normal - Style1" xfId="245"/>
    <cellStyle name="Normal 10" xfId="246"/>
    <cellStyle name="Normal 10 2" xfId="247"/>
    <cellStyle name="Normal 10 3" xfId="248"/>
    <cellStyle name="Normal 11" xfId="249"/>
    <cellStyle name="Normal 11 2" xfId="250"/>
    <cellStyle name="Normal 11 3" xfId="251"/>
    <cellStyle name="Normal 12" xfId="252"/>
    <cellStyle name="Normal 12 2" xfId="253"/>
    <cellStyle name="Normal 12 2 2" xfId="254"/>
    <cellStyle name="Normal 12 2 3" xfId="255"/>
    <cellStyle name="Normal 12 3" xfId="256"/>
    <cellStyle name="Normal 12 4" xfId="257"/>
    <cellStyle name="Normal 13" xfId="258"/>
    <cellStyle name="Normal 13 2" xfId="259"/>
    <cellStyle name="Normal 13 3" xfId="260"/>
    <cellStyle name="Normal 14" xfId="261"/>
    <cellStyle name="Normal 14 2" xfId="262"/>
    <cellStyle name="Normal 15" xfId="263"/>
    <cellStyle name="Normal 15 2" xfId="264"/>
    <cellStyle name="Normal 15 3" xfId="265"/>
    <cellStyle name="Normal 16" xfId="266"/>
    <cellStyle name="Normal 16 2" xfId="267"/>
    <cellStyle name="Normal 16 3" xfId="268"/>
    <cellStyle name="Normal 17" xfId="269"/>
    <cellStyle name="Normal 17 2" xfId="270"/>
    <cellStyle name="Normal 17 3" xfId="271"/>
    <cellStyle name="Normal 18" xfId="272"/>
    <cellStyle name="Normal 18 2" xfId="273"/>
    <cellStyle name="Normal 18 3" xfId="274"/>
    <cellStyle name="Normal 19" xfId="275"/>
    <cellStyle name="Normal 19 2" xfId="276"/>
    <cellStyle name="Normal 19 3" xfId="277"/>
    <cellStyle name="Normal 2" xfId="278"/>
    <cellStyle name="Normal 2 2" xfId="279"/>
    <cellStyle name="Normal 2 2 2" xfId="280"/>
    <cellStyle name="Normal 2 3" xfId="281"/>
    <cellStyle name="Normal 2 4" xfId="282"/>
    <cellStyle name="Normal 2 5" xfId="283"/>
    <cellStyle name="Normal 2 6" xfId="284"/>
    <cellStyle name="Normal 20" xfId="285"/>
    <cellStyle name="Normal 20 2" xfId="286"/>
    <cellStyle name="Normal 20 3" xfId="287"/>
    <cellStyle name="Normal 21" xfId="288"/>
    <cellStyle name="Normal 21 2" xfId="289"/>
    <cellStyle name="Normal 21 3" xfId="290"/>
    <cellStyle name="Normal 22" xfId="291"/>
    <cellStyle name="Normal 22 2" xfId="292"/>
    <cellStyle name="Normal 22 3" xfId="293"/>
    <cellStyle name="Normal 23" xfId="294"/>
    <cellStyle name="Normal 23 2" xfId="295"/>
    <cellStyle name="Normal 23 3" xfId="296"/>
    <cellStyle name="Normal 24" xfId="297"/>
    <cellStyle name="Normal 24 2" xfId="298"/>
    <cellStyle name="Normal 24 3" xfId="299"/>
    <cellStyle name="Normal 25" xfId="300"/>
    <cellStyle name="Normal 25 2" xfId="301"/>
    <cellStyle name="Normal 25 3" xfId="302"/>
    <cellStyle name="Normal 26" xfId="303"/>
    <cellStyle name="Normal 26 2" xfId="304"/>
    <cellStyle name="Normal 26 3" xfId="305"/>
    <cellStyle name="Normal 27" xfId="306"/>
    <cellStyle name="Normal 27 2" xfId="307"/>
    <cellStyle name="Normal 27 2 2" xfId="308"/>
    <cellStyle name="Normal 27 3" xfId="309"/>
    <cellStyle name="Normal 28" xfId="310"/>
    <cellStyle name="Normal 28 2" xfId="311"/>
    <cellStyle name="Normal 29" xfId="312"/>
    <cellStyle name="Normal 29 2" xfId="313"/>
    <cellStyle name="Normal 3" xfId="314"/>
    <cellStyle name="Normal 3 2" xfId="315"/>
    <cellStyle name="Normal 3 2 2" xfId="316"/>
    <cellStyle name="Normal 3 2 3" xfId="317"/>
    <cellStyle name="Normal 3 3" xfId="318"/>
    <cellStyle name="Normal 3 4" xfId="319"/>
    <cellStyle name="Normal 30" xfId="320"/>
    <cellStyle name="Normal 30 2" xfId="321"/>
    <cellStyle name="Normal 31" xfId="322"/>
    <cellStyle name="Normal 31 2" xfId="323"/>
    <cellStyle name="Normal 32" xfId="324"/>
    <cellStyle name="Normal 32 2" xfId="325"/>
    <cellStyle name="Normal 33" xfId="326"/>
    <cellStyle name="Normal 33 2" xfId="327"/>
    <cellStyle name="Normal 34" xfId="328"/>
    <cellStyle name="Normal 34 2" xfId="329"/>
    <cellStyle name="Normal 35" xfId="330"/>
    <cellStyle name="Normal 35 2" xfId="331"/>
    <cellStyle name="Normal 36" xfId="332"/>
    <cellStyle name="Normal 36 2" xfId="333"/>
    <cellStyle name="Normal 37" xfId="334"/>
    <cellStyle name="Normal 37 2" xfId="335"/>
    <cellStyle name="Normal 38" xfId="336"/>
    <cellStyle name="Normal 38 2" xfId="337"/>
    <cellStyle name="Normal 39" xfId="338"/>
    <cellStyle name="Normal 39 2" xfId="339"/>
    <cellStyle name="Normal 4" xfId="340"/>
    <cellStyle name="Normal 4 2" xfId="341"/>
    <cellStyle name="Normal 40" xfId="342"/>
    <cellStyle name="Normal 40 2" xfId="343"/>
    <cellStyle name="Normal 41" xfId="344"/>
    <cellStyle name="Normal 41 2" xfId="345"/>
    <cellStyle name="Normal 42" xfId="346"/>
    <cellStyle name="Normal 42 2" xfId="347"/>
    <cellStyle name="Normal 43" xfId="348"/>
    <cellStyle name="Normal 43 2" xfId="349"/>
    <cellStyle name="Normal 44" xfId="350"/>
    <cellStyle name="Normal 44 2" xfId="351"/>
    <cellStyle name="Normal 45" xfId="352"/>
    <cellStyle name="Normal 45 2" xfId="353"/>
    <cellStyle name="Normal 46" xfId="354"/>
    <cellStyle name="Normal 46 2" xfId="355"/>
    <cellStyle name="Normal 47" xfId="356"/>
    <cellStyle name="Normal 47 2" xfId="357"/>
    <cellStyle name="Normal 48" xfId="358"/>
    <cellStyle name="Normal 48 2" xfId="359"/>
    <cellStyle name="Normal 49" xfId="360"/>
    <cellStyle name="Normal 49 2" xfId="361"/>
    <cellStyle name="Normal 5" xfId="362"/>
    <cellStyle name="Normal 50" xfId="363"/>
    <cellStyle name="Normal 50 2" xfId="364"/>
    <cellStyle name="Normal 51" xfId="365"/>
    <cellStyle name="Normal 51 2" xfId="366"/>
    <cellStyle name="Normal 52" xfId="367"/>
    <cellStyle name="Normal 52 2" xfId="368"/>
    <cellStyle name="Normal 53" xfId="369"/>
    <cellStyle name="Normal 53 2" xfId="370"/>
    <cellStyle name="Normal 54" xfId="371"/>
    <cellStyle name="Normal 54 2" xfId="372"/>
    <cellStyle name="Normal 55" xfId="373"/>
    <cellStyle name="Normal 55 2" xfId="374"/>
    <cellStyle name="Normal 56" xfId="375"/>
    <cellStyle name="Normal 56 2" xfId="376"/>
    <cellStyle name="Normal 57" xfId="377"/>
    <cellStyle name="Normal 57 2" xfId="378"/>
    <cellStyle name="Normal 58" xfId="379"/>
    <cellStyle name="Normal 58 2" xfId="380"/>
    <cellStyle name="Normal 59" xfId="381"/>
    <cellStyle name="Normal 59 2" xfId="382"/>
    <cellStyle name="Normal 6" xfId="383"/>
    <cellStyle name="Normal 6 2" xfId="384"/>
    <cellStyle name="Normal 6 3" xfId="385"/>
    <cellStyle name="Normal 60" xfId="386"/>
    <cellStyle name="Normal 60 2" xfId="387"/>
    <cellStyle name="Normal 61" xfId="388"/>
    <cellStyle name="Normal 61 2" xfId="389"/>
    <cellStyle name="Normal 62" xfId="390"/>
    <cellStyle name="Normal 62 2" xfId="391"/>
    <cellStyle name="Normal 63" xfId="392"/>
    <cellStyle name="Normal 63 2" xfId="393"/>
    <cellStyle name="Normal 64" xfId="394"/>
    <cellStyle name="Normal 64 2" xfId="395"/>
    <cellStyle name="Normal 65" xfId="396"/>
    <cellStyle name="Normal 65 2" xfId="397"/>
    <cellStyle name="Normal 66" xfId="398"/>
    <cellStyle name="Normal 66 2" xfId="399"/>
    <cellStyle name="Normal 67" xfId="400"/>
    <cellStyle name="Normal 67 2" xfId="401"/>
    <cellStyle name="Normal 68" xfId="402"/>
    <cellStyle name="Normal 68 2" xfId="403"/>
    <cellStyle name="Normal 69" xfId="404"/>
    <cellStyle name="Normal 69 2" xfId="405"/>
    <cellStyle name="Normal 7" xfId="406"/>
    <cellStyle name="Normal 7 2" xfId="407"/>
    <cellStyle name="Normal 7 3" xfId="408"/>
    <cellStyle name="Normal 70" xfId="409"/>
    <cellStyle name="Normal 71" xfId="410"/>
    <cellStyle name="Normal 72" xfId="411"/>
    <cellStyle name="Normal 73" xfId="412"/>
    <cellStyle name="Normal 74" xfId="413"/>
    <cellStyle name="Normal 75" xfId="464"/>
    <cellStyle name="Normal 8" xfId="414"/>
    <cellStyle name="Normal 8 2" xfId="415"/>
    <cellStyle name="Normal 8 3" xfId="416"/>
    <cellStyle name="Normal 9" xfId="417"/>
    <cellStyle name="Normal 9 2" xfId="418"/>
    <cellStyle name="Normal 9 3" xfId="419"/>
    <cellStyle name="Note 10" xfId="420"/>
    <cellStyle name="Note 10 2" xfId="421"/>
    <cellStyle name="Note 10 3" xfId="422"/>
    <cellStyle name="Note 11" xfId="423"/>
    <cellStyle name="Note 11 2" xfId="424"/>
    <cellStyle name="Note 11 3" xfId="425"/>
    <cellStyle name="Note 12" xfId="426"/>
    <cellStyle name="Note 12 2" xfId="427"/>
    <cellStyle name="Note 12 3" xfId="428"/>
    <cellStyle name="Note 13" xfId="429"/>
    <cellStyle name="Note 13 2" xfId="430"/>
    <cellStyle name="Note 14" xfId="431"/>
    <cellStyle name="Note 14 2" xfId="432"/>
    <cellStyle name="Note 2" xfId="433"/>
    <cellStyle name="Note 2 2" xfId="434"/>
    <cellStyle name="Note 2 3" xfId="435"/>
    <cellStyle name="Note 3" xfId="436"/>
    <cellStyle name="Note 3 2" xfId="437"/>
    <cellStyle name="Note 3 3" xfId="438"/>
    <cellStyle name="Note 4" xfId="439"/>
    <cellStyle name="Note 4 2" xfId="440"/>
    <cellStyle name="Note 4 3" xfId="441"/>
    <cellStyle name="Note 5" xfId="442"/>
    <cellStyle name="Note 5 2" xfId="443"/>
    <cellStyle name="Note 5 3" xfId="444"/>
    <cellStyle name="Note 6" xfId="445"/>
    <cellStyle name="Note 6 2" xfId="446"/>
    <cellStyle name="Note 6 3" xfId="447"/>
    <cellStyle name="Note 7" xfId="448"/>
    <cellStyle name="Note 7 2" xfId="449"/>
    <cellStyle name="Note 7 3" xfId="450"/>
    <cellStyle name="Note 8" xfId="451"/>
    <cellStyle name="Note 8 2" xfId="452"/>
    <cellStyle name="Note 8 3" xfId="453"/>
    <cellStyle name="Note 9" xfId="454"/>
    <cellStyle name="Note 9 2" xfId="455"/>
    <cellStyle name="Note 9 3" xfId="456"/>
    <cellStyle name="Percent 2" xfId="457"/>
    <cellStyle name="Percent 2 2" xfId="458"/>
    <cellStyle name="Percent 2 2 2" xfId="459"/>
    <cellStyle name="Percent 3" xfId="460"/>
    <cellStyle name="Percent 4" xfId="461"/>
    <cellStyle name="Title 2" xfId="462"/>
    <cellStyle name="Title 3" xfId="463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Sep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28.80823164589</c:v>
                </c:pt>
                <c:pt idx="1">
                  <c:v>1410.2054391726499</c:v>
                </c:pt>
                <c:pt idx="2">
                  <c:v>217.10788830172001</c:v>
                </c:pt>
                <c:pt idx="3">
                  <c:v>1665.3592104144541</c:v>
                </c:pt>
                <c:pt idx="4">
                  <c:v>106.43126073017999</c:v>
                </c:pt>
                <c:pt idx="5">
                  <c:v>50.887958780590004</c:v>
                </c:pt>
                <c:pt idx="6">
                  <c:v>5.3929518072900002</c:v>
                </c:pt>
                <c:pt idx="7">
                  <c:v>51.578343328969993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Oct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30.628950018609999</c:v>
                </c:pt>
                <c:pt idx="1">
                  <c:v>1510.5252124151007</c:v>
                </c:pt>
                <c:pt idx="2">
                  <c:v>209.49459869465005</c:v>
                </c:pt>
                <c:pt idx="3">
                  <c:v>1786.413448419692</c:v>
                </c:pt>
                <c:pt idx="4">
                  <c:v>99.346313362030003</c:v>
                </c:pt>
                <c:pt idx="5">
                  <c:v>52.694261751090004</c:v>
                </c:pt>
                <c:pt idx="6">
                  <c:v>5.4822518282099999</c:v>
                </c:pt>
                <c:pt idx="7">
                  <c:v>50.610103410020002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Oct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559032767994595"/>
                  <c:y val="-0.13379495535179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6.4328719038800566E-2"/>
                  <c:y val="0.131990031727369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5482251828.21</c:v>
                </c:pt>
                <c:pt idx="1">
                  <c:v>30628950018.609997</c:v>
                </c:pt>
                <c:pt idx="2" formatCode="#,##0.00">
                  <c:v>50610103410.020004</c:v>
                </c:pt>
                <c:pt idx="3" formatCode="#,##0.00">
                  <c:v>52694261751.090004</c:v>
                </c:pt>
                <c:pt idx="4" formatCode="#,##0.00">
                  <c:v>99346313362.029999</c:v>
                </c:pt>
                <c:pt idx="5" formatCode="#,##0.00">
                  <c:v>209494598694.65005</c:v>
                </c:pt>
                <c:pt idx="6" formatCode="#,##0.00">
                  <c:v>1510525212415.1006</c:v>
                </c:pt>
                <c:pt idx="7" formatCode="#,##0.00">
                  <c:v>1786413448419.6921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49119</c:v>
                </c:pt>
                <c:pt idx="1">
                  <c:v>325263</c:v>
                </c:pt>
                <c:pt idx="2">
                  <c:v>44991</c:v>
                </c:pt>
                <c:pt idx="3">
                  <c:v>18037</c:v>
                </c:pt>
                <c:pt idx="4">
                  <c:v>216864</c:v>
                </c:pt>
                <c:pt idx="5">
                  <c:v>68926</c:v>
                </c:pt>
                <c:pt idx="6">
                  <c:v>13283</c:v>
                </c:pt>
                <c:pt idx="7">
                  <c:v>28388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358140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15240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3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4" customWidth="1"/>
    <col min="2" max="2" width="53.6640625" style="58" customWidth="1"/>
    <col min="3" max="3" width="47.6640625" style="58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9" width="14.44140625" style="4" customWidth="1"/>
    <col min="20" max="20" width="15.5546875" style="4" customWidth="1"/>
    <col min="21" max="22" width="20.109375" style="4" customWidth="1"/>
    <col min="23" max="16384" width="9" style="4"/>
  </cols>
  <sheetData>
    <row r="1" spans="1:23" ht="39.9" customHeight="1">
      <c r="A1" s="132" t="s">
        <v>271</v>
      </c>
      <c r="B1" s="13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0"/>
    </row>
    <row r="2" spans="1:23" ht="39" customHeight="1">
      <c r="A2" s="41" t="s">
        <v>0</v>
      </c>
      <c r="B2" s="59" t="s">
        <v>1</v>
      </c>
      <c r="C2" s="59" t="s">
        <v>2</v>
      </c>
      <c r="D2" s="41" t="s">
        <v>3</v>
      </c>
      <c r="E2" s="41" t="s">
        <v>4</v>
      </c>
      <c r="F2" s="41" t="s">
        <v>213</v>
      </c>
      <c r="G2" s="41" t="s">
        <v>5</v>
      </c>
      <c r="H2" s="42" t="s">
        <v>6</v>
      </c>
      <c r="I2" s="41" t="s">
        <v>264</v>
      </c>
      <c r="J2" s="41" t="s">
        <v>7</v>
      </c>
      <c r="K2" s="41" t="s">
        <v>8</v>
      </c>
      <c r="L2" s="41" t="s">
        <v>7</v>
      </c>
      <c r="M2" s="41" t="s">
        <v>9</v>
      </c>
      <c r="N2" s="41" t="s">
        <v>10</v>
      </c>
      <c r="O2" s="41" t="s">
        <v>11</v>
      </c>
      <c r="P2" s="41" t="s">
        <v>12</v>
      </c>
      <c r="Q2" s="41" t="s">
        <v>13</v>
      </c>
      <c r="R2" s="41" t="s">
        <v>14</v>
      </c>
      <c r="S2" s="41" t="s">
        <v>15</v>
      </c>
      <c r="T2" s="41" t="s">
        <v>16</v>
      </c>
      <c r="U2" s="41" t="s">
        <v>17</v>
      </c>
      <c r="V2" s="41" t="s">
        <v>18</v>
      </c>
    </row>
    <row r="3" spans="1:23" ht="6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3" ht="17.100000000000001" customHeight="1">
      <c r="A4" s="121" t="s">
        <v>19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3" ht="15" customHeight="1">
      <c r="A5" s="70">
        <v>1</v>
      </c>
      <c r="B5" s="17" t="s">
        <v>20</v>
      </c>
      <c r="C5" s="17" t="s">
        <v>21</v>
      </c>
      <c r="D5" s="24">
        <v>1155826647.1400001</v>
      </c>
      <c r="E5" s="24">
        <v>10637000.380000001</v>
      </c>
      <c r="F5" s="24">
        <v>357512482.48000002</v>
      </c>
      <c r="G5" s="24">
        <v>2138659.23</v>
      </c>
      <c r="H5" s="18">
        <f t="shared" ref="H5:H23" si="0">(E5+F5)-G5</f>
        <v>366010823.63</v>
      </c>
      <c r="I5" s="83">
        <v>1097435544.54</v>
      </c>
      <c r="J5" s="19">
        <f t="shared" ref="J5:J23" si="1">(I5/$I$24)</f>
        <v>3.8094512638944589E-2</v>
      </c>
      <c r="K5" s="40">
        <v>1165610519.8699999</v>
      </c>
      <c r="L5" s="19">
        <f>(K5/$K$24)</f>
        <v>3.8055843218973581E-2</v>
      </c>
      <c r="M5" s="19">
        <f t="shared" ref="M5:M23" si="2">((K5-I5)/I5)</f>
        <v>6.2122076935804078E-2</v>
      </c>
      <c r="N5" s="20">
        <f t="shared" ref="N5" si="3">(G5/K5)</f>
        <v>1.8347974675438962E-3</v>
      </c>
      <c r="O5" s="21">
        <f t="shared" ref="O5" si="4">H5/K5</f>
        <v>0.31400782456117593</v>
      </c>
      <c r="P5" s="22">
        <f t="shared" ref="P5" si="5">K5/V5</f>
        <v>365.30804480189443</v>
      </c>
      <c r="Q5" s="22">
        <f t="shared" ref="Q5" si="6">H5/V5</f>
        <v>114.70958444293946</v>
      </c>
      <c r="R5" s="24">
        <v>365.30799999999999</v>
      </c>
      <c r="S5" s="24">
        <v>369.76459999999997</v>
      </c>
      <c r="T5" s="24">
        <v>1698</v>
      </c>
      <c r="U5" s="24">
        <v>3124683.17</v>
      </c>
      <c r="V5" s="24">
        <v>3190760.61</v>
      </c>
    </row>
    <row r="6" spans="1:23">
      <c r="A6" s="70">
        <v>2</v>
      </c>
      <c r="B6" s="17" t="s">
        <v>22</v>
      </c>
      <c r="C6" s="17" t="s">
        <v>23</v>
      </c>
      <c r="D6" s="24">
        <v>607842358.94000006</v>
      </c>
      <c r="E6" s="24">
        <v>2062667.07</v>
      </c>
      <c r="F6" s="24"/>
      <c r="G6" s="24">
        <v>853606.5</v>
      </c>
      <c r="H6" s="18">
        <f t="shared" si="0"/>
        <v>1209060.57</v>
      </c>
      <c r="I6" s="77">
        <v>614405408.20000005</v>
      </c>
      <c r="J6" s="19">
        <f t="shared" si="1"/>
        <v>2.1327425291224212E-2</v>
      </c>
      <c r="K6" s="40">
        <v>613453577.28999996</v>
      </c>
      <c r="L6" s="19">
        <f t="shared" ref="L6:L23" si="7">(K6/$K$24)</f>
        <v>2.0028553930750766E-2</v>
      </c>
      <c r="M6" s="19">
        <f t="shared" si="2"/>
        <v>-1.5491903184716885E-3</v>
      </c>
      <c r="N6" s="20">
        <f t="shared" ref="N6:N23" si="8">(G6/K6)</f>
        <v>1.3914769293071898E-3</v>
      </c>
      <c r="O6" s="21">
        <f t="shared" ref="O6:O23" si="9">H6/K6</f>
        <v>1.9709080112323427E-3</v>
      </c>
      <c r="P6" s="22">
        <f t="shared" ref="P6:P23" si="10">K6/V6</f>
        <v>231.88503021269119</v>
      </c>
      <c r="Q6" s="22">
        <f t="shared" ref="Q6:Q23" si="11">H6/V6</f>
        <v>0.45702406373104693</v>
      </c>
      <c r="R6" s="24">
        <v>230.82</v>
      </c>
      <c r="S6" s="24">
        <v>233.46</v>
      </c>
      <c r="T6" s="24">
        <v>355</v>
      </c>
      <c r="U6" s="24">
        <v>2675272.56</v>
      </c>
      <c r="V6" s="24">
        <v>2645507.46</v>
      </c>
    </row>
    <row r="7" spans="1:23">
      <c r="A7" s="70">
        <v>3</v>
      </c>
      <c r="B7" s="17" t="s">
        <v>24</v>
      </c>
      <c r="C7" s="25" t="s">
        <v>25</v>
      </c>
      <c r="D7" s="24">
        <v>3340298432.0900002</v>
      </c>
      <c r="E7" s="24">
        <v>35469975.130000003</v>
      </c>
      <c r="F7" s="51">
        <v>-163956029.13</v>
      </c>
      <c r="G7" s="24">
        <v>10864098.17</v>
      </c>
      <c r="H7" s="18">
        <f t="shared" si="0"/>
        <v>-139350152.16999999</v>
      </c>
      <c r="I7" s="83">
        <v>3773714860</v>
      </c>
      <c r="J7" s="19">
        <f t="shared" si="1"/>
        <v>0.13099432503828767</v>
      </c>
      <c r="K7" s="40">
        <v>3757074191</v>
      </c>
      <c r="L7" s="19">
        <f t="shared" si="7"/>
        <v>0.12266415233683232</v>
      </c>
      <c r="M7" s="19">
        <f t="shared" si="2"/>
        <v>-4.4096254267605162E-3</v>
      </c>
      <c r="N7" s="20">
        <f t="shared" si="8"/>
        <v>2.8916379122948229E-3</v>
      </c>
      <c r="O7" s="21">
        <f t="shared" si="9"/>
        <v>-3.7090071977766807E-2</v>
      </c>
      <c r="P7" s="22">
        <f t="shared" si="10"/>
        <v>34.2071036982029</v>
      </c>
      <c r="Q7" s="22">
        <f t="shared" si="11"/>
        <v>-1.2687439383172787</v>
      </c>
      <c r="R7" s="24">
        <v>34.036099999999998</v>
      </c>
      <c r="S7" s="24">
        <v>35.0623</v>
      </c>
      <c r="T7" s="24">
        <v>6615</v>
      </c>
      <c r="U7" s="24">
        <v>110087396</v>
      </c>
      <c r="V7" s="24">
        <v>109833157</v>
      </c>
    </row>
    <row r="8" spans="1:23">
      <c r="A8" s="70">
        <v>4</v>
      </c>
      <c r="B8" s="26" t="s">
        <v>26</v>
      </c>
      <c r="C8" s="26" t="s">
        <v>27</v>
      </c>
      <c r="D8" s="46">
        <v>486927003.64999998</v>
      </c>
      <c r="E8" s="24">
        <v>3659747.56</v>
      </c>
      <c r="F8" s="24"/>
      <c r="G8" s="24">
        <v>905353.96</v>
      </c>
      <c r="H8" s="18">
        <f t="shared" si="0"/>
        <v>2754393.6</v>
      </c>
      <c r="I8" s="84">
        <v>560153386.38999999</v>
      </c>
      <c r="J8" s="19">
        <f t="shared" si="1"/>
        <v>1.9444212795682505E-2</v>
      </c>
      <c r="K8" s="46">
        <v>557355498.35000002</v>
      </c>
      <c r="L8" s="19">
        <f t="shared" si="7"/>
        <v>1.81970161566542E-2</v>
      </c>
      <c r="M8" s="19">
        <f t="shared" si="2"/>
        <v>-4.9948605292407643E-3</v>
      </c>
      <c r="N8" s="20">
        <f t="shared" si="8"/>
        <v>1.624374322457063E-3</v>
      </c>
      <c r="O8" s="21">
        <f t="shared" si="9"/>
        <v>4.9418972418037149E-3</v>
      </c>
      <c r="P8" s="22">
        <f t="shared" si="10"/>
        <v>203.36207866664503</v>
      </c>
      <c r="Q8" s="22">
        <f t="shared" si="11"/>
        <v>1.0049944956501633</v>
      </c>
      <c r="R8" s="46">
        <v>203.3621</v>
      </c>
      <c r="S8" s="46">
        <v>203.3621</v>
      </c>
      <c r="T8" s="24">
        <v>1839</v>
      </c>
      <c r="U8" s="24">
        <v>2734595.41</v>
      </c>
      <c r="V8" s="24">
        <v>2740705.16</v>
      </c>
    </row>
    <row r="9" spans="1:23">
      <c r="A9" s="70">
        <v>5</v>
      </c>
      <c r="B9" s="17" t="s">
        <v>256</v>
      </c>
      <c r="C9" s="25" t="s">
        <v>104</v>
      </c>
      <c r="D9" s="46">
        <v>864220389.51999998</v>
      </c>
      <c r="E9" s="24">
        <v>42372568.310000002</v>
      </c>
      <c r="F9" s="24">
        <v>-26490176</v>
      </c>
      <c r="G9" s="24">
        <v>1484597.27</v>
      </c>
      <c r="H9" s="18">
        <f>(E9+F9)-G9</f>
        <v>14397795.040000003</v>
      </c>
      <c r="I9" s="84">
        <v>936547570.49000001</v>
      </c>
      <c r="J9" s="19">
        <f t="shared" si="1"/>
        <v>3.250972090206776E-2</v>
      </c>
      <c r="K9" s="46">
        <v>915512560.52999997</v>
      </c>
      <c r="L9" s="19">
        <f t="shared" si="7"/>
        <v>2.9890432416838943E-2</v>
      </c>
      <c r="M9" s="19">
        <f t="shared" si="2"/>
        <v>-2.246016179295042E-2</v>
      </c>
      <c r="N9" s="20">
        <f t="shared" si="8"/>
        <v>1.6216022958118136E-3</v>
      </c>
      <c r="O9" s="21">
        <f t="shared" si="9"/>
        <v>1.5726485534687768E-2</v>
      </c>
      <c r="P9" s="22">
        <f t="shared" si="10"/>
        <v>1.1663232906682748</v>
      </c>
      <c r="Q9" s="22">
        <f t="shared" si="11"/>
        <v>1.8342166359464059E-2</v>
      </c>
      <c r="R9" s="46">
        <v>1.1359999999999999</v>
      </c>
      <c r="S9" s="46">
        <v>1.1467000000000001</v>
      </c>
      <c r="T9" s="24">
        <v>510</v>
      </c>
      <c r="U9" s="24">
        <v>815928929.40999997</v>
      </c>
      <c r="V9" s="24">
        <v>784956081.95000005</v>
      </c>
    </row>
    <row r="10" spans="1:23">
      <c r="A10" s="70">
        <v>6</v>
      </c>
      <c r="B10" s="27" t="s">
        <v>214</v>
      </c>
      <c r="C10" s="65" t="s">
        <v>47</v>
      </c>
      <c r="D10" s="24">
        <v>95679550.140000001</v>
      </c>
      <c r="E10" s="24">
        <v>0</v>
      </c>
      <c r="F10" s="24">
        <v>0</v>
      </c>
      <c r="G10" s="24">
        <v>2449878.1800000002</v>
      </c>
      <c r="H10" s="18">
        <f>(E10+F10)-G10</f>
        <v>-2449878.1800000002</v>
      </c>
      <c r="I10" s="85">
        <v>91763385.780000001</v>
      </c>
      <c r="J10" s="19">
        <f t="shared" si="1"/>
        <v>3.1853182419508785E-3</v>
      </c>
      <c r="K10" s="46">
        <v>93474872.989999995</v>
      </c>
      <c r="L10" s="19">
        <f t="shared" si="7"/>
        <v>3.0518471228430989E-3</v>
      </c>
      <c r="M10" s="19">
        <f t="shared" si="2"/>
        <v>1.8651090469822391E-2</v>
      </c>
      <c r="N10" s="20">
        <f t="shared" si="8"/>
        <v>2.6208949010950673E-2</v>
      </c>
      <c r="O10" s="21">
        <f t="shared" si="9"/>
        <v>-2.6208949010950673E-2</v>
      </c>
      <c r="P10" s="22">
        <f t="shared" si="10"/>
        <v>168.3040019856208</v>
      </c>
      <c r="Q10" s="22">
        <f t="shared" si="11"/>
        <v>-4.4110710063800758</v>
      </c>
      <c r="R10" s="24">
        <v>167.69040000000001</v>
      </c>
      <c r="S10" s="24">
        <v>168.33009999999999</v>
      </c>
      <c r="T10" s="24">
        <v>94</v>
      </c>
      <c r="U10" s="24">
        <v>555688.01</v>
      </c>
      <c r="V10" s="24">
        <v>555393.05000000005</v>
      </c>
    </row>
    <row r="11" spans="1:23">
      <c r="A11" s="70">
        <v>7</v>
      </c>
      <c r="B11" s="17" t="s">
        <v>28</v>
      </c>
      <c r="C11" s="17" t="s">
        <v>29</v>
      </c>
      <c r="D11" s="50">
        <v>1174400771.9300001</v>
      </c>
      <c r="E11" s="46">
        <v>3449555.89</v>
      </c>
      <c r="F11" s="46">
        <v>7006793.2400000002</v>
      </c>
      <c r="G11" s="46">
        <v>2038057.44</v>
      </c>
      <c r="H11" s="18">
        <f t="shared" si="0"/>
        <v>8418291.6900000013</v>
      </c>
      <c r="I11" s="79">
        <v>1138064959</v>
      </c>
      <c r="J11" s="19">
        <f t="shared" si="1"/>
        <v>3.9504853091611579E-2</v>
      </c>
      <c r="K11" s="37">
        <v>1159663780.0799999</v>
      </c>
      <c r="L11" s="19">
        <f t="shared" si="7"/>
        <v>3.7861689002574167E-2</v>
      </c>
      <c r="M11" s="19">
        <f t="shared" si="2"/>
        <v>1.8978548552253529E-2</v>
      </c>
      <c r="N11" s="20">
        <f t="shared" si="8"/>
        <v>1.7574554582185913E-3</v>
      </c>
      <c r="O11" s="21">
        <f t="shared" si="9"/>
        <v>7.2592520647831752E-3</v>
      </c>
      <c r="P11" s="22">
        <f t="shared" si="10"/>
        <v>296.15390884038214</v>
      </c>
      <c r="Q11" s="22">
        <f t="shared" si="11"/>
        <v>2.1498558742431526</v>
      </c>
      <c r="R11" s="46">
        <v>296.14999999999998</v>
      </c>
      <c r="S11" s="46">
        <v>300.27</v>
      </c>
      <c r="T11" s="46">
        <v>1631</v>
      </c>
      <c r="U11" s="50">
        <v>3501556</v>
      </c>
      <c r="V11" s="50">
        <v>3915747</v>
      </c>
    </row>
    <row r="12" spans="1:23">
      <c r="A12" s="70">
        <v>8</v>
      </c>
      <c r="B12" s="17" t="s">
        <v>30</v>
      </c>
      <c r="C12" s="25" t="s">
        <v>31</v>
      </c>
      <c r="D12" s="24">
        <v>413312316.04000002</v>
      </c>
      <c r="E12" s="24">
        <v>10823901.939999999</v>
      </c>
      <c r="F12" s="24">
        <v>33256433.359999999</v>
      </c>
      <c r="G12" s="24">
        <v>1403014.15</v>
      </c>
      <c r="H12" s="18">
        <f t="shared" si="0"/>
        <v>42677321.149999999</v>
      </c>
      <c r="I12" s="83">
        <v>354356149.70999998</v>
      </c>
      <c r="J12" s="19">
        <f t="shared" si="1"/>
        <v>1.230051722944109E-2</v>
      </c>
      <c r="K12" s="40">
        <v>401547731.64999998</v>
      </c>
      <c r="L12" s="19">
        <f t="shared" si="7"/>
        <v>1.3110071726455579E-2</v>
      </c>
      <c r="M12" s="19">
        <f t="shared" si="2"/>
        <v>0.13317556920804371</v>
      </c>
      <c r="N12" s="20">
        <f t="shared" si="8"/>
        <v>3.4940158776015839E-3</v>
      </c>
      <c r="O12" s="21">
        <f t="shared" si="9"/>
        <v>0.10628206259473712</v>
      </c>
      <c r="P12" s="22">
        <f t="shared" si="10"/>
        <v>201.44396918850555</v>
      </c>
      <c r="Q12" s="22">
        <f t="shared" si="11"/>
        <v>21.409880542625043</v>
      </c>
      <c r="R12" s="24">
        <v>201.44</v>
      </c>
      <c r="S12" s="24">
        <v>210.22</v>
      </c>
      <c r="T12" s="24">
        <v>2468</v>
      </c>
      <c r="U12" s="24">
        <v>1988037</v>
      </c>
      <c r="V12" s="24">
        <v>1993347</v>
      </c>
    </row>
    <row r="13" spans="1:23">
      <c r="A13" s="70">
        <v>9</v>
      </c>
      <c r="B13" s="17" t="s">
        <v>32</v>
      </c>
      <c r="C13" s="17" t="s">
        <v>33</v>
      </c>
      <c r="D13" s="24">
        <v>57180297.579999998</v>
      </c>
      <c r="E13" s="24">
        <v>3427122.02</v>
      </c>
      <c r="F13" s="24">
        <v>3285628.24</v>
      </c>
      <c r="G13" s="24">
        <v>1733308.81</v>
      </c>
      <c r="H13" s="18">
        <f t="shared" si="0"/>
        <v>4979441.4499999993</v>
      </c>
      <c r="I13" s="77">
        <v>55698832.100000001</v>
      </c>
      <c r="J13" s="19">
        <f t="shared" si="1"/>
        <v>1.933434609407774E-3</v>
      </c>
      <c r="K13" s="40">
        <v>55756695.969999999</v>
      </c>
      <c r="L13" s="19">
        <f t="shared" si="7"/>
        <v>1.8203920126586941E-3</v>
      </c>
      <c r="M13" s="19">
        <f t="shared" si="2"/>
        <v>1.0388704362078952E-3</v>
      </c>
      <c r="N13" s="20">
        <f t="shared" si="8"/>
        <v>3.108700721672264E-2</v>
      </c>
      <c r="O13" s="21">
        <f t="shared" si="9"/>
        <v>8.930660906950437E-2</v>
      </c>
      <c r="P13" s="22">
        <f t="shared" si="10"/>
        <v>201.96911989530017</v>
      </c>
      <c r="Q13" s="22">
        <f t="shared" si="11"/>
        <v>18.03717723460143</v>
      </c>
      <c r="R13" s="24">
        <v>198.58</v>
      </c>
      <c r="S13" s="24">
        <v>204.85</v>
      </c>
      <c r="T13" s="24">
        <v>16</v>
      </c>
      <c r="U13" s="24">
        <v>276065.45</v>
      </c>
      <c r="V13" s="24">
        <v>276065.45</v>
      </c>
      <c r="W13" s="5"/>
    </row>
    <row r="14" spans="1:23">
      <c r="A14" s="70">
        <v>10</v>
      </c>
      <c r="B14" s="25" t="s">
        <v>34</v>
      </c>
      <c r="C14" s="25" t="s">
        <v>35</v>
      </c>
      <c r="D14" s="46">
        <v>587241669.45000005</v>
      </c>
      <c r="E14" s="46">
        <v>1683692.48</v>
      </c>
      <c r="F14" s="46">
        <v>951241.8</v>
      </c>
      <c r="G14" s="46">
        <v>1194355.73</v>
      </c>
      <c r="H14" s="18">
        <f t="shared" si="0"/>
        <v>1440578.5500000003</v>
      </c>
      <c r="I14" s="78">
        <v>585105397.75999999</v>
      </c>
      <c r="J14" s="19">
        <f t="shared" si="1"/>
        <v>2.0310354517837113E-2</v>
      </c>
      <c r="K14" s="46">
        <v>582399253.63</v>
      </c>
      <c r="L14" s="19">
        <f t="shared" si="7"/>
        <v>1.9014665970467061E-2</v>
      </c>
      <c r="M14" s="19">
        <f t="shared" si="2"/>
        <v>-4.6250541190700281E-3</v>
      </c>
      <c r="N14" s="20">
        <f t="shared" si="8"/>
        <v>2.0507507908977813E-3</v>
      </c>
      <c r="O14" s="21">
        <f t="shared" si="9"/>
        <v>2.4735240318752268E-3</v>
      </c>
      <c r="P14" s="22">
        <f t="shared" si="10"/>
        <v>1.9941891852583999</v>
      </c>
      <c r="Q14" s="22">
        <f t="shared" si="11"/>
        <v>4.9326748738423307E-3</v>
      </c>
      <c r="R14" s="46">
        <v>1.99</v>
      </c>
      <c r="S14" s="24">
        <v>2.02</v>
      </c>
      <c r="T14" s="24">
        <v>464</v>
      </c>
      <c r="U14" s="46">
        <v>294293127.82999998</v>
      </c>
      <c r="V14" s="46">
        <v>292048145.64999998</v>
      </c>
    </row>
    <row r="15" spans="1:23">
      <c r="A15" s="70">
        <v>11</v>
      </c>
      <c r="B15" s="25" t="s">
        <v>259</v>
      </c>
      <c r="C15" s="25" t="s">
        <v>260</v>
      </c>
      <c r="D15" s="46">
        <v>14187399.24</v>
      </c>
      <c r="E15" s="46">
        <v>92026.8</v>
      </c>
      <c r="F15" s="46">
        <v>307749.21000000002</v>
      </c>
      <c r="G15" s="46">
        <v>96988.77</v>
      </c>
      <c r="H15" s="18">
        <f>(E15+F15)-G15</f>
        <v>302787.24</v>
      </c>
      <c r="I15" s="78">
        <v>0</v>
      </c>
      <c r="J15" s="19"/>
      <c r="K15" s="46">
        <v>14586093.84</v>
      </c>
      <c r="L15" s="19">
        <f t="shared" si="7"/>
        <v>4.7621919233723528E-4</v>
      </c>
      <c r="M15" s="19" t="e">
        <f t="shared" si="2"/>
        <v>#DIV/0!</v>
      </c>
      <c r="N15" s="20">
        <f t="shared" si="8"/>
        <v>6.6493998368517288E-3</v>
      </c>
      <c r="O15" s="21">
        <f t="shared" si="9"/>
        <v>2.0758624160887751E-2</v>
      </c>
      <c r="P15" s="22">
        <f t="shared" si="10"/>
        <v>12.665552748917843</v>
      </c>
      <c r="Q15" s="22">
        <f t="shared" si="11"/>
        <v>0.26291944930468419</v>
      </c>
      <c r="R15" s="46">
        <v>12.61</v>
      </c>
      <c r="S15" s="24">
        <v>13.27</v>
      </c>
      <c r="T15" s="24">
        <v>25</v>
      </c>
      <c r="U15" s="46">
        <v>1151635</v>
      </c>
      <c r="V15" s="46">
        <v>1151635</v>
      </c>
    </row>
    <row r="16" spans="1:23">
      <c r="A16" s="70">
        <v>12</v>
      </c>
      <c r="B16" s="17" t="s">
        <v>36</v>
      </c>
      <c r="C16" s="25" t="s">
        <v>37</v>
      </c>
      <c r="D16" s="24">
        <v>1697555055.6700001</v>
      </c>
      <c r="E16" s="18">
        <v>13523056.810000001</v>
      </c>
      <c r="F16" s="46"/>
      <c r="G16" s="18">
        <v>3106626.87</v>
      </c>
      <c r="H16" s="18">
        <f>(E16+F16)-G16</f>
        <v>10416429.940000001</v>
      </c>
      <c r="I16" s="77">
        <v>1645823347.23</v>
      </c>
      <c r="J16" s="19">
        <f t="shared" si="1"/>
        <v>5.7130314955128658E-2</v>
      </c>
      <c r="K16" s="40">
        <v>1690339230.95</v>
      </c>
      <c r="L16" s="19">
        <f t="shared" si="7"/>
        <v>5.5187632286544538E-2</v>
      </c>
      <c r="M16" s="19">
        <f t="shared" si="2"/>
        <v>2.7047789664013701E-2</v>
      </c>
      <c r="N16" s="20">
        <f t="shared" si="8"/>
        <v>1.8378718384557766E-3</v>
      </c>
      <c r="O16" s="21">
        <f t="shared" si="9"/>
        <v>6.1623310571486808E-3</v>
      </c>
      <c r="P16" s="22">
        <f t="shared" si="10"/>
        <v>3.4870256948262455</v>
      </c>
      <c r="Q16" s="22">
        <f t="shared" si="11"/>
        <v>2.1488206736303229E-2</v>
      </c>
      <c r="R16" s="46">
        <v>3.44</v>
      </c>
      <c r="S16" s="24">
        <v>3.51</v>
      </c>
      <c r="T16" s="24">
        <v>3662</v>
      </c>
      <c r="U16" s="24">
        <v>484766512</v>
      </c>
      <c r="V16" s="24">
        <v>484751011</v>
      </c>
    </row>
    <row r="17" spans="1:23">
      <c r="A17" s="70">
        <v>13</v>
      </c>
      <c r="B17" s="17" t="s">
        <v>38</v>
      </c>
      <c r="C17" s="17" t="s">
        <v>39</v>
      </c>
      <c r="D17" s="46">
        <v>640259164.42999995</v>
      </c>
      <c r="E17" s="46">
        <v>6134725.0199999996</v>
      </c>
      <c r="F17" s="46">
        <v>20305663.27</v>
      </c>
      <c r="G17" s="46">
        <v>974349.41</v>
      </c>
      <c r="H17" s="18">
        <f>(E17+F17)-G17</f>
        <v>25466038.879999999</v>
      </c>
      <c r="I17" s="86">
        <v>625271965.13999999</v>
      </c>
      <c r="J17" s="19">
        <f t="shared" si="1"/>
        <v>2.1704628483477432E-2</v>
      </c>
      <c r="K17" s="81">
        <v>644191315.09000003</v>
      </c>
      <c r="L17" s="19">
        <f t="shared" si="7"/>
        <v>2.103210572672562E-2</v>
      </c>
      <c r="M17" s="19">
        <f t="shared" si="2"/>
        <v>3.0257793415964136E-2</v>
      </c>
      <c r="N17" s="20">
        <f t="shared" si="8"/>
        <v>1.5125155946318115E-3</v>
      </c>
      <c r="O17" s="21">
        <f t="shared" si="9"/>
        <v>3.9531794799875772E-2</v>
      </c>
      <c r="P17" s="22">
        <f t="shared" si="10"/>
        <v>21.903318517279452</v>
      </c>
      <c r="Q17" s="22">
        <f t="shared" si="11"/>
        <v>0.8658774930614106</v>
      </c>
      <c r="R17" s="51">
        <v>22.1</v>
      </c>
      <c r="S17" s="51">
        <v>22.26</v>
      </c>
      <c r="T17" s="51">
        <v>338</v>
      </c>
      <c r="U17" s="51">
        <v>29457521.120000001</v>
      </c>
      <c r="V17" s="51">
        <v>29410671.93</v>
      </c>
    </row>
    <row r="18" spans="1:23">
      <c r="A18" s="70">
        <v>14</v>
      </c>
      <c r="B18" s="26" t="s">
        <v>40</v>
      </c>
      <c r="C18" s="26" t="s">
        <v>41</v>
      </c>
      <c r="D18" s="24">
        <v>128400614.27</v>
      </c>
      <c r="E18" s="24">
        <v>2783301.56</v>
      </c>
      <c r="F18" s="24">
        <v>55367357.799999997</v>
      </c>
      <c r="G18" s="24">
        <v>530746.73</v>
      </c>
      <c r="H18" s="18">
        <f t="shared" si="0"/>
        <v>57619912.630000003</v>
      </c>
      <c r="I18" s="77">
        <v>130126542.91</v>
      </c>
      <c r="J18" s="19">
        <f t="shared" si="1"/>
        <v>4.5169916886781507E-3</v>
      </c>
      <c r="K18" s="40">
        <v>130126542.91</v>
      </c>
      <c r="L18" s="19">
        <f t="shared" si="7"/>
        <v>4.2484820025151292E-3</v>
      </c>
      <c r="M18" s="19">
        <f t="shared" si="2"/>
        <v>0</v>
      </c>
      <c r="N18" s="20">
        <f t="shared" si="8"/>
        <v>4.0786969217116815E-3</v>
      </c>
      <c r="O18" s="21">
        <f t="shared" si="9"/>
        <v>0.44279907343616992</v>
      </c>
      <c r="P18" s="22">
        <f t="shared" si="10"/>
        <v>1.422342104769786</v>
      </c>
      <c r="Q18" s="22">
        <f t="shared" si="11"/>
        <v>0.62981176610131295</v>
      </c>
      <c r="R18" s="24">
        <v>1.37</v>
      </c>
      <c r="S18" s="24">
        <v>1.44</v>
      </c>
      <c r="T18" s="24">
        <v>21</v>
      </c>
      <c r="U18" s="24">
        <v>91307707.780000001</v>
      </c>
      <c r="V18" s="24">
        <v>91487513.780000001</v>
      </c>
    </row>
    <row r="19" spans="1:23">
      <c r="A19" s="70">
        <v>15</v>
      </c>
      <c r="B19" s="17" t="s">
        <v>42</v>
      </c>
      <c r="C19" s="17" t="s">
        <v>43</v>
      </c>
      <c r="D19" s="24">
        <v>1626773562.04</v>
      </c>
      <c r="E19" s="24">
        <v>27314513.68</v>
      </c>
      <c r="F19" s="51">
        <v>-72502015.739999995</v>
      </c>
      <c r="G19" s="24">
        <v>2731437.31</v>
      </c>
      <c r="H19" s="18">
        <f t="shared" si="0"/>
        <v>-47918939.369999997</v>
      </c>
      <c r="I19" s="77">
        <v>1520406700.27</v>
      </c>
      <c r="J19" s="19">
        <f t="shared" si="1"/>
        <v>5.2776814591009885E-2</v>
      </c>
      <c r="K19" s="40">
        <v>1622555847.22</v>
      </c>
      <c r="L19" s="19">
        <f t="shared" si="7"/>
        <v>5.2974582747176875E-2</v>
      </c>
      <c r="M19" s="19">
        <f t="shared" si="2"/>
        <v>6.7185409622214892E-2</v>
      </c>
      <c r="N19" s="20">
        <f t="shared" si="8"/>
        <v>1.6834165151725889E-3</v>
      </c>
      <c r="O19" s="21">
        <f t="shared" si="9"/>
        <v>-2.9532998480207465E-2</v>
      </c>
      <c r="P19" s="22">
        <f t="shared" si="10"/>
        <v>29.219316752531586</v>
      </c>
      <c r="Q19" s="22">
        <f t="shared" si="11"/>
        <v>-0.86293403724521578</v>
      </c>
      <c r="R19" s="24">
        <v>29.22</v>
      </c>
      <c r="S19" s="24">
        <v>29.3</v>
      </c>
      <c r="T19" s="24">
        <v>8944</v>
      </c>
      <c r="U19" s="24">
        <v>55452920</v>
      </c>
      <c r="V19" s="24">
        <v>55530246</v>
      </c>
    </row>
    <row r="20" spans="1:23">
      <c r="A20" s="70">
        <v>16</v>
      </c>
      <c r="B20" s="25" t="s">
        <v>44</v>
      </c>
      <c r="C20" s="17" t="s">
        <v>45</v>
      </c>
      <c r="D20" s="46">
        <v>680043719.32000005</v>
      </c>
      <c r="E20" s="46">
        <v>4645583.08</v>
      </c>
      <c r="F20" s="46">
        <v>28315562.579999998</v>
      </c>
      <c r="G20" s="46">
        <v>1244383.81</v>
      </c>
      <c r="H20" s="18">
        <f t="shared" si="0"/>
        <v>31716761.849999998</v>
      </c>
      <c r="I20" s="78">
        <v>657456383.91999996</v>
      </c>
      <c r="J20" s="19">
        <f t="shared" si="1"/>
        <v>2.2821823706551517E-2</v>
      </c>
      <c r="K20" s="46">
        <v>679695461.10000002</v>
      </c>
      <c r="L20" s="19">
        <f t="shared" si="7"/>
        <v>2.2191275270194391E-2</v>
      </c>
      <c r="M20" s="19">
        <f t="shared" si="2"/>
        <v>3.3825935414000245E-2</v>
      </c>
      <c r="N20" s="20">
        <f t="shared" si="8"/>
        <v>1.8307961156399724E-3</v>
      </c>
      <c r="O20" s="21">
        <f t="shared" si="9"/>
        <v>4.6663195011881473E-2</v>
      </c>
      <c r="P20" s="22">
        <f t="shared" si="10"/>
        <v>7345.5559910828224</v>
      </c>
      <c r="Q20" s="22">
        <f t="shared" si="11"/>
        <v>342.76711168259203</v>
      </c>
      <c r="R20" s="46">
        <v>7281.53</v>
      </c>
      <c r="S20" s="46">
        <v>7389.44</v>
      </c>
      <c r="T20" s="24">
        <v>19</v>
      </c>
      <c r="U20" s="46">
        <v>92531.520000000004</v>
      </c>
      <c r="V20" s="46">
        <v>92531.520000000004</v>
      </c>
    </row>
    <row r="21" spans="1:23">
      <c r="A21" s="70">
        <v>17</v>
      </c>
      <c r="B21" s="17" t="s">
        <v>46</v>
      </c>
      <c r="C21" s="17" t="s">
        <v>45</v>
      </c>
      <c r="D21" s="46">
        <v>11950844404.040001</v>
      </c>
      <c r="E21" s="24">
        <v>75715709.269999996</v>
      </c>
      <c r="F21" s="24">
        <v>490101666.76999998</v>
      </c>
      <c r="G21" s="24">
        <v>33301793.73</v>
      </c>
      <c r="H21" s="18">
        <f t="shared" si="0"/>
        <v>532515582.30999994</v>
      </c>
      <c r="I21" s="78">
        <v>11635629063.450001</v>
      </c>
      <c r="J21" s="19">
        <f t="shared" si="1"/>
        <v>0.4038994550750229</v>
      </c>
      <c r="K21" s="46">
        <v>11972292907.27</v>
      </c>
      <c r="L21" s="19">
        <f t="shared" si="7"/>
        <v>0.39088159731220612</v>
      </c>
      <c r="M21" s="19">
        <f t="shared" si="2"/>
        <v>2.8933875597455475E-2</v>
      </c>
      <c r="N21" s="20">
        <f t="shared" si="8"/>
        <v>2.7815719167527194E-3</v>
      </c>
      <c r="O21" s="21">
        <f t="shared" si="9"/>
        <v>4.4478997167421257E-2</v>
      </c>
      <c r="P21" s="22">
        <f t="shared" si="10"/>
        <v>24027.274719395813</v>
      </c>
      <c r="Q21" s="22">
        <f t="shared" si="11"/>
        <v>1068.7090841848587</v>
      </c>
      <c r="R21" s="46">
        <v>23811.81</v>
      </c>
      <c r="S21" s="46">
        <v>24174.95</v>
      </c>
      <c r="T21" s="46">
        <v>17435</v>
      </c>
      <c r="U21" s="46">
        <v>499853.62</v>
      </c>
      <c r="V21" s="46">
        <v>498279.27</v>
      </c>
    </row>
    <row r="22" spans="1:23">
      <c r="A22" s="70">
        <v>18</v>
      </c>
      <c r="B22" s="17" t="s">
        <v>48</v>
      </c>
      <c r="C22" s="17" t="s">
        <v>49</v>
      </c>
      <c r="D22" s="46">
        <v>2622793907</v>
      </c>
      <c r="E22" s="46">
        <v>23232948</v>
      </c>
      <c r="F22" s="46">
        <v>41606304</v>
      </c>
      <c r="G22" s="54">
        <v>5663669</v>
      </c>
      <c r="H22" s="18">
        <f t="shared" ref="H22" si="12">(E22+F22)-G22</f>
        <v>59175583</v>
      </c>
      <c r="I22" s="87">
        <v>3386272149</v>
      </c>
      <c r="J22" s="19">
        <f t="shared" ref="J22" si="13">(I22/$I$24)</f>
        <v>0.11754529714367634</v>
      </c>
      <c r="K22" s="54">
        <v>3455304267</v>
      </c>
      <c r="L22" s="19">
        <f t="shared" si="7"/>
        <v>0.11281171130256096</v>
      </c>
      <c r="M22" s="19">
        <f t="shared" si="2"/>
        <v>2.0385874189227784E-2</v>
      </c>
      <c r="N22" s="20">
        <f t="shared" si="8"/>
        <v>1.639123087969723E-3</v>
      </c>
      <c r="O22" s="21">
        <f t="shared" si="9"/>
        <v>1.712601219092582E-2</v>
      </c>
      <c r="P22" s="22">
        <f t="shared" si="10"/>
        <v>1.3953091818662224</v>
      </c>
      <c r="Q22" s="22">
        <f t="shared" si="11"/>
        <v>2.3896082058751655E-2</v>
      </c>
      <c r="R22" s="51">
        <v>1.4</v>
      </c>
      <c r="S22" s="51">
        <v>1.41</v>
      </c>
      <c r="T22" s="51">
        <v>2965</v>
      </c>
      <c r="U22" s="52">
        <v>2464751320</v>
      </c>
      <c r="V22" s="52">
        <v>2476371769</v>
      </c>
    </row>
    <row r="23" spans="1:23">
      <c r="A23" s="70">
        <v>19</v>
      </c>
      <c r="B23" s="17" t="s">
        <v>261</v>
      </c>
      <c r="C23" s="17" t="s">
        <v>262</v>
      </c>
      <c r="D23" s="46">
        <v>936816748</v>
      </c>
      <c r="E23" s="46">
        <v>8857943.7699999996</v>
      </c>
      <c r="F23" s="46">
        <v>93402986.599999994</v>
      </c>
      <c r="G23" s="54">
        <v>3616573.13</v>
      </c>
      <c r="H23" s="18">
        <f t="shared" si="0"/>
        <v>98644357.239999995</v>
      </c>
      <c r="I23" s="80">
        <v>0</v>
      </c>
      <c r="J23" s="19">
        <f t="shared" si="1"/>
        <v>0</v>
      </c>
      <c r="K23" s="54">
        <f>1121650681.85-3641009.98</f>
        <v>1118009671.8699999</v>
      </c>
      <c r="L23" s="19">
        <f t="shared" si="7"/>
        <v>3.6501730264690849E-2</v>
      </c>
      <c r="M23" s="19" t="e">
        <f t="shared" si="2"/>
        <v>#DIV/0!</v>
      </c>
      <c r="N23" s="20">
        <f t="shared" si="8"/>
        <v>3.2348317022614526E-3</v>
      </c>
      <c r="O23" s="21">
        <f t="shared" si="9"/>
        <v>8.8232114374293333E-2</v>
      </c>
      <c r="P23" s="22">
        <f t="shared" si="10"/>
        <v>110.25214505329136</v>
      </c>
      <c r="Q23" s="22">
        <f t="shared" si="11"/>
        <v>9.7277798723531816</v>
      </c>
      <c r="R23" s="51">
        <v>108.31</v>
      </c>
      <c r="S23" s="51">
        <v>111.5</v>
      </c>
      <c r="T23" s="51">
        <v>20</v>
      </c>
      <c r="U23" s="52">
        <v>10049655</v>
      </c>
      <c r="V23" s="52">
        <v>10140480</v>
      </c>
    </row>
    <row r="24" spans="1:23">
      <c r="A24" s="122" t="s">
        <v>50</v>
      </c>
      <c r="B24" s="122"/>
      <c r="C24" s="122"/>
      <c r="D24" s="122"/>
      <c r="E24" s="122"/>
      <c r="F24" s="122"/>
      <c r="G24" s="122"/>
      <c r="H24" s="122"/>
      <c r="I24" s="28">
        <f>SUM(I5:I23)</f>
        <v>28808231645.889999</v>
      </c>
      <c r="J24" s="29">
        <f>(I24/$I$201)</f>
        <v>8.1476513412424706E-3</v>
      </c>
      <c r="K24" s="82">
        <f>SUM(K5:K23)</f>
        <v>30628950018.609997</v>
      </c>
      <c r="L24" s="29">
        <f>(K24/$K$201)</f>
        <v>8.1781986984615987E-3</v>
      </c>
      <c r="M24" s="29">
        <f t="shared" ref="M24" si="14">((K24-I24)/I24)</f>
        <v>6.3201323673740831E-2</v>
      </c>
      <c r="N24" s="20"/>
      <c r="O24" s="21"/>
      <c r="P24" s="22"/>
      <c r="Q24" s="22"/>
      <c r="R24" s="32"/>
      <c r="S24" s="32"/>
      <c r="T24" s="32">
        <f>SUM(T5:T23)</f>
        <v>49119</v>
      </c>
      <c r="U24" s="32"/>
      <c r="V24" s="32"/>
    </row>
    <row r="25" spans="1:23" ht="6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0"/>
    </row>
    <row r="26" spans="1:23">
      <c r="A26" s="124" t="s">
        <v>51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</row>
    <row r="27" spans="1:23" ht="12.9" customHeight="1">
      <c r="A27" s="70">
        <v>20</v>
      </c>
      <c r="B27" s="17" t="s">
        <v>52</v>
      </c>
      <c r="C27" s="17" t="s">
        <v>21</v>
      </c>
      <c r="D27" s="51">
        <v>1400523613.0899999</v>
      </c>
      <c r="E27" s="51">
        <v>23603007.149999999</v>
      </c>
      <c r="F27" s="51"/>
      <c r="G27" s="51">
        <v>2693157.25</v>
      </c>
      <c r="H27" s="18">
        <f t="shared" ref="H27:H60" si="15">(E27+F27)-G27</f>
        <v>20909849.899999999</v>
      </c>
      <c r="I27" s="88">
        <v>1191745730.53</v>
      </c>
      <c r="J27" s="19">
        <f t="shared" ref="J27:J60" si="16">(I27/$I$61)</f>
        <v>8.4508660754363735E-4</v>
      </c>
      <c r="K27" s="114">
        <v>1365540603.5799999</v>
      </c>
      <c r="L27" s="19">
        <f t="shared" ref="L27:L60" si="17">(K27/$K$61)</f>
        <v>9.0401708780266413E-4</v>
      </c>
      <c r="M27" s="19">
        <f t="shared" ref="M27:M61" si="18">((K27-I27)/I27)</f>
        <v>0.14583217593966868</v>
      </c>
      <c r="N27" s="20">
        <f t="shared" ref="N27" si="19">(G27/K27)</f>
        <v>1.9722278802544752E-3</v>
      </c>
      <c r="O27" s="21">
        <f t="shared" ref="O27" si="20">H27/K27</f>
        <v>1.5312506889345674E-2</v>
      </c>
      <c r="P27" s="22">
        <f t="shared" ref="P27" si="21">K27/V27</f>
        <v>100.93754207429166</v>
      </c>
      <c r="Q27" s="22">
        <f t="shared" ref="Q27" si="22">H27/V27</f>
        <v>1.5456068084062098</v>
      </c>
      <c r="R27" s="24">
        <v>100</v>
      </c>
      <c r="S27" s="24">
        <v>100</v>
      </c>
      <c r="T27" s="24">
        <v>876</v>
      </c>
      <c r="U27" s="51">
        <v>11798070</v>
      </c>
      <c r="V27" s="51">
        <v>13528570</v>
      </c>
    </row>
    <row r="28" spans="1:23" ht="15" customHeight="1">
      <c r="A28" s="70">
        <v>21</v>
      </c>
      <c r="B28" s="17" t="s">
        <v>53</v>
      </c>
      <c r="C28" s="17" t="s">
        <v>54</v>
      </c>
      <c r="D28" s="24">
        <v>9103401452.9500008</v>
      </c>
      <c r="E28" s="24">
        <v>172850551.02000001</v>
      </c>
      <c r="F28" s="24">
        <v>0</v>
      </c>
      <c r="G28" s="24">
        <v>14262549.539999999</v>
      </c>
      <c r="H28" s="18">
        <f t="shared" si="15"/>
        <v>158588001.48000002</v>
      </c>
      <c r="I28" s="11">
        <v>8535641604.9399996</v>
      </c>
      <c r="J28" s="19">
        <f t="shared" si="16"/>
        <v>6.0527646311928527E-3</v>
      </c>
      <c r="K28" s="24">
        <v>9104271408.6499996</v>
      </c>
      <c r="L28" s="19">
        <f t="shared" si="17"/>
        <v>6.027222408352689E-3</v>
      </c>
      <c r="M28" s="19">
        <f t="shared" si="18"/>
        <v>6.6618284837651309E-2</v>
      </c>
      <c r="N28" s="20">
        <f t="shared" ref="N28:N60" si="23">(G28/K28)</f>
        <v>1.566577807253099E-3</v>
      </c>
      <c r="O28" s="21">
        <f t="shared" ref="O28:O60" si="24">H28/K28</f>
        <v>1.7419076646740233E-2</v>
      </c>
      <c r="P28" s="22">
        <f t="shared" ref="P28:P60" si="25">K28/V28</f>
        <v>102.10127136081897</v>
      </c>
      <c r="Q28" s="22">
        <f t="shared" ref="Q28:Q60" si="26">H28/V28</f>
        <v>1.7785098715637293</v>
      </c>
      <c r="R28" s="24">
        <v>100</v>
      </c>
      <c r="S28" s="24">
        <v>100</v>
      </c>
      <c r="T28" s="24">
        <v>1762</v>
      </c>
      <c r="U28" s="24">
        <v>80996711.939999998</v>
      </c>
      <c r="V28" s="24">
        <v>89169030.780000001</v>
      </c>
    </row>
    <row r="29" spans="1:23">
      <c r="A29" s="70">
        <v>22</v>
      </c>
      <c r="B29" s="17" t="s">
        <v>55</v>
      </c>
      <c r="C29" s="17" t="s">
        <v>23</v>
      </c>
      <c r="D29" s="24">
        <v>967609315.38</v>
      </c>
      <c r="E29" s="24">
        <v>15347693.359999999</v>
      </c>
      <c r="F29" s="24"/>
      <c r="G29" s="24">
        <v>1194603.6000000001</v>
      </c>
      <c r="H29" s="18">
        <f t="shared" si="15"/>
        <v>14153089.76</v>
      </c>
      <c r="I29" s="11">
        <v>740233586.61000001</v>
      </c>
      <c r="J29" s="19">
        <f t="shared" si="16"/>
        <v>5.2491187882829744E-4</v>
      </c>
      <c r="K29" s="24">
        <v>970995439.25999999</v>
      </c>
      <c r="L29" s="19">
        <f t="shared" si="17"/>
        <v>6.4281974989846449E-4</v>
      </c>
      <c r="M29" s="19">
        <f t="shared" si="18"/>
        <v>0.3117419377129389</v>
      </c>
      <c r="N29" s="20">
        <f t="shared" si="23"/>
        <v>1.2302875499707938E-3</v>
      </c>
      <c r="O29" s="21">
        <f t="shared" si="24"/>
        <v>1.4575856062502347E-2</v>
      </c>
      <c r="P29" s="22">
        <f t="shared" si="25"/>
        <v>94.21964921200005</v>
      </c>
      <c r="Q29" s="22">
        <f t="shared" si="26"/>
        <v>1.3733320451735755</v>
      </c>
      <c r="R29" s="24">
        <v>100</v>
      </c>
      <c r="S29" s="24">
        <v>100</v>
      </c>
      <c r="T29" s="24">
        <v>1364</v>
      </c>
      <c r="U29" s="24">
        <v>7885997.0199999996</v>
      </c>
      <c r="V29" s="24">
        <v>10305657.550000001</v>
      </c>
    </row>
    <row r="30" spans="1:23">
      <c r="A30" s="70">
        <v>23</v>
      </c>
      <c r="B30" s="17" t="s">
        <v>56</v>
      </c>
      <c r="C30" s="25" t="s">
        <v>57</v>
      </c>
      <c r="D30" s="46">
        <v>42871931225.32</v>
      </c>
      <c r="E30" s="46">
        <v>1922506162.8399999</v>
      </c>
      <c r="F30" s="46">
        <v>0</v>
      </c>
      <c r="G30" s="46">
        <v>196899185.44999999</v>
      </c>
      <c r="H30" s="18">
        <f t="shared" si="15"/>
        <v>1725606977.3899999</v>
      </c>
      <c r="I30" s="84">
        <v>105784519001</v>
      </c>
      <c r="J30" s="19">
        <f t="shared" si="16"/>
        <v>7.5013551970883385E-2</v>
      </c>
      <c r="K30" s="46">
        <v>112557356692</v>
      </c>
      <c r="L30" s="19">
        <f t="shared" si="17"/>
        <v>7.4515377675846844E-2</v>
      </c>
      <c r="M30" s="19">
        <f t="shared" si="18"/>
        <v>6.4024847444227401E-2</v>
      </c>
      <c r="N30" s="20">
        <f t="shared" si="23"/>
        <v>1.7493231116717809E-3</v>
      </c>
      <c r="O30" s="21">
        <f t="shared" si="24"/>
        <v>1.5330912417496805E-2</v>
      </c>
      <c r="P30" s="22">
        <f t="shared" si="25"/>
        <v>1</v>
      </c>
      <c r="Q30" s="22">
        <f t="shared" si="26"/>
        <v>1.5330912417496805E-2</v>
      </c>
      <c r="R30" s="24">
        <v>1</v>
      </c>
      <c r="S30" s="24">
        <v>1</v>
      </c>
      <c r="T30" s="24">
        <v>62424</v>
      </c>
      <c r="U30" s="46">
        <v>105784519001</v>
      </c>
      <c r="V30" s="46">
        <v>112557356692</v>
      </c>
    </row>
    <row r="31" spans="1:23" ht="15" customHeight="1">
      <c r="A31" s="70">
        <v>24</v>
      </c>
      <c r="B31" s="17" t="s">
        <v>58</v>
      </c>
      <c r="C31" s="17" t="s">
        <v>27</v>
      </c>
      <c r="D31" s="24">
        <v>32783592680.77</v>
      </c>
      <c r="E31" s="24">
        <v>1307345864.3399999</v>
      </c>
      <c r="F31" s="24">
        <v>0</v>
      </c>
      <c r="G31" s="24">
        <v>110717213.53</v>
      </c>
      <c r="H31" s="18">
        <f t="shared" si="15"/>
        <v>1196628650.8099999</v>
      </c>
      <c r="I31" s="78">
        <v>70357190519.279999</v>
      </c>
      <c r="J31" s="19">
        <f t="shared" si="16"/>
        <v>4.9891447419574339E-2</v>
      </c>
      <c r="K31" s="46">
        <v>73246643380.300003</v>
      </c>
      <c r="L31" s="19">
        <f t="shared" si="17"/>
        <v>4.8490844626942531E-2</v>
      </c>
      <c r="M31" s="19">
        <f t="shared" si="18"/>
        <v>4.1068337716359024E-2</v>
      </c>
      <c r="N31" s="20">
        <f t="shared" si="23"/>
        <v>1.5115670619218829E-3</v>
      </c>
      <c r="O31" s="21">
        <f t="shared" si="24"/>
        <v>1.6336975943007353E-2</v>
      </c>
      <c r="P31" s="22">
        <f t="shared" si="25"/>
        <v>1.0165230645267176</v>
      </c>
      <c r="Q31" s="22">
        <f t="shared" si="26"/>
        <v>1.6606912850685097E-2</v>
      </c>
      <c r="R31" s="24">
        <v>1</v>
      </c>
      <c r="S31" s="24">
        <v>1</v>
      </c>
      <c r="T31" s="24">
        <v>30378</v>
      </c>
      <c r="U31" s="24">
        <v>67231728862.879997</v>
      </c>
      <c r="V31" s="24">
        <v>72056056509.059998</v>
      </c>
    </row>
    <row r="32" spans="1:23">
      <c r="A32" s="70">
        <v>25</v>
      </c>
      <c r="B32" s="25" t="s">
        <v>257</v>
      </c>
      <c r="C32" s="25" t="s">
        <v>43</v>
      </c>
      <c r="D32" s="24">
        <v>10951266306.34</v>
      </c>
      <c r="E32" s="24">
        <v>195854467.84</v>
      </c>
      <c r="F32" s="24">
        <v>0</v>
      </c>
      <c r="G32" s="24">
        <v>17746730.690000001</v>
      </c>
      <c r="H32" s="18">
        <f t="shared" si="15"/>
        <v>178107737.15000001</v>
      </c>
      <c r="I32" s="11">
        <v>10732446396.82</v>
      </c>
      <c r="J32" s="19">
        <f t="shared" si="16"/>
        <v>7.6105552415941559E-3</v>
      </c>
      <c r="K32" s="24">
        <v>10756843706.42</v>
      </c>
      <c r="L32" s="19">
        <f t="shared" si="17"/>
        <v>7.121260617173969E-3</v>
      </c>
      <c r="M32" s="19">
        <f t="shared" si="18"/>
        <v>2.2732291127239407E-3</v>
      </c>
      <c r="N32" s="20">
        <f t="shared" si="23"/>
        <v>1.6498083614813733E-3</v>
      </c>
      <c r="O32" s="21">
        <f t="shared" si="24"/>
        <v>1.6557620619113401E-2</v>
      </c>
      <c r="P32" s="22">
        <f t="shared" si="25"/>
        <v>100.00000163077578</v>
      </c>
      <c r="Q32" s="22">
        <f t="shared" si="26"/>
        <v>1.6557620889131068</v>
      </c>
      <c r="R32" s="24">
        <v>100</v>
      </c>
      <c r="S32" s="24">
        <v>100</v>
      </c>
      <c r="T32" s="24">
        <v>2028</v>
      </c>
      <c r="U32" s="46">
        <v>107324463.95999999</v>
      </c>
      <c r="V32" s="24">
        <v>107568435.31</v>
      </c>
    </row>
    <row r="33" spans="1:22">
      <c r="A33" s="70">
        <v>26</v>
      </c>
      <c r="B33" s="66" t="s">
        <v>250</v>
      </c>
      <c r="C33" s="66" t="s">
        <v>218</v>
      </c>
      <c r="D33" s="24">
        <v>346344845.41000003</v>
      </c>
      <c r="E33" s="24">
        <v>14703792.15</v>
      </c>
      <c r="F33" s="24">
        <v>0</v>
      </c>
      <c r="G33" s="24">
        <v>379620.43</v>
      </c>
      <c r="H33" s="18">
        <f t="shared" si="15"/>
        <v>14324171.720000001</v>
      </c>
      <c r="I33" s="11">
        <v>324057273.56</v>
      </c>
      <c r="J33" s="19">
        <f t="shared" si="16"/>
        <v>2.2979437219453671E-4</v>
      </c>
      <c r="K33" s="24">
        <v>338435074.10000002</v>
      </c>
      <c r="L33" s="19">
        <f t="shared" si="17"/>
        <v>2.2405125801170422E-4</v>
      </c>
      <c r="M33" s="19">
        <f t="shared" si="18"/>
        <v>4.4368084635316593E-2</v>
      </c>
      <c r="N33" s="20">
        <f t="shared" si="23"/>
        <v>1.1216935213039729E-3</v>
      </c>
      <c r="O33" s="21">
        <f t="shared" si="24"/>
        <v>4.2324725822500082E-2</v>
      </c>
      <c r="P33" s="22">
        <f t="shared" si="25"/>
        <v>0.9772516849540388</v>
      </c>
      <c r="Q33" s="22">
        <f t="shared" si="26"/>
        <v>4.1361909625255926E-2</v>
      </c>
      <c r="R33" s="24">
        <v>1</v>
      </c>
      <c r="S33" s="24">
        <v>1</v>
      </c>
      <c r="T33" s="24">
        <v>264</v>
      </c>
      <c r="U33" s="46">
        <f>(V33+20000)-7461893.89</f>
        <v>338871220.03000003</v>
      </c>
      <c r="V33" s="24">
        <v>346313113.92000002</v>
      </c>
    </row>
    <row r="34" spans="1:22">
      <c r="A34" s="70">
        <v>27</v>
      </c>
      <c r="B34" s="17" t="s">
        <v>236</v>
      </c>
      <c r="C34" s="17" t="s">
        <v>59</v>
      </c>
      <c r="D34" s="46">
        <v>31387838826.470001</v>
      </c>
      <c r="E34" s="24">
        <v>608880867.73000002</v>
      </c>
      <c r="F34" s="24">
        <v>0</v>
      </c>
      <c r="G34" s="24">
        <v>50361068.369999997</v>
      </c>
      <c r="H34" s="18">
        <f t="shared" si="15"/>
        <v>558519799.36000001</v>
      </c>
      <c r="I34" s="11">
        <v>28155183670.369999</v>
      </c>
      <c r="J34" s="19">
        <f t="shared" si="16"/>
        <v>1.9965306393150986E-2</v>
      </c>
      <c r="K34" s="24">
        <v>30676657723.189999</v>
      </c>
      <c r="L34" s="19">
        <f t="shared" si="17"/>
        <v>2.0308603571166269E-2</v>
      </c>
      <c r="M34" s="19">
        <f t="shared" si="18"/>
        <v>8.9556299200191439E-2</v>
      </c>
      <c r="N34" s="20">
        <f t="shared" si="23"/>
        <v>1.6416739015192514E-3</v>
      </c>
      <c r="O34" s="21">
        <f t="shared" si="24"/>
        <v>1.8206670504974449E-2</v>
      </c>
      <c r="P34" s="22">
        <f t="shared" si="25"/>
        <v>100.00000000061935</v>
      </c>
      <c r="Q34" s="22">
        <f t="shared" si="26"/>
        <v>1.8206670505087215</v>
      </c>
      <c r="R34" s="24">
        <v>100</v>
      </c>
      <c r="S34" s="24">
        <v>100</v>
      </c>
      <c r="T34" s="24">
        <v>3079</v>
      </c>
      <c r="U34" s="24">
        <v>281551836.69999999</v>
      </c>
      <c r="V34" s="24">
        <v>306766577.23000002</v>
      </c>
    </row>
    <row r="35" spans="1:22">
      <c r="A35" s="70">
        <v>28</v>
      </c>
      <c r="B35" s="17" t="s">
        <v>60</v>
      </c>
      <c r="C35" s="17" t="s">
        <v>61</v>
      </c>
      <c r="D35" s="24">
        <v>5134798187.9700003</v>
      </c>
      <c r="E35" s="46">
        <v>215772947.13999999</v>
      </c>
      <c r="F35" s="46"/>
      <c r="G35" s="24">
        <v>13561953.02</v>
      </c>
      <c r="H35" s="18">
        <f t="shared" si="15"/>
        <v>202210994.11999997</v>
      </c>
      <c r="I35" s="89">
        <v>10329463800</v>
      </c>
      <c r="J35" s="19">
        <f t="shared" si="16"/>
        <v>7.324793617347107E-3</v>
      </c>
      <c r="K35" s="46">
        <v>12863132100</v>
      </c>
      <c r="L35" s="19">
        <f t="shared" si="17"/>
        <v>8.5156685861825527E-3</v>
      </c>
      <c r="M35" s="19">
        <f t="shared" si="18"/>
        <v>0.24528555877217945</v>
      </c>
      <c r="N35" s="20">
        <f t="shared" si="23"/>
        <v>1.0543274308750976E-3</v>
      </c>
      <c r="O35" s="21">
        <f t="shared" si="24"/>
        <v>1.5720198824670392E-2</v>
      </c>
      <c r="P35" s="22">
        <f t="shared" si="25"/>
        <v>100</v>
      </c>
      <c r="Q35" s="22">
        <f t="shared" si="26"/>
        <v>1.5720198824670391</v>
      </c>
      <c r="R35" s="24">
        <v>100</v>
      </c>
      <c r="S35" s="24">
        <v>100</v>
      </c>
      <c r="T35" s="24">
        <v>6377</v>
      </c>
      <c r="U35" s="24">
        <v>103294638</v>
      </c>
      <c r="V35" s="24">
        <v>128631321</v>
      </c>
    </row>
    <row r="36" spans="1:22">
      <c r="A36" s="70">
        <v>29</v>
      </c>
      <c r="B36" s="17" t="s">
        <v>62</v>
      </c>
      <c r="C36" s="25" t="s">
        <v>63</v>
      </c>
      <c r="D36" s="71">
        <v>39263942.280000001</v>
      </c>
      <c r="E36" s="71">
        <v>275433.01</v>
      </c>
      <c r="F36" s="71"/>
      <c r="G36" s="71">
        <v>41437.480000000003</v>
      </c>
      <c r="H36" s="72">
        <f t="shared" si="15"/>
        <v>233995.53</v>
      </c>
      <c r="I36" s="85">
        <v>10329463800</v>
      </c>
      <c r="J36" s="19">
        <f t="shared" si="16"/>
        <v>7.324793617347107E-3</v>
      </c>
      <c r="K36" s="71">
        <v>39203248.560000002</v>
      </c>
      <c r="L36" s="19">
        <f t="shared" si="17"/>
        <v>2.5953389084661459E-5</v>
      </c>
      <c r="M36" s="19">
        <f t="shared" si="18"/>
        <v>-0.99620471601246141</v>
      </c>
      <c r="N36" s="20">
        <f t="shared" si="23"/>
        <v>1.056990977076314E-3</v>
      </c>
      <c r="O36" s="21">
        <f t="shared" si="24"/>
        <v>5.9687790832403404E-3</v>
      </c>
      <c r="P36" s="22">
        <f t="shared" si="25"/>
        <v>101.87107246798604</v>
      </c>
      <c r="Q36" s="22">
        <f t="shared" si="26"/>
        <v>0.608045926534176</v>
      </c>
      <c r="R36" s="71">
        <v>10</v>
      </c>
      <c r="S36" s="71">
        <v>10</v>
      </c>
      <c r="T36" s="71">
        <v>86</v>
      </c>
      <c r="U36" s="71">
        <v>384832</v>
      </c>
      <c r="V36" s="71">
        <v>384832</v>
      </c>
    </row>
    <row r="37" spans="1:22">
      <c r="A37" s="70">
        <v>30</v>
      </c>
      <c r="B37" s="17" t="s">
        <v>64</v>
      </c>
      <c r="C37" s="17" t="s">
        <v>65</v>
      </c>
      <c r="D37" s="46">
        <v>8330383252.0200005</v>
      </c>
      <c r="E37" s="53">
        <v>147215087.47</v>
      </c>
      <c r="F37" s="53"/>
      <c r="G37" s="51">
        <v>13447106.35</v>
      </c>
      <c r="H37" s="18">
        <f t="shared" si="15"/>
        <v>133767981.12</v>
      </c>
      <c r="I37" s="79">
        <v>6596729168.4399996</v>
      </c>
      <c r="J37" s="19">
        <f t="shared" si="16"/>
        <v>4.6778497552173812E-3</v>
      </c>
      <c r="K37" s="37">
        <v>8533499947.8000002</v>
      </c>
      <c r="L37" s="19">
        <f t="shared" si="17"/>
        <v>5.6493594927530064E-3</v>
      </c>
      <c r="M37" s="19">
        <f t="shared" si="18"/>
        <v>0.293595618359759</v>
      </c>
      <c r="N37" s="20">
        <f t="shared" si="23"/>
        <v>1.5758020076471395E-3</v>
      </c>
      <c r="O37" s="21">
        <f t="shared" si="24"/>
        <v>1.5675629218757585E-2</v>
      </c>
      <c r="P37" s="22">
        <f t="shared" si="25"/>
        <v>1</v>
      </c>
      <c r="Q37" s="22">
        <f t="shared" si="26"/>
        <v>1.5675629218757585E-2</v>
      </c>
      <c r="R37" s="24">
        <v>1</v>
      </c>
      <c r="S37" s="24">
        <v>1</v>
      </c>
      <c r="T37" s="51">
        <v>3013</v>
      </c>
      <c r="U37" s="46">
        <v>6596729168.4399996</v>
      </c>
      <c r="V37" s="46">
        <v>8533499947.8000002</v>
      </c>
    </row>
    <row r="38" spans="1:22">
      <c r="A38" s="70">
        <v>31</v>
      </c>
      <c r="B38" s="17" t="s">
        <v>66</v>
      </c>
      <c r="C38" s="17" t="s">
        <v>67</v>
      </c>
      <c r="D38" s="24">
        <v>8246907952.6099997</v>
      </c>
      <c r="E38" s="24">
        <v>400226462.69999999</v>
      </c>
      <c r="F38" s="24">
        <v>0</v>
      </c>
      <c r="G38" s="24">
        <v>28339168.039999999</v>
      </c>
      <c r="H38" s="18">
        <f t="shared" si="15"/>
        <v>371887294.65999997</v>
      </c>
      <c r="I38" s="89">
        <v>16938075277.700001</v>
      </c>
      <c r="J38" s="19">
        <f t="shared" si="16"/>
        <v>1.2011069314579697E-2</v>
      </c>
      <c r="K38" s="46">
        <v>19606226113.950001</v>
      </c>
      <c r="L38" s="19">
        <f t="shared" si="17"/>
        <v>1.2979741054836564E-2</v>
      </c>
      <c r="M38" s="19">
        <f t="shared" si="18"/>
        <v>0.15752385040836261</v>
      </c>
      <c r="N38" s="20">
        <f t="shared" si="23"/>
        <v>1.4454167709427993E-3</v>
      </c>
      <c r="O38" s="21">
        <f t="shared" si="24"/>
        <v>1.896781626910846E-2</v>
      </c>
      <c r="P38" s="22">
        <f t="shared" si="25"/>
        <v>100.00000007115086</v>
      </c>
      <c r="Q38" s="22">
        <f t="shared" si="26"/>
        <v>1.8967816282604226</v>
      </c>
      <c r="R38" s="24">
        <v>100</v>
      </c>
      <c r="S38" s="24">
        <v>100</v>
      </c>
      <c r="T38" s="24">
        <v>6049</v>
      </c>
      <c r="U38" s="24">
        <v>169380753</v>
      </c>
      <c r="V38" s="24">
        <v>196062261</v>
      </c>
    </row>
    <row r="39" spans="1:22">
      <c r="A39" s="70">
        <v>32</v>
      </c>
      <c r="B39" s="17" t="s">
        <v>68</v>
      </c>
      <c r="C39" s="17" t="s">
        <v>67</v>
      </c>
      <c r="D39" s="24">
        <v>303130219.49000001</v>
      </c>
      <c r="E39" s="24">
        <v>7605139.9000000004</v>
      </c>
      <c r="F39" s="24">
        <v>0</v>
      </c>
      <c r="G39" s="24">
        <v>632859.47</v>
      </c>
      <c r="H39" s="18">
        <f t="shared" si="15"/>
        <v>6972280.4300000006</v>
      </c>
      <c r="I39" s="85">
        <v>448388096.47000003</v>
      </c>
      <c r="J39" s="19">
        <f t="shared" si="16"/>
        <v>3.1795941500060006E-4</v>
      </c>
      <c r="K39" s="24">
        <v>443864819.12</v>
      </c>
      <c r="L39" s="19">
        <f t="shared" si="17"/>
        <v>2.9384800430462695E-4</v>
      </c>
      <c r="M39" s="19">
        <f t="shared" si="18"/>
        <v>-1.0087862246143858E-2</v>
      </c>
      <c r="N39" s="20">
        <f t="shared" si="23"/>
        <v>1.4257932657395511E-3</v>
      </c>
      <c r="O39" s="21">
        <f t="shared" si="24"/>
        <v>1.5708116817690448E-2</v>
      </c>
      <c r="P39" s="22">
        <f t="shared" si="25"/>
        <v>999695.53855855856</v>
      </c>
      <c r="Q39" s="22">
        <f t="shared" si="26"/>
        <v>15703.334301801804</v>
      </c>
      <c r="R39" s="24">
        <v>1000000</v>
      </c>
      <c r="S39" s="24">
        <v>1000000</v>
      </c>
      <c r="T39" s="24">
        <v>21</v>
      </c>
      <c r="U39" s="24">
        <v>448</v>
      </c>
      <c r="V39" s="24">
        <v>444</v>
      </c>
    </row>
    <row r="40" spans="1:22">
      <c r="A40" s="70">
        <v>33</v>
      </c>
      <c r="B40" s="25" t="s">
        <v>69</v>
      </c>
      <c r="C40" s="25" t="s">
        <v>70</v>
      </c>
      <c r="D40" s="46">
        <v>3930466611.77</v>
      </c>
      <c r="E40" s="46">
        <v>75913580.489999995</v>
      </c>
      <c r="F40" s="46">
        <v>0</v>
      </c>
      <c r="G40" s="50">
        <v>6448505.6399999997</v>
      </c>
      <c r="H40" s="18">
        <f t="shared" si="15"/>
        <v>69465074.849999994</v>
      </c>
      <c r="I40" s="90">
        <v>3878690437.1799998</v>
      </c>
      <c r="J40" s="19">
        <f t="shared" si="16"/>
        <v>2.7504435378263607E-3</v>
      </c>
      <c r="K40" s="50">
        <v>3803588441.1700001</v>
      </c>
      <c r="L40" s="19">
        <f t="shared" si="17"/>
        <v>2.5180569049149727E-3</v>
      </c>
      <c r="M40" s="19">
        <f t="shared" si="18"/>
        <v>-1.936271977007854E-2</v>
      </c>
      <c r="N40" s="20">
        <f t="shared" si="23"/>
        <v>1.6953741814444078E-3</v>
      </c>
      <c r="O40" s="21">
        <f t="shared" si="24"/>
        <v>1.8263036583587956E-2</v>
      </c>
      <c r="P40" s="22">
        <f t="shared" si="25"/>
        <v>1.0240199936466532</v>
      </c>
      <c r="Q40" s="22">
        <f t="shared" si="26"/>
        <v>1.8701714606294332E-2</v>
      </c>
      <c r="R40" s="24">
        <v>1</v>
      </c>
      <c r="S40" s="24">
        <v>1</v>
      </c>
      <c r="T40" s="51">
        <v>647</v>
      </c>
      <c r="U40" s="46">
        <v>3892998999.3200002</v>
      </c>
      <c r="V40" s="46">
        <v>3714369313.8499999</v>
      </c>
    </row>
    <row r="41" spans="1:22" ht="12.75" customHeight="1">
      <c r="A41" s="70">
        <v>34</v>
      </c>
      <c r="B41" s="17" t="s">
        <v>71</v>
      </c>
      <c r="C41" s="17" t="s">
        <v>72</v>
      </c>
      <c r="D41" s="53">
        <v>514839350.02999997</v>
      </c>
      <c r="E41" s="46">
        <v>4816378.5999999996</v>
      </c>
      <c r="F41" s="53"/>
      <c r="G41" s="53">
        <v>962950.36</v>
      </c>
      <c r="H41" s="18">
        <f t="shared" si="15"/>
        <v>3853428.2399999998</v>
      </c>
      <c r="I41" s="79">
        <v>570875349.5</v>
      </c>
      <c r="J41" s="19">
        <f t="shared" si="16"/>
        <v>4.0481715191435194E-4</v>
      </c>
      <c r="K41" s="37">
        <v>570875349.5</v>
      </c>
      <c r="L41" s="19">
        <f t="shared" si="17"/>
        <v>3.7793169210810918E-4</v>
      </c>
      <c r="M41" s="19">
        <f t="shared" si="18"/>
        <v>0</v>
      </c>
      <c r="N41" s="20">
        <f t="shared" si="23"/>
        <v>1.6867961821147087E-3</v>
      </c>
      <c r="O41" s="21">
        <f t="shared" si="24"/>
        <v>6.7500343873229361E-3</v>
      </c>
      <c r="P41" s="22">
        <f t="shared" si="25"/>
        <v>1.0290063612507756</v>
      </c>
      <c r="Q41" s="22">
        <f t="shared" si="26"/>
        <v>6.9458283232167826E-3</v>
      </c>
      <c r="R41" s="24">
        <v>1</v>
      </c>
      <c r="S41" s="24">
        <v>1</v>
      </c>
      <c r="T41" s="24">
        <v>701</v>
      </c>
      <c r="U41" s="46">
        <v>560813791.63</v>
      </c>
      <c r="V41" s="46">
        <v>554783110.19000006</v>
      </c>
    </row>
    <row r="42" spans="1:22">
      <c r="A42" s="70">
        <v>35</v>
      </c>
      <c r="B42" s="17" t="s">
        <v>73</v>
      </c>
      <c r="C42" s="17" t="s">
        <v>74</v>
      </c>
      <c r="D42" s="46">
        <v>339770869452.26001</v>
      </c>
      <c r="E42" s="46">
        <v>6190514969.3699999</v>
      </c>
      <c r="F42" s="46"/>
      <c r="G42" s="46">
        <v>460767260.13999999</v>
      </c>
      <c r="H42" s="18">
        <f t="shared" si="15"/>
        <v>5729747709.2299995</v>
      </c>
      <c r="I42" s="78">
        <v>310349726595.46997</v>
      </c>
      <c r="J42" s="19">
        <f t="shared" si="16"/>
        <v>0.2200741239358347</v>
      </c>
      <c r="K42" s="46">
        <v>333466218891.67999</v>
      </c>
      <c r="L42" s="19">
        <f t="shared" si="17"/>
        <v>0.22076176958246074</v>
      </c>
      <c r="M42" s="19">
        <f t="shared" si="18"/>
        <v>7.4485299374346031E-2</v>
      </c>
      <c r="N42" s="20">
        <f t="shared" si="23"/>
        <v>1.3817509361860466E-3</v>
      </c>
      <c r="O42" s="21">
        <f t="shared" si="24"/>
        <v>1.7182393251926956E-2</v>
      </c>
      <c r="P42" s="22">
        <f t="shared" si="25"/>
        <v>100.06010809753442</v>
      </c>
      <c r="Q42" s="22">
        <f t="shared" si="26"/>
        <v>1.7192721261621573</v>
      </c>
      <c r="R42" s="24">
        <v>100</v>
      </c>
      <c r="S42" s="24">
        <v>100</v>
      </c>
      <c r="T42" s="51">
        <v>29221</v>
      </c>
      <c r="U42" s="46">
        <v>3101556534</v>
      </c>
      <c r="V42" s="46">
        <v>3332658991</v>
      </c>
    </row>
    <row r="43" spans="1:22" ht="13.2" customHeight="1">
      <c r="A43" s="70">
        <v>36</v>
      </c>
      <c r="B43" s="17" t="s">
        <v>75</v>
      </c>
      <c r="C43" s="17" t="s">
        <v>76</v>
      </c>
      <c r="D43" s="24">
        <v>785606841.55999994</v>
      </c>
      <c r="E43" s="24">
        <v>13516617</v>
      </c>
      <c r="F43" s="24">
        <v>0</v>
      </c>
      <c r="G43" s="24">
        <v>2251769.2400000002</v>
      </c>
      <c r="H43" s="18">
        <f t="shared" si="15"/>
        <v>11264847.76</v>
      </c>
      <c r="I43" s="11">
        <v>827162515.73000002</v>
      </c>
      <c r="J43" s="19">
        <f t="shared" si="16"/>
        <v>5.8655462016604198E-4</v>
      </c>
      <c r="K43" s="24">
        <v>764133710.04999995</v>
      </c>
      <c r="L43" s="19">
        <f t="shared" si="17"/>
        <v>5.0587286049219007E-4</v>
      </c>
      <c r="M43" s="19">
        <f t="shared" si="18"/>
        <v>-7.6198817622163323E-2</v>
      </c>
      <c r="N43" s="20">
        <f t="shared" si="23"/>
        <v>2.9468262038232274E-3</v>
      </c>
      <c r="O43" s="21">
        <f t="shared" si="24"/>
        <v>1.4741985089576668E-2</v>
      </c>
      <c r="P43" s="22">
        <f t="shared" si="25"/>
        <v>9.8605390808341546</v>
      </c>
      <c r="Q43" s="22">
        <f t="shared" si="26"/>
        <v>0.14536392010484511</v>
      </c>
      <c r="R43" s="24">
        <v>10</v>
      </c>
      <c r="S43" s="24">
        <v>10</v>
      </c>
      <c r="T43" s="24">
        <v>393</v>
      </c>
      <c r="U43" s="24">
        <v>83557480</v>
      </c>
      <c r="V43" s="24">
        <v>77494111</v>
      </c>
    </row>
    <row r="44" spans="1:22">
      <c r="A44" s="70">
        <v>37</v>
      </c>
      <c r="B44" s="17" t="s">
        <v>77</v>
      </c>
      <c r="C44" s="17" t="s">
        <v>78</v>
      </c>
      <c r="D44" s="24">
        <v>1806512581.3499999</v>
      </c>
      <c r="E44" s="24">
        <v>59062269.890000001</v>
      </c>
      <c r="F44" s="24"/>
      <c r="G44" s="24">
        <v>8395664.7799999993</v>
      </c>
      <c r="H44" s="18">
        <f t="shared" si="15"/>
        <v>50666605.109999999</v>
      </c>
      <c r="I44" s="11">
        <v>4119809512.71</v>
      </c>
      <c r="J44" s="19">
        <f t="shared" si="16"/>
        <v>2.92142506210091E-3</v>
      </c>
      <c r="K44" s="24">
        <v>4477136409.7200003</v>
      </c>
      <c r="L44" s="19">
        <f t="shared" si="17"/>
        <v>2.9639600669503149E-3</v>
      </c>
      <c r="M44" s="19">
        <f t="shared" si="18"/>
        <v>8.673383949127092E-2</v>
      </c>
      <c r="N44" s="20">
        <f t="shared" si="23"/>
        <v>1.875230953824135E-3</v>
      </c>
      <c r="O44" s="21">
        <f t="shared" si="24"/>
        <v>1.1316743666777998E-2</v>
      </c>
      <c r="P44" s="22">
        <f t="shared" si="25"/>
        <v>100.2262714249794</v>
      </c>
      <c r="Q44" s="22">
        <f t="shared" si="26"/>
        <v>1.1342350223934083</v>
      </c>
      <c r="R44" s="24">
        <v>100</v>
      </c>
      <c r="S44" s="24">
        <v>100</v>
      </c>
      <c r="T44" s="24">
        <v>777</v>
      </c>
      <c r="U44" s="46">
        <v>40817409</v>
      </c>
      <c r="V44" s="46">
        <v>44670288</v>
      </c>
    </row>
    <row r="45" spans="1:22">
      <c r="A45" s="70">
        <v>38</v>
      </c>
      <c r="B45" s="17" t="s">
        <v>266</v>
      </c>
      <c r="C45" s="17" t="s">
        <v>230</v>
      </c>
      <c r="D45" s="24">
        <v>57333000</v>
      </c>
      <c r="E45" s="24">
        <v>2403157.21</v>
      </c>
      <c r="F45" s="24">
        <v>0</v>
      </c>
      <c r="G45" s="24">
        <v>63093.66</v>
      </c>
      <c r="H45" s="18">
        <f t="shared" si="15"/>
        <v>2340063.5499999998</v>
      </c>
      <c r="I45" s="11">
        <v>53882793.149999999</v>
      </c>
      <c r="J45" s="19">
        <f t="shared" si="16"/>
        <v>3.8209179778523875E-5</v>
      </c>
      <c r="K45" s="24">
        <v>60582480.329999998</v>
      </c>
      <c r="L45" s="19">
        <f t="shared" si="17"/>
        <v>4.0106897807510145E-5</v>
      </c>
      <c r="M45" s="19">
        <f t="shared" si="18"/>
        <v>0.12433815673492049</v>
      </c>
      <c r="N45" s="20">
        <f t="shared" si="23"/>
        <v>1.0414505919256081E-3</v>
      </c>
      <c r="O45" s="21">
        <f t="shared" si="24"/>
        <v>3.8626076998719672E-2</v>
      </c>
      <c r="P45" s="22">
        <f t="shared" si="25"/>
        <v>1.0140901255535462</v>
      </c>
      <c r="Q45" s="22">
        <f t="shared" si="26"/>
        <v>3.9170323273272571E-2</v>
      </c>
      <c r="R45" s="24">
        <v>1</v>
      </c>
      <c r="S45" s="24">
        <v>1</v>
      </c>
      <c r="T45" s="24">
        <v>38</v>
      </c>
      <c r="U45" s="46">
        <v>52850000</v>
      </c>
      <c r="V45" s="46">
        <v>59740726</v>
      </c>
    </row>
    <row r="46" spans="1:22">
      <c r="A46" s="70">
        <v>39</v>
      </c>
      <c r="B46" s="25" t="s">
        <v>79</v>
      </c>
      <c r="C46" s="25" t="s">
        <v>35</v>
      </c>
      <c r="D46" s="46">
        <v>39737186761.139999</v>
      </c>
      <c r="E46" s="46">
        <v>631499045.28999996</v>
      </c>
      <c r="F46" s="46"/>
      <c r="G46" s="46">
        <v>41534562.890000001</v>
      </c>
      <c r="H46" s="18">
        <f t="shared" si="15"/>
        <v>589964482.39999998</v>
      </c>
      <c r="I46" s="78">
        <v>37984538469.190002</v>
      </c>
      <c r="J46" s="19">
        <f t="shared" si="16"/>
        <v>2.6935464446566779E-2</v>
      </c>
      <c r="K46" s="46">
        <v>37984538469.190002</v>
      </c>
      <c r="L46" s="19">
        <f t="shared" si="17"/>
        <v>2.5146576936943998E-2</v>
      </c>
      <c r="M46" s="19">
        <f t="shared" si="18"/>
        <v>0</v>
      </c>
      <c r="N46" s="20">
        <f t="shared" si="23"/>
        <v>1.0934597223996678E-3</v>
      </c>
      <c r="O46" s="21">
        <f t="shared" si="24"/>
        <v>1.5531700691283418E-2</v>
      </c>
      <c r="P46" s="22">
        <f t="shared" si="25"/>
        <v>100.00000000050021</v>
      </c>
      <c r="Q46" s="22">
        <f t="shared" si="26"/>
        <v>1.553170069136111</v>
      </c>
      <c r="R46" s="24">
        <v>100</v>
      </c>
      <c r="S46" s="24">
        <v>100</v>
      </c>
      <c r="T46" s="24">
        <v>12366</v>
      </c>
      <c r="U46" s="46">
        <v>349174600</v>
      </c>
      <c r="V46" s="46">
        <v>379845384.69</v>
      </c>
    </row>
    <row r="47" spans="1:22">
      <c r="A47" s="70">
        <v>40</v>
      </c>
      <c r="B47" s="17" t="s">
        <v>80</v>
      </c>
      <c r="C47" s="17" t="s">
        <v>37</v>
      </c>
      <c r="D47" s="24">
        <v>6626450104.71</v>
      </c>
      <c r="E47" s="24">
        <v>123436464.89</v>
      </c>
      <c r="F47" s="24">
        <v>0</v>
      </c>
      <c r="G47" s="24">
        <v>10777550.869999999</v>
      </c>
      <c r="H47" s="18">
        <f t="shared" si="15"/>
        <v>112658914.02</v>
      </c>
      <c r="I47" s="11">
        <v>5685171116.46</v>
      </c>
      <c r="J47" s="19">
        <f t="shared" si="16"/>
        <v>4.0314488644969488E-3</v>
      </c>
      <c r="K47" s="24">
        <v>6602774768.6800003</v>
      </c>
      <c r="L47" s="19">
        <f t="shared" si="17"/>
        <v>4.3711781269265707E-3</v>
      </c>
      <c r="M47" s="19">
        <f t="shared" si="18"/>
        <v>0.16140299621999185</v>
      </c>
      <c r="N47" s="20">
        <f t="shared" si="23"/>
        <v>1.6322760123702665E-3</v>
      </c>
      <c r="O47" s="21">
        <f t="shared" si="24"/>
        <v>1.7062359078851678E-2</v>
      </c>
      <c r="P47" s="22">
        <f t="shared" si="25"/>
        <v>0.99976105950666705</v>
      </c>
      <c r="Q47" s="22">
        <f t="shared" si="26"/>
        <v>1.7058282190355954E-2</v>
      </c>
      <c r="R47" s="24">
        <v>1</v>
      </c>
      <c r="S47" s="24">
        <v>1</v>
      </c>
      <c r="T47" s="24">
        <v>1104</v>
      </c>
      <c r="U47" s="24">
        <v>5685349478</v>
      </c>
      <c r="V47" s="24">
        <v>6604352816</v>
      </c>
    </row>
    <row r="48" spans="1:22">
      <c r="A48" s="70">
        <v>41</v>
      </c>
      <c r="B48" s="17" t="s">
        <v>81</v>
      </c>
      <c r="C48" s="17" t="s">
        <v>39</v>
      </c>
      <c r="D48" s="24">
        <v>14524440874.120001</v>
      </c>
      <c r="E48" s="24">
        <v>399694770.54000002</v>
      </c>
      <c r="F48" s="24">
        <v>0</v>
      </c>
      <c r="G48" s="24">
        <v>17622517.989999998</v>
      </c>
      <c r="H48" s="18">
        <f t="shared" si="15"/>
        <v>382072252.55000001</v>
      </c>
      <c r="I48" s="89">
        <v>12762913129.17</v>
      </c>
      <c r="J48" s="19">
        <f t="shared" si="16"/>
        <v>9.0503927829535553E-3</v>
      </c>
      <c r="K48" s="46">
        <v>14607742274.43</v>
      </c>
      <c r="L48" s="19">
        <f t="shared" si="17"/>
        <v>9.6706378379970478E-3</v>
      </c>
      <c r="M48" s="19">
        <f t="shared" si="18"/>
        <v>0.14454608650775747</v>
      </c>
      <c r="N48" s="20">
        <f t="shared" si="23"/>
        <v>1.2063820444619417E-3</v>
      </c>
      <c r="O48" s="21">
        <f t="shared" si="24"/>
        <v>2.6155462313898786E-2</v>
      </c>
      <c r="P48" s="22">
        <f t="shared" si="25"/>
        <v>10.086678141242803</v>
      </c>
      <c r="Q48" s="22">
        <f t="shared" si="26"/>
        <v>0.2638217299957028</v>
      </c>
      <c r="R48" s="24">
        <v>10</v>
      </c>
      <c r="S48" s="24">
        <v>10</v>
      </c>
      <c r="T48" s="24">
        <v>2871</v>
      </c>
      <c r="U48" s="24">
        <v>1203885802.24</v>
      </c>
      <c r="V48" s="24">
        <v>1448221314.28</v>
      </c>
    </row>
    <row r="49" spans="1:23" ht="14.1" customHeight="1">
      <c r="A49" s="70">
        <v>42</v>
      </c>
      <c r="B49" s="17" t="s">
        <v>82</v>
      </c>
      <c r="C49" s="17" t="s">
        <v>83</v>
      </c>
      <c r="D49" s="24">
        <v>5259649892.8199997</v>
      </c>
      <c r="E49" s="24">
        <v>180449170.34999999</v>
      </c>
      <c r="F49" s="24"/>
      <c r="G49" s="24">
        <v>12364790.84</v>
      </c>
      <c r="H49" s="18">
        <f t="shared" si="15"/>
        <v>168084379.50999999</v>
      </c>
      <c r="I49" s="91">
        <v>8579626777</v>
      </c>
      <c r="J49" s="19">
        <f t="shared" si="16"/>
        <v>6.0839552441618447E-3</v>
      </c>
      <c r="K49" s="115">
        <v>10191118405</v>
      </c>
      <c r="L49" s="19">
        <f t="shared" si="17"/>
        <v>6.7467383670517809E-3</v>
      </c>
      <c r="M49" s="19">
        <f t="shared" si="18"/>
        <v>0.18782770741497024</v>
      </c>
      <c r="N49" s="20">
        <f t="shared" si="23"/>
        <v>1.2132908625547463E-3</v>
      </c>
      <c r="O49" s="21">
        <f t="shared" si="24"/>
        <v>1.6493222120501895E-2</v>
      </c>
      <c r="P49" s="22">
        <f t="shared" si="25"/>
        <v>100.00000004906232</v>
      </c>
      <c r="Q49" s="22">
        <f t="shared" si="26"/>
        <v>1.6493222128593854</v>
      </c>
      <c r="R49" s="24">
        <v>100</v>
      </c>
      <c r="S49" s="24">
        <v>100</v>
      </c>
      <c r="T49" s="24">
        <v>2969</v>
      </c>
      <c r="U49" s="46">
        <v>86003815</v>
      </c>
      <c r="V49" s="46">
        <v>101911184</v>
      </c>
    </row>
    <row r="50" spans="1:23">
      <c r="A50" s="70">
        <v>43</v>
      </c>
      <c r="B50" s="17" t="s">
        <v>84</v>
      </c>
      <c r="C50" s="25" t="s">
        <v>85</v>
      </c>
      <c r="D50" s="24">
        <v>200784620.78</v>
      </c>
      <c r="E50" s="24">
        <v>2965947.71</v>
      </c>
      <c r="F50" s="24"/>
      <c r="G50" s="24">
        <v>2740760.64</v>
      </c>
      <c r="H50" s="18">
        <f t="shared" si="15"/>
        <v>225187.06999999983</v>
      </c>
      <c r="I50" s="84">
        <v>174384682.33000001</v>
      </c>
      <c r="J50" s="19">
        <f t="shared" si="16"/>
        <v>1.2365906235073759E-4</v>
      </c>
      <c r="K50" s="46">
        <v>188951561.28999999</v>
      </c>
      <c r="L50" s="19">
        <f t="shared" si="17"/>
        <v>1.2508997515367197E-4</v>
      </c>
      <c r="M50" s="19">
        <f t="shared" si="18"/>
        <v>8.353301887165801E-2</v>
      </c>
      <c r="N50" s="20">
        <f t="shared" si="23"/>
        <v>1.4505096551139487E-2</v>
      </c>
      <c r="O50" s="21">
        <f t="shared" si="24"/>
        <v>1.1917714173019513E-3</v>
      </c>
      <c r="P50" s="22">
        <f t="shared" si="25"/>
        <v>0.99513045947192602</v>
      </c>
      <c r="Q50" s="22">
        <f t="shared" si="26"/>
        <v>1.1859680380851994E-3</v>
      </c>
      <c r="R50" s="24">
        <v>1</v>
      </c>
      <c r="S50" s="24">
        <v>1</v>
      </c>
      <c r="T50" s="24">
        <v>79</v>
      </c>
      <c r="U50" s="24">
        <v>181920886</v>
      </c>
      <c r="V50" s="46">
        <v>189876171</v>
      </c>
    </row>
    <row r="51" spans="1:23" ht="15" customHeight="1">
      <c r="A51" s="70">
        <v>44</v>
      </c>
      <c r="B51" s="25" t="s">
        <v>86</v>
      </c>
      <c r="C51" s="25" t="s">
        <v>41</v>
      </c>
      <c r="D51" s="24">
        <v>1070493153.8200001</v>
      </c>
      <c r="E51" s="24">
        <v>39139005.100000001</v>
      </c>
      <c r="F51" s="24">
        <v>0</v>
      </c>
      <c r="G51" s="24">
        <v>1045581.89</v>
      </c>
      <c r="H51" s="18">
        <f t="shared" si="15"/>
        <v>38093423.210000001</v>
      </c>
      <c r="I51" s="11">
        <v>791760107.88999999</v>
      </c>
      <c r="J51" s="19">
        <f t="shared" si="16"/>
        <v>5.6145018725393362E-4</v>
      </c>
      <c r="K51" s="24">
        <v>1082114790.74</v>
      </c>
      <c r="L51" s="19">
        <f t="shared" si="17"/>
        <v>7.163831373657529E-4</v>
      </c>
      <c r="M51" s="19">
        <f t="shared" si="18"/>
        <v>0.36672052551849366</v>
      </c>
      <c r="N51" s="20">
        <f t="shared" si="23"/>
        <v>9.6623934812404037E-4</v>
      </c>
      <c r="O51" s="21">
        <f t="shared" si="24"/>
        <v>3.5202756247283119E-2</v>
      </c>
      <c r="P51" s="22">
        <f t="shared" si="25"/>
        <v>13.543562140650879</v>
      </c>
      <c r="Q51" s="22">
        <f t="shared" si="26"/>
        <v>0.47677071675726485</v>
      </c>
      <c r="R51" s="24">
        <v>10</v>
      </c>
      <c r="S51" s="24">
        <v>10</v>
      </c>
      <c r="T51" s="24">
        <v>736</v>
      </c>
      <c r="U51" s="24">
        <v>76179010.599999994</v>
      </c>
      <c r="V51" s="24">
        <v>79898831.599999994</v>
      </c>
    </row>
    <row r="52" spans="1:23" ht="15" customHeight="1">
      <c r="A52" s="70">
        <v>45</v>
      </c>
      <c r="B52" s="24" t="s">
        <v>221</v>
      </c>
      <c r="C52" s="24" t="s">
        <v>222</v>
      </c>
      <c r="D52" s="24">
        <v>259203498.38999999</v>
      </c>
      <c r="E52" s="24">
        <v>10661002.369999999</v>
      </c>
      <c r="F52" s="24">
        <v>0</v>
      </c>
      <c r="G52" s="24">
        <v>1672392.82</v>
      </c>
      <c r="H52" s="18">
        <f t="shared" si="15"/>
        <v>8988609.5499999989</v>
      </c>
      <c r="I52" s="11">
        <v>685706365.14999998</v>
      </c>
      <c r="J52" s="19">
        <f t="shared" si="16"/>
        <v>4.8624572427709214E-4</v>
      </c>
      <c r="K52" s="24">
        <v>715097230.41999996</v>
      </c>
      <c r="L52" s="19">
        <f t="shared" si="17"/>
        <v>4.734096621112785E-4</v>
      </c>
      <c r="M52" s="19">
        <f t="shared" si="18"/>
        <v>4.2862173612127193E-2</v>
      </c>
      <c r="N52" s="20">
        <f t="shared" si="23"/>
        <v>2.3386929061629132E-3</v>
      </c>
      <c r="O52" s="21">
        <f t="shared" si="24"/>
        <v>1.2569772567460086E-2</v>
      </c>
      <c r="P52" s="22">
        <f t="shared" si="25"/>
        <v>1.000007086387269</v>
      </c>
      <c r="Q52" s="22">
        <f t="shared" si="26"/>
        <v>1.2569861641736379E-2</v>
      </c>
      <c r="R52" s="24">
        <v>1</v>
      </c>
      <c r="S52" s="24">
        <v>1</v>
      </c>
      <c r="T52" s="24">
        <v>65</v>
      </c>
      <c r="U52" s="24">
        <v>685706320</v>
      </c>
      <c r="V52" s="24">
        <v>715092163</v>
      </c>
    </row>
    <row r="53" spans="1:23" ht="15" customHeight="1">
      <c r="A53" s="70">
        <v>46</v>
      </c>
      <c r="B53" s="27" t="s">
        <v>223</v>
      </c>
      <c r="C53" s="65" t="s">
        <v>224</v>
      </c>
      <c r="D53" s="24">
        <v>5270940614.0600004</v>
      </c>
      <c r="E53" s="24">
        <v>89286039.599999994</v>
      </c>
      <c r="F53" s="24">
        <v>0</v>
      </c>
      <c r="G53" s="24">
        <v>6867940.9500000002</v>
      </c>
      <c r="H53" s="18">
        <f t="shared" si="15"/>
        <v>82418098.649999991</v>
      </c>
      <c r="I53" s="11">
        <v>4026776813.4899998</v>
      </c>
      <c r="J53" s="19">
        <f t="shared" si="16"/>
        <v>2.8554540364363222E-3</v>
      </c>
      <c r="K53" s="24">
        <v>5237120159.8999996</v>
      </c>
      <c r="L53" s="19">
        <f t="shared" si="17"/>
        <v>3.4670855652429921E-3</v>
      </c>
      <c r="M53" s="19">
        <f t="shared" si="18"/>
        <v>0.30057373489269634</v>
      </c>
      <c r="N53" s="20">
        <f t="shared" si="23"/>
        <v>1.3113964813309038E-3</v>
      </c>
      <c r="O53" s="21">
        <f t="shared" si="24"/>
        <v>1.5737293805298851E-2</v>
      </c>
      <c r="P53" s="22">
        <f t="shared" si="25"/>
        <v>108.13165964104054</v>
      </c>
      <c r="Q53" s="22">
        <f t="shared" si="26"/>
        <v>1.7016996974256311</v>
      </c>
      <c r="R53" s="24">
        <v>100</v>
      </c>
      <c r="S53" s="24">
        <v>100</v>
      </c>
      <c r="T53" s="24">
        <v>74</v>
      </c>
      <c r="U53" s="24">
        <v>100000000</v>
      </c>
      <c r="V53" s="24">
        <v>48432810.310000002</v>
      </c>
    </row>
    <row r="54" spans="1:23" ht="15" customHeight="1">
      <c r="A54" s="70">
        <v>47</v>
      </c>
      <c r="B54" s="27" t="s">
        <v>225</v>
      </c>
      <c r="C54" s="65" t="s">
        <v>111</v>
      </c>
      <c r="D54" s="24">
        <v>50000000</v>
      </c>
      <c r="E54" s="24">
        <v>1004939.92</v>
      </c>
      <c r="F54" s="24">
        <v>0</v>
      </c>
      <c r="G54" s="24">
        <v>63284.42</v>
      </c>
      <c r="H54" s="18">
        <f t="shared" si="15"/>
        <v>941655.5</v>
      </c>
      <c r="I54" s="11">
        <v>54983976.490000002</v>
      </c>
      <c r="J54" s="19">
        <f t="shared" si="16"/>
        <v>3.8990047097150911E-5</v>
      </c>
      <c r="K54" s="24">
        <v>56042654.460000001</v>
      </c>
      <c r="L54" s="19">
        <f t="shared" si="17"/>
        <v>3.7101435976958172E-5</v>
      </c>
      <c r="M54" s="19">
        <f t="shared" si="18"/>
        <v>1.9254299844838282E-2</v>
      </c>
      <c r="N54" s="20">
        <f t="shared" si="23"/>
        <v>1.1292188175199436E-3</v>
      </c>
      <c r="O54" s="21">
        <f t="shared" si="24"/>
        <v>1.6802478559828016E-2</v>
      </c>
      <c r="P54" s="22">
        <f t="shared" si="25"/>
        <v>1103.115</v>
      </c>
      <c r="Q54" s="22">
        <f t="shared" si="26"/>
        <v>18.535066136524684</v>
      </c>
      <c r="R54" s="24">
        <v>1000</v>
      </c>
      <c r="S54" s="24">
        <v>1000</v>
      </c>
      <c r="T54" s="24">
        <v>24</v>
      </c>
      <c r="U54" s="24">
        <v>50704</v>
      </c>
      <c r="V54" s="24">
        <v>50804</v>
      </c>
    </row>
    <row r="55" spans="1:23">
      <c r="A55" s="70">
        <v>48</v>
      </c>
      <c r="B55" s="17" t="s">
        <v>87</v>
      </c>
      <c r="C55" s="17" t="s">
        <v>45</v>
      </c>
      <c r="D55" s="46">
        <v>693094731935.43005</v>
      </c>
      <c r="E55" s="46">
        <v>12654104082.139999</v>
      </c>
      <c r="F55" s="46"/>
      <c r="G55" s="46">
        <v>1117348572.5799999</v>
      </c>
      <c r="H55" s="18">
        <f t="shared" si="15"/>
        <v>11536755509.559999</v>
      </c>
      <c r="I55" s="78">
        <v>640116176597.77002</v>
      </c>
      <c r="J55" s="19">
        <f t="shared" si="16"/>
        <v>0.45391696756844041</v>
      </c>
      <c r="K55" s="46">
        <v>691866619416.87</v>
      </c>
      <c r="L55" s="19">
        <f t="shared" si="17"/>
        <v>0.45803050073601903</v>
      </c>
      <c r="M55" s="19">
        <f t="shared" si="18"/>
        <v>8.0845391369664468E-2</v>
      </c>
      <c r="N55" s="20">
        <f t="shared" si="23"/>
        <v>1.6149768484592325E-3</v>
      </c>
      <c r="O55" s="21">
        <f t="shared" si="24"/>
        <v>1.6674826022512246E-2</v>
      </c>
      <c r="P55" s="22">
        <f t="shared" si="25"/>
        <v>1</v>
      </c>
      <c r="Q55" s="22">
        <f t="shared" si="26"/>
        <v>1.6674826022512246E-2</v>
      </c>
      <c r="R55" s="24">
        <v>100</v>
      </c>
      <c r="S55" s="24">
        <v>100</v>
      </c>
      <c r="T55" s="46">
        <v>140808</v>
      </c>
      <c r="U55" s="46">
        <v>640116176597.77002</v>
      </c>
      <c r="V55" s="46">
        <v>691866619416.87</v>
      </c>
    </row>
    <row r="56" spans="1:23">
      <c r="A56" s="70">
        <v>49</v>
      </c>
      <c r="B56" s="17" t="s">
        <v>88</v>
      </c>
      <c r="C56" s="17" t="s">
        <v>89</v>
      </c>
      <c r="D56" s="51">
        <v>3911172797.4699998</v>
      </c>
      <c r="E56" s="51">
        <v>76070755.159999996</v>
      </c>
      <c r="F56" s="51">
        <v>0</v>
      </c>
      <c r="G56" s="51">
        <v>6090639.8499999996</v>
      </c>
      <c r="H56" s="18">
        <f t="shared" si="15"/>
        <v>69980115.310000002</v>
      </c>
      <c r="I56" s="85">
        <v>4247700918.54</v>
      </c>
      <c r="J56" s="19">
        <f t="shared" si="16"/>
        <v>3.0121149731432558E-3</v>
      </c>
      <c r="K56" s="24">
        <v>3897381824.8699999</v>
      </c>
      <c r="L56" s="19">
        <f t="shared" si="17"/>
        <v>2.5801501311180884E-3</v>
      </c>
      <c r="M56" s="19">
        <f t="shared" si="18"/>
        <v>-8.2472636465754312E-2</v>
      </c>
      <c r="N56" s="20">
        <f t="shared" si="23"/>
        <v>1.5627516429451091E-3</v>
      </c>
      <c r="O56" s="21">
        <f t="shared" si="24"/>
        <v>1.7955673437855743E-2</v>
      </c>
      <c r="P56" s="22">
        <f t="shared" si="25"/>
        <v>1.0186748362564293</v>
      </c>
      <c r="Q56" s="22">
        <f t="shared" si="26"/>
        <v>1.8290992699181618E-2</v>
      </c>
      <c r="R56" s="24">
        <v>1</v>
      </c>
      <c r="S56" s="24">
        <v>1</v>
      </c>
      <c r="T56" s="51">
        <v>374</v>
      </c>
      <c r="U56" s="51">
        <v>4076283016.9400001</v>
      </c>
      <c r="V56" s="46">
        <v>3825933149.77</v>
      </c>
    </row>
    <row r="57" spans="1:23">
      <c r="A57" s="70">
        <v>50</v>
      </c>
      <c r="B57" s="17" t="s">
        <v>90</v>
      </c>
      <c r="C57" s="17" t="s">
        <v>49</v>
      </c>
      <c r="D57" s="54">
        <v>18918758583</v>
      </c>
      <c r="E57" s="54">
        <v>1193665012</v>
      </c>
      <c r="F57" s="54"/>
      <c r="G57" s="54">
        <v>69469233</v>
      </c>
      <c r="H57" s="18">
        <f t="shared" si="15"/>
        <v>1124195779</v>
      </c>
      <c r="I57" s="87">
        <v>59907314809</v>
      </c>
      <c r="J57" s="19">
        <f t="shared" si="16"/>
        <v>4.2481267725181147E-2</v>
      </c>
      <c r="K57" s="52">
        <v>66848253090</v>
      </c>
      <c r="L57" s="19">
        <f t="shared" si="17"/>
        <v>4.4254973396385608E-2</v>
      </c>
      <c r="M57" s="19">
        <f t="shared" si="18"/>
        <v>0.11586128176716824</v>
      </c>
      <c r="N57" s="20">
        <f t="shared" si="23"/>
        <v>1.0392079043033673E-3</v>
      </c>
      <c r="O57" s="21">
        <f t="shared" si="24"/>
        <v>1.6817130247015703E-2</v>
      </c>
      <c r="P57" s="22">
        <f t="shared" si="25"/>
        <v>1.0060117942684388</v>
      </c>
      <c r="Q57" s="22">
        <f t="shared" si="26"/>
        <v>1.6918231374246299E-2</v>
      </c>
      <c r="R57" s="24">
        <v>1</v>
      </c>
      <c r="S57" s="24">
        <v>1</v>
      </c>
      <c r="T57" s="51">
        <v>9752</v>
      </c>
      <c r="U57" s="52">
        <v>58946448034.160004</v>
      </c>
      <c r="V57" s="52">
        <v>66448776715</v>
      </c>
    </row>
    <row r="58" spans="1:23">
      <c r="A58" s="70">
        <v>51</v>
      </c>
      <c r="B58" s="69" t="s">
        <v>91</v>
      </c>
      <c r="C58" s="17" t="s">
        <v>92</v>
      </c>
      <c r="D58" s="37">
        <v>646255317.86000001</v>
      </c>
      <c r="E58" s="37">
        <v>21299740.010000002</v>
      </c>
      <c r="F58" s="37"/>
      <c r="G58" s="37">
        <v>2114683.4700000002</v>
      </c>
      <c r="H58" s="18">
        <f t="shared" si="15"/>
        <v>19185056.540000003</v>
      </c>
      <c r="I58" s="78">
        <v>1298995118.4400001</v>
      </c>
      <c r="J58" s="19">
        <f t="shared" si="16"/>
        <v>9.2113892228504266E-4</v>
      </c>
      <c r="K58" s="46">
        <v>1153007443.5999999</v>
      </c>
      <c r="L58" s="19">
        <f t="shared" si="17"/>
        <v>7.633155899175731E-4</v>
      </c>
      <c r="M58" s="19">
        <f t="shared" si="18"/>
        <v>-0.11238508349078392</v>
      </c>
      <c r="N58" s="20">
        <f t="shared" si="23"/>
        <v>1.8340588187335449E-3</v>
      </c>
      <c r="O58" s="21">
        <f t="shared" si="24"/>
        <v>1.6639143698933188E-2</v>
      </c>
      <c r="P58" s="22">
        <f t="shared" si="25"/>
        <v>1.0307185572869788</v>
      </c>
      <c r="Q58" s="22">
        <f t="shared" si="26"/>
        <v>1.7150274187855141E-2</v>
      </c>
      <c r="R58" s="24">
        <v>1</v>
      </c>
      <c r="S58" s="24">
        <v>1</v>
      </c>
      <c r="T58" s="51">
        <v>130</v>
      </c>
      <c r="U58" s="46">
        <v>1276988763.72</v>
      </c>
      <c r="V58" s="46">
        <v>1118644304.45</v>
      </c>
    </row>
    <row r="59" spans="1:23">
      <c r="A59" s="70">
        <v>52</v>
      </c>
      <c r="B59" s="17" t="s">
        <v>93</v>
      </c>
      <c r="C59" s="17" t="s">
        <v>94</v>
      </c>
      <c r="D59" s="46">
        <v>2725874937.2399998</v>
      </c>
      <c r="E59" s="46">
        <v>45519776.700000003</v>
      </c>
      <c r="F59" s="46"/>
      <c r="G59" s="46">
        <v>4508855.34</v>
      </c>
      <c r="H59" s="18">
        <f t="shared" si="15"/>
        <v>41010921.359999999</v>
      </c>
      <c r="I59" s="78">
        <v>2583297479.48</v>
      </c>
      <c r="J59" s="19">
        <f t="shared" si="16"/>
        <v>1.8318589672974093E-3</v>
      </c>
      <c r="K59" s="46">
        <v>2725410179.98</v>
      </c>
      <c r="L59" s="19">
        <f t="shared" si="17"/>
        <v>1.8042798343117245E-3</v>
      </c>
      <c r="M59" s="19">
        <f t="shared" si="18"/>
        <v>5.5012131443958327E-2</v>
      </c>
      <c r="N59" s="20">
        <f t="shared" si="23"/>
        <v>1.6543767881695838E-3</v>
      </c>
      <c r="O59" s="21">
        <f t="shared" si="24"/>
        <v>1.5047614359575391E-2</v>
      </c>
      <c r="P59" s="22">
        <f t="shared" si="25"/>
        <v>1.0151057966496215</v>
      </c>
      <c r="Q59" s="22">
        <f t="shared" si="26"/>
        <v>1.5274920562153063E-2</v>
      </c>
      <c r="R59" s="24">
        <v>1</v>
      </c>
      <c r="S59" s="24">
        <v>1</v>
      </c>
      <c r="T59" s="24">
        <v>319</v>
      </c>
      <c r="U59" s="46">
        <v>2501101342.9699998</v>
      </c>
      <c r="V59" s="46">
        <v>2684853331.52</v>
      </c>
    </row>
    <row r="60" spans="1:23">
      <c r="A60" s="70">
        <v>53</v>
      </c>
      <c r="B60" s="17" t="s">
        <v>95</v>
      </c>
      <c r="C60" s="17" t="s">
        <v>96</v>
      </c>
      <c r="D60" s="24">
        <v>42678212368.480003</v>
      </c>
      <c r="E60" s="37">
        <v>770088604.89999998</v>
      </c>
      <c r="F60" s="37"/>
      <c r="G60" s="37">
        <v>48975455.579999998</v>
      </c>
      <c r="H60" s="18">
        <f t="shared" si="15"/>
        <v>721113149.31999993</v>
      </c>
      <c r="I60" s="79">
        <v>41042807682.790001</v>
      </c>
      <c r="J60" s="19">
        <f t="shared" si="16"/>
        <v>2.9104133725983434E-2</v>
      </c>
      <c r="K60" s="37">
        <v>43723834606.290001</v>
      </c>
      <c r="L60" s="19">
        <f t="shared" si="17"/>
        <v>2.8946113740387178E-2</v>
      </c>
      <c r="M60" s="19">
        <f t="shared" si="18"/>
        <v>6.5322697809102465E-2</v>
      </c>
      <c r="N60" s="20">
        <f t="shared" si="23"/>
        <v>1.1201088838844549E-3</v>
      </c>
      <c r="O60" s="21">
        <f t="shared" si="24"/>
        <v>1.6492449846022023E-2</v>
      </c>
      <c r="P60" s="22">
        <f t="shared" si="25"/>
        <v>1.0166594939367184</v>
      </c>
      <c r="Q60" s="22">
        <f t="shared" si="26"/>
        <v>1.6767205714233457E-2</v>
      </c>
      <c r="R60" s="24">
        <v>1</v>
      </c>
      <c r="S60" s="24">
        <v>1</v>
      </c>
      <c r="T60" s="24">
        <v>4094</v>
      </c>
      <c r="U60" s="46">
        <v>39217058693.949997</v>
      </c>
      <c r="V60" s="46">
        <v>43007353855.5</v>
      </c>
    </row>
    <row r="61" spans="1:23" ht="15" customHeight="1">
      <c r="A61" s="122" t="s">
        <v>50</v>
      </c>
      <c r="B61" s="122"/>
      <c r="C61" s="122"/>
      <c r="D61" s="122"/>
      <c r="E61" s="122"/>
      <c r="F61" s="122"/>
      <c r="G61" s="122"/>
      <c r="H61" s="122"/>
      <c r="I61" s="32">
        <f>SUM(I27:I60)</f>
        <v>1410205439172.6499</v>
      </c>
      <c r="J61" s="29">
        <f>(I61/$I$201)</f>
        <v>0.39883955319214115</v>
      </c>
      <c r="K61" s="32">
        <f>SUM(K27:K60)</f>
        <v>1510525212415.1006</v>
      </c>
      <c r="L61" s="29">
        <f>(K61/$K$201)</f>
        <v>0.40332350010890861</v>
      </c>
      <c r="M61" s="29">
        <f t="shared" si="18"/>
        <v>7.1138410373248209E-2</v>
      </c>
      <c r="N61" s="20"/>
      <c r="O61" s="20"/>
      <c r="P61" s="34"/>
      <c r="Q61" s="34"/>
      <c r="R61" s="32"/>
      <c r="S61" s="32"/>
      <c r="T61" s="32">
        <f>SUM(T27:T60)</f>
        <v>325263</v>
      </c>
      <c r="U61" s="32"/>
      <c r="V61" s="32"/>
    </row>
    <row r="62" spans="1:23" ht="6.9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0"/>
    </row>
    <row r="63" spans="1:23">
      <c r="A63" s="124" t="s">
        <v>97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</row>
    <row r="64" spans="1:23">
      <c r="A64" s="70">
        <v>54</v>
      </c>
      <c r="B64" s="17" t="s">
        <v>98</v>
      </c>
      <c r="C64" s="17" t="s">
        <v>23</v>
      </c>
      <c r="D64" s="24">
        <v>491657741.75999999</v>
      </c>
      <c r="E64" s="24">
        <v>7608595.8700000001</v>
      </c>
      <c r="F64" s="24"/>
      <c r="G64" s="24">
        <v>711356.46</v>
      </c>
      <c r="H64" s="18">
        <f t="shared" ref="H64:H79" si="27">(E64+F64)-G64</f>
        <v>6897239.4100000001</v>
      </c>
      <c r="I64" s="11">
        <v>498576187.87</v>
      </c>
      <c r="J64" s="19">
        <f t="shared" ref="J64:J97" si="28">(I64/$I$98)</f>
        <v>2.296444370446443E-3</v>
      </c>
      <c r="K64" s="24">
        <v>492394864.94</v>
      </c>
      <c r="L64" s="19">
        <f t="shared" ref="L64:L97" si="29">(K64/$K$98)</f>
        <v>2.3503940817953626E-3</v>
      </c>
      <c r="M64" s="19">
        <f t="shared" ref="M64:M98" si="30">((K64-I64)/I64)</f>
        <v>-1.2397950564802626E-2</v>
      </c>
      <c r="N64" s="20">
        <f t="shared" ref="N64" si="31">(G64/K64)</f>
        <v>1.4446869995012664E-3</v>
      </c>
      <c r="O64" s="21">
        <f t="shared" ref="O64" si="32">H64/K64</f>
        <v>1.4007537245215692E-2</v>
      </c>
      <c r="P64" s="22">
        <f t="shared" ref="P64" si="33">K64/V64</f>
        <v>1.2932490431503929</v>
      </c>
      <c r="Q64" s="22">
        <f t="shared" ref="Q64" si="34">H64/V64</f>
        <v>1.8115234139268684E-2</v>
      </c>
      <c r="R64" s="24">
        <v>1.28</v>
      </c>
      <c r="S64" s="24">
        <v>1.28</v>
      </c>
      <c r="T64" s="46">
        <v>360</v>
      </c>
      <c r="U64" s="24">
        <v>380644943.19999999</v>
      </c>
      <c r="V64" s="24">
        <v>380742493.13999999</v>
      </c>
    </row>
    <row r="65" spans="1:22" ht="12.9" customHeight="1">
      <c r="A65" s="70">
        <v>55</v>
      </c>
      <c r="B65" s="17" t="s">
        <v>212</v>
      </c>
      <c r="C65" s="25" t="s">
        <v>25</v>
      </c>
      <c r="D65" s="24">
        <v>1213176179.01</v>
      </c>
      <c r="E65" s="24">
        <v>18282439.899999999</v>
      </c>
      <c r="F65" s="24">
        <v>-9484878.7699999996</v>
      </c>
      <c r="G65" s="24">
        <v>3000247.22</v>
      </c>
      <c r="H65" s="18">
        <f t="shared" si="27"/>
        <v>5797313.9099999983</v>
      </c>
      <c r="I65" s="85">
        <v>1425281441</v>
      </c>
      <c r="J65" s="19">
        <f t="shared" si="28"/>
        <v>6.56485331854572E-3</v>
      </c>
      <c r="K65" s="24">
        <v>1426961557</v>
      </c>
      <c r="L65" s="19">
        <f t="shared" si="29"/>
        <v>6.8114479604310715E-3</v>
      </c>
      <c r="M65" s="19">
        <f t="shared" si="30"/>
        <v>1.1787959568330616E-3</v>
      </c>
      <c r="N65" s="20">
        <f t="shared" ref="N65:N97" si="35">(G65/K65)</f>
        <v>2.1025424303003841E-3</v>
      </c>
      <c r="O65" s="21">
        <f t="shared" ref="O65:O97" si="36">H65/K65</f>
        <v>4.062698032446012E-3</v>
      </c>
      <c r="P65" s="22">
        <f t="shared" ref="P65:P97" si="37">K65/V65</f>
        <v>1.2031549402069637</v>
      </c>
      <c r="Q65" s="22">
        <f t="shared" ref="Q65:Q97" si="38">H65/V65</f>
        <v>4.8880552083065305E-3</v>
      </c>
      <c r="R65" s="24">
        <v>1.2032</v>
      </c>
      <c r="S65" s="24">
        <v>1.2032</v>
      </c>
      <c r="T65" s="24">
        <v>765</v>
      </c>
      <c r="U65" s="46">
        <v>1189079064</v>
      </c>
      <c r="V65" s="46">
        <v>1186016455</v>
      </c>
    </row>
    <row r="66" spans="1:22" ht="15" customHeight="1">
      <c r="A66" s="70">
        <v>56</v>
      </c>
      <c r="B66" s="17" t="s">
        <v>99</v>
      </c>
      <c r="C66" s="17" t="s">
        <v>100</v>
      </c>
      <c r="D66" s="24">
        <v>755584901.02999997</v>
      </c>
      <c r="E66" s="24">
        <v>10195662.109999999</v>
      </c>
      <c r="F66" s="24">
        <v>0</v>
      </c>
      <c r="G66" s="24">
        <v>2217829.31</v>
      </c>
      <c r="H66" s="18">
        <f t="shared" si="27"/>
        <v>7977832.7999999989</v>
      </c>
      <c r="I66" s="85">
        <v>833220472</v>
      </c>
      <c r="J66" s="19">
        <f t="shared" si="28"/>
        <v>3.8378175869964413E-3</v>
      </c>
      <c r="K66" s="24">
        <v>834842638</v>
      </c>
      <c r="L66" s="19">
        <f t="shared" si="29"/>
        <v>3.9850318013059096E-3</v>
      </c>
      <c r="M66" s="19">
        <f t="shared" si="30"/>
        <v>1.9468628706472782E-3</v>
      </c>
      <c r="N66" s="20">
        <f t="shared" si="35"/>
        <v>2.6565836590631826E-3</v>
      </c>
      <c r="O66" s="21">
        <f t="shared" si="36"/>
        <v>9.5560916954507517E-3</v>
      </c>
      <c r="P66" s="22">
        <f t="shared" si="37"/>
        <v>1.0961908113373193</v>
      </c>
      <c r="Q66" s="22">
        <f t="shared" si="38"/>
        <v>1.047529990884998E-2</v>
      </c>
      <c r="R66" s="24">
        <v>1.0962000000000001</v>
      </c>
      <c r="S66" s="24">
        <v>1.0962000000000001</v>
      </c>
      <c r="T66" s="24">
        <v>196</v>
      </c>
      <c r="U66" s="24">
        <v>767425016</v>
      </c>
      <c r="V66" s="24">
        <v>761585145</v>
      </c>
    </row>
    <row r="67" spans="1:22">
      <c r="A67" s="70">
        <v>57</v>
      </c>
      <c r="B67" s="17" t="s">
        <v>101</v>
      </c>
      <c r="C67" s="25" t="s">
        <v>102</v>
      </c>
      <c r="D67" s="37">
        <v>226552685.16999999</v>
      </c>
      <c r="E67" s="37">
        <v>3886603</v>
      </c>
      <c r="F67" s="37"/>
      <c r="G67" s="37">
        <v>433243.68</v>
      </c>
      <c r="H67" s="18">
        <f t="shared" si="27"/>
        <v>3453359.32</v>
      </c>
      <c r="I67" s="79">
        <v>270368707.81</v>
      </c>
      <c r="J67" s="19">
        <f t="shared" si="28"/>
        <v>1.2453195962841394E-3</v>
      </c>
      <c r="K67" s="37">
        <v>267916689.84</v>
      </c>
      <c r="L67" s="19">
        <f t="shared" si="29"/>
        <v>1.2788715867109461E-3</v>
      </c>
      <c r="M67" s="19">
        <f t="shared" si="30"/>
        <v>-9.0691633283358358E-3</v>
      </c>
      <c r="N67" s="20">
        <f t="shared" si="35"/>
        <v>1.6170835801932809E-3</v>
      </c>
      <c r="O67" s="21">
        <f t="shared" si="36"/>
        <v>1.2889675973760156E-2</v>
      </c>
      <c r="P67" s="22">
        <f t="shared" si="37"/>
        <v>1081.7923356214164</v>
      </c>
      <c r="Q67" s="22">
        <f t="shared" si="38"/>
        <v>13.943952677057256</v>
      </c>
      <c r="R67" s="24">
        <v>1081.79</v>
      </c>
      <c r="S67" s="24">
        <v>1081.79</v>
      </c>
      <c r="T67" s="24">
        <v>111</v>
      </c>
      <c r="U67" s="24">
        <v>247800</v>
      </c>
      <c r="V67" s="24">
        <v>247660</v>
      </c>
    </row>
    <row r="68" spans="1:22">
      <c r="A68" s="70">
        <v>58</v>
      </c>
      <c r="B68" s="17" t="s">
        <v>103</v>
      </c>
      <c r="C68" s="25" t="s">
        <v>104</v>
      </c>
      <c r="D68" s="24">
        <v>1290439292.0699999</v>
      </c>
      <c r="E68" s="24">
        <v>21340012.640000001</v>
      </c>
      <c r="F68" s="24"/>
      <c r="G68" s="24">
        <v>2018728.15</v>
      </c>
      <c r="H68" s="18">
        <f t="shared" si="27"/>
        <v>19321284.490000002</v>
      </c>
      <c r="I68" s="11">
        <v>1595933233.1199999</v>
      </c>
      <c r="J68" s="19">
        <f t="shared" si="28"/>
        <v>7.3508763113300313E-3</v>
      </c>
      <c r="K68" s="24">
        <v>1297237253.6800001</v>
      </c>
      <c r="L68" s="19">
        <f t="shared" si="29"/>
        <v>6.1922229105810739E-3</v>
      </c>
      <c r="M68" s="19">
        <f t="shared" si="30"/>
        <v>-0.18716069898241197</v>
      </c>
      <c r="N68" s="20">
        <f t="shared" si="35"/>
        <v>1.5561749743720941E-3</v>
      </c>
      <c r="O68" s="21">
        <f t="shared" si="36"/>
        <v>1.4894179484276619E-2</v>
      </c>
      <c r="P68" s="22">
        <f t="shared" si="37"/>
        <v>1.0773912763128703</v>
      </c>
      <c r="Q68" s="22">
        <f t="shared" si="38"/>
        <v>1.6046859044197757E-2</v>
      </c>
      <c r="R68" s="18">
        <v>1.0773999999999999</v>
      </c>
      <c r="S68" s="46">
        <v>1.0773999999999999</v>
      </c>
      <c r="T68" s="24">
        <v>890</v>
      </c>
      <c r="U68" s="24">
        <v>1501556073.3800001</v>
      </c>
      <c r="V68" s="24">
        <v>1204053979.46</v>
      </c>
    </row>
    <row r="69" spans="1:22">
      <c r="A69" s="70">
        <v>59</v>
      </c>
      <c r="B69" s="17" t="s">
        <v>105</v>
      </c>
      <c r="C69" s="17" t="s">
        <v>106</v>
      </c>
      <c r="D69" s="24">
        <v>432342888.08999997</v>
      </c>
      <c r="E69" s="24">
        <v>5289538.7300000004</v>
      </c>
      <c r="F69" s="24">
        <v>0</v>
      </c>
      <c r="G69" s="24">
        <v>833009.53</v>
      </c>
      <c r="H69" s="18">
        <f t="shared" si="27"/>
        <v>4456529.2</v>
      </c>
      <c r="I69" s="85">
        <v>428338431.05000001</v>
      </c>
      <c r="J69" s="19">
        <f t="shared" si="28"/>
        <v>1.9729289175100255E-3</v>
      </c>
      <c r="K69" s="24">
        <v>428235306.38</v>
      </c>
      <c r="L69" s="19">
        <f t="shared" si="29"/>
        <v>2.0441353096848887E-3</v>
      </c>
      <c r="M69" s="19">
        <f t="shared" si="30"/>
        <v>-2.4075511914077802E-4</v>
      </c>
      <c r="N69" s="20">
        <f t="shared" si="35"/>
        <v>1.9452145061127177E-3</v>
      </c>
      <c r="O69" s="21">
        <f t="shared" si="36"/>
        <v>1.0406729976732565E-2</v>
      </c>
      <c r="P69" s="22">
        <f t="shared" si="37"/>
        <v>2.4710847827069951</v>
      </c>
      <c r="Q69" s="22">
        <f t="shared" si="38"/>
        <v>2.5715912083244561E-2</v>
      </c>
      <c r="R69" s="24">
        <v>2.4691000000000001</v>
      </c>
      <c r="S69" s="24">
        <v>2.4691000000000001</v>
      </c>
      <c r="T69" s="24">
        <v>1392</v>
      </c>
      <c r="U69" s="24">
        <v>175153986.97</v>
      </c>
      <c r="V69" s="24">
        <v>173298508.16</v>
      </c>
    </row>
    <row r="70" spans="1:22">
      <c r="A70" s="70">
        <v>60</v>
      </c>
      <c r="B70" s="27" t="s">
        <v>242</v>
      </c>
      <c r="C70" s="65" t="s">
        <v>218</v>
      </c>
      <c r="D70" s="46">
        <v>146374378.19</v>
      </c>
      <c r="E70" s="46">
        <v>6344145.1299999999</v>
      </c>
      <c r="F70" s="46">
        <v>0</v>
      </c>
      <c r="G70" s="46">
        <v>353224.1</v>
      </c>
      <c r="H70" s="18">
        <f t="shared" si="27"/>
        <v>5990921.0300000003</v>
      </c>
      <c r="I70" s="85">
        <v>136955490.84999999</v>
      </c>
      <c r="J70" s="19">
        <f t="shared" si="28"/>
        <v>6.3081766361095871E-4</v>
      </c>
      <c r="K70" s="46">
        <v>140052840.72</v>
      </c>
      <c r="L70" s="19">
        <f t="shared" si="29"/>
        <v>6.6852721546360608E-4</v>
      </c>
      <c r="M70" s="19">
        <f t="shared" si="30"/>
        <v>2.2615740710917286E-2</v>
      </c>
      <c r="N70" s="20">
        <f t="shared" si="35"/>
        <v>2.5220773686853068E-3</v>
      </c>
      <c r="O70" s="21">
        <f t="shared" si="36"/>
        <v>4.2776147911039675E-2</v>
      </c>
      <c r="P70" s="22">
        <f t="shared" si="37"/>
        <v>11.241808100459941</v>
      </c>
      <c r="Q70" s="22">
        <f t="shared" si="38"/>
        <v>0.48088124609279842</v>
      </c>
      <c r="R70" s="46">
        <v>11.22</v>
      </c>
      <c r="S70" s="46">
        <v>11.24</v>
      </c>
      <c r="T70" s="46">
        <v>29</v>
      </c>
      <c r="U70" s="46">
        <v>12458213.08</v>
      </c>
      <c r="V70" s="46">
        <v>12458213.08</v>
      </c>
    </row>
    <row r="71" spans="1:22">
      <c r="A71" s="70">
        <v>61</v>
      </c>
      <c r="B71" s="25" t="s">
        <v>107</v>
      </c>
      <c r="C71" s="17" t="s">
        <v>59</v>
      </c>
      <c r="D71" s="24">
        <v>2154592444.6700001</v>
      </c>
      <c r="E71" s="24">
        <v>19807004.559999999</v>
      </c>
      <c r="F71" s="24">
        <v>0</v>
      </c>
      <c r="G71" s="24">
        <v>3928849.43</v>
      </c>
      <c r="H71" s="18">
        <f t="shared" si="27"/>
        <v>15878155.129999999</v>
      </c>
      <c r="I71" s="11">
        <v>2115712473.6500001</v>
      </c>
      <c r="J71" s="19">
        <f t="shared" si="28"/>
        <v>9.7449820464825497E-3</v>
      </c>
      <c r="K71" s="24">
        <v>2128523324.26</v>
      </c>
      <c r="L71" s="19">
        <f t="shared" si="29"/>
        <v>1.0160277818725246E-2</v>
      </c>
      <c r="M71" s="19">
        <f t="shared" si="30"/>
        <v>6.0551000051055045E-3</v>
      </c>
      <c r="N71" s="20">
        <f t="shared" si="35"/>
        <v>1.8458099026779043E-3</v>
      </c>
      <c r="O71" s="21">
        <f t="shared" si="36"/>
        <v>7.459704551520562E-3</v>
      </c>
      <c r="P71" s="22">
        <f t="shared" si="37"/>
        <v>4318.5271880921864</v>
      </c>
      <c r="Q71" s="22">
        <f t="shared" si="38"/>
        <v>32.214936920876582</v>
      </c>
      <c r="R71" s="24">
        <v>4318.53</v>
      </c>
      <c r="S71" s="24">
        <v>4318.53</v>
      </c>
      <c r="T71" s="24">
        <v>1046</v>
      </c>
      <c r="U71" s="24">
        <v>493041.81</v>
      </c>
      <c r="V71" s="24">
        <v>492881.77</v>
      </c>
    </row>
    <row r="72" spans="1:22">
      <c r="A72" s="70">
        <v>62</v>
      </c>
      <c r="B72" s="17" t="s">
        <v>108</v>
      </c>
      <c r="C72" s="17" t="s">
        <v>61</v>
      </c>
      <c r="D72" s="24">
        <v>313407596.26999998</v>
      </c>
      <c r="E72" s="24">
        <v>4031806.48</v>
      </c>
      <c r="F72" s="24">
        <v>0</v>
      </c>
      <c r="G72" s="24">
        <v>726591.74</v>
      </c>
      <c r="H72" s="18">
        <f t="shared" si="27"/>
        <v>3305214.74</v>
      </c>
      <c r="I72" s="78">
        <v>345406862.36000001</v>
      </c>
      <c r="J72" s="19">
        <f t="shared" si="28"/>
        <v>1.5909457047455589E-3</v>
      </c>
      <c r="K72" s="46">
        <v>350228000.31</v>
      </c>
      <c r="L72" s="19">
        <f t="shared" si="29"/>
        <v>1.671775799912038E-3</v>
      </c>
      <c r="M72" s="19">
        <f t="shared" si="30"/>
        <v>1.3957852247229417E-2</v>
      </c>
      <c r="N72" s="20">
        <f t="shared" si="35"/>
        <v>2.0746249282092414E-3</v>
      </c>
      <c r="O72" s="21">
        <f t="shared" si="36"/>
        <v>9.437322935557494E-3</v>
      </c>
      <c r="P72" s="22">
        <f t="shared" si="37"/>
        <v>113.43417014089069</v>
      </c>
      <c r="Q72" s="22">
        <f t="shared" si="38"/>
        <v>1.0705148955465589</v>
      </c>
      <c r="R72" s="24">
        <v>112.68</v>
      </c>
      <c r="S72" s="24">
        <v>112.68</v>
      </c>
      <c r="T72" s="24">
        <v>133</v>
      </c>
      <c r="U72" s="24">
        <v>3075605</v>
      </c>
      <c r="V72" s="24">
        <v>3087500</v>
      </c>
    </row>
    <row r="73" spans="1:22">
      <c r="A73" s="70">
        <v>63</v>
      </c>
      <c r="B73" s="25" t="s">
        <v>109</v>
      </c>
      <c r="C73" s="25" t="s">
        <v>65</v>
      </c>
      <c r="D73" s="37">
        <v>327503229.25</v>
      </c>
      <c r="E73" s="46">
        <v>593902.77</v>
      </c>
      <c r="F73" s="46">
        <v>4290141.57</v>
      </c>
      <c r="G73" s="46">
        <v>736632.52</v>
      </c>
      <c r="H73" s="18">
        <f t="shared" si="27"/>
        <v>4147411.82</v>
      </c>
      <c r="I73" s="79">
        <v>340605620.95999998</v>
      </c>
      <c r="J73" s="19">
        <f t="shared" si="28"/>
        <v>1.5688311632723923E-3</v>
      </c>
      <c r="K73" s="37">
        <v>336228410.66000003</v>
      </c>
      <c r="L73" s="19">
        <f t="shared" si="29"/>
        <v>1.6049502600784067E-3</v>
      </c>
      <c r="M73" s="19">
        <f t="shared" si="30"/>
        <v>-1.2851256792717472E-2</v>
      </c>
      <c r="N73" s="20">
        <f t="shared" si="35"/>
        <v>2.1908693514448292E-3</v>
      </c>
      <c r="O73" s="21">
        <f t="shared" si="36"/>
        <v>1.233510223558691E-2</v>
      </c>
      <c r="P73" s="22">
        <f t="shared" si="37"/>
        <v>1.3539948208030552</v>
      </c>
      <c r="Q73" s="22">
        <f t="shared" si="38"/>
        <v>1.6701664541060864E-2</v>
      </c>
      <c r="R73" s="46">
        <v>1.3540000000000001</v>
      </c>
      <c r="S73" s="51">
        <v>1.3540000000000001</v>
      </c>
      <c r="T73" s="51">
        <v>362</v>
      </c>
      <c r="U73" s="53">
        <v>247432638.19999999</v>
      </c>
      <c r="V73" s="53">
        <v>248323262.02000001</v>
      </c>
    </row>
    <row r="74" spans="1:22">
      <c r="A74" s="70">
        <v>64</v>
      </c>
      <c r="B74" s="25" t="s">
        <v>269</v>
      </c>
      <c r="C74" s="25" t="s">
        <v>65</v>
      </c>
      <c r="D74" s="37">
        <v>25000000</v>
      </c>
      <c r="E74" s="46">
        <v>0</v>
      </c>
      <c r="F74" s="46">
        <v>0</v>
      </c>
      <c r="G74" s="46">
        <v>378532.71</v>
      </c>
      <c r="H74" s="18">
        <f t="shared" si="27"/>
        <v>-378532.71</v>
      </c>
      <c r="I74" s="79">
        <v>0</v>
      </c>
      <c r="J74" s="19">
        <f t="shared" si="28"/>
        <v>0</v>
      </c>
      <c r="K74" s="37">
        <v>23666302.460000001</v>
      </c>
      <c r="L74" s="19">
        <f t="shared" si="29"/>
        <v>1.1296855674305447E-4</v>
      </c>
      <c r="M74" s="19" t="e">
        <f t="shared" si="30"/>
        <v>#DIV/0!</v>
      </c>
      <c r="N74" s="20">
        <f t="shared" si="35"/>
        <v>1.5994586000064162E-2</v>
      </c>
      <c r="O74" s="21">
        <f t="shared" si="36"/>
        <v>-1.5994586000064162E-2</v>
      </c>
      <c r="P74" s="22">
        <f t="shared" si="37"/>
        <v>0.94665209840000009</v>
      </c>
      <c r="Q74" s="22">
        <f t="shared" si="38"/>
        <v>-1.5141308400000001E-2</v>
      </c>
      <c r="R74" s="46">
        <v>0.94669999999999999</v>
      </c>
      <c r="S74" s="51">
        <v>0.94669999999999999</v>
      </c>
      <c r="T74" s="51">
        <v>1</v>
      </c>
      <c r="U74" s="53">
        <v>25000000</v>
      </c>
      <c r="V74" s="53">
        <v>25000000</v>
      </c>
    </row>
    <row r="75" spans="1:22">
      <c r="A75" s="70">
        <v>65</v>
      </c>
      <c r="B75" s="17" t="s">
        <v>243</v>
      </c>
      <c r="C75" s="17" t="s">
        <v>47</v>
      </c>
      <c r="D75" s="24">
        <v>112799460.59999999</v>
      </c>
      <c r="E75" s="24">
        <v>6195898.3600000003</v>
      </c>
      <c r="F75" s="24">
        <v>0</v>
      </c>
      <c r="G75" s="24">
        <v>2347924.5499999998</v>
      </c>
      <c r="H75" s="18">
        <f>(E75+F75)-G75</f>
        <v>3847973.8100000005</v>
      </c>
      <c r="I75" s="85">
        <v>120150770.90000001</v>
      </c>
      <c r="J75" s="19">
        <f t="shared" si="28"/>
        <v>5.5341504097273337E-4</v>
      </c>
      <c r="K75" s="24">
        <v>131437661.59</v>
      </c>
      <c r="L75" s="19">
        <f t="shared" si="29"/>
        <v>6.2740358180583768E-4</v>
      </c>
      <c r="M75" s="19">
        <f t="shared" si="30"/>
        <v>9.3939394690974856E-2</v>
      </c>
      <c r="N75" s="20">
        <f t="shared" si="35"/>
        <v>1.7863407805625734E-2</v>
      </c>
      <c r="O75" s="21">
        <f t="shared" si="36"/>
        <v>2.9276036742065418E-2</v>
      </c>
      <c r="P75" s="22">
        <f t="shared" si="37"/>
        <v>127.34489472897954</v>
      </c>
      <c r="Q75" s="22">
        <f t="shared" si="38"/>
        <v>3.7281538170000577</v>
      </c>
      <c r="R75" s="24">
        <v>127.2765</v>
      </c>
      <c r="S75" s="24">
        <v>127.2765</v>
      </c>
      <c r="T75" s="24">
        <v>162</v>
      </c>
      <c r="U75" s="24">
        <v>954214.14</v>
      </c>
      <c r="V75" s="24">
        <v>1032139.23</v>
      </c>
    </row>
    <row r="76" spans="1:22">
      <c r="A76" s="70">
        <v>66</v>
      </c>
      <c r="B76" s="17" t="s">
        <v>110</v>
      </c>
      <c r="C76" s="17" t="s">
        <v>111</v>
      </c>
      <c r="D76" s="24">
        <v>1443248840.1700001</v>
      </c>
      <c r="E76" s="24">
        <v>24683653.93</v>
      </c>
      <c r="F76" s="24"/>
      <c r="G76" s="24">
        <v>1441175.9</v>
      </c>
      <c r="H76" s="18">
        <f t="shared" si="27"/>
        <v>23242478.030000001</v>
      </c>
      <c r="I76" s="62">
        <v>1690508985.5699999</v>
      </c>
      <c r="J76" s="19">
        <f t="shared" si="28"/>
        <v>7.7864926916918807E-3</v>
      </c>
      <c r="K76" s="18">
        <v>1652118318.5999999</v>
      </c>
      <c r="L76" s="19">
        <f t="shared" si="29"/>
        <v>7.886209615399457E-3</v>
      </c>
      <c r="M76" s="19">
        <f t="shared" si="30"/>
        <v>-2.2709531447450779E-2</v>
      </c>
      <c r="N76" s="20">
        <f t="shared" si="35"/>
        <v>8.7232002924660264E-4</v>
      </c>
      <c r="O76" s="21">
        <f t="shared" si="36"/>
        <v>1.4068289037370887E-2</v>
      </c>
      <c r="P76" s="22">
        <f t="shared" si="37"/>
        <v>1063.6751524331446</v>
      </c>
      <c r="Q76" s="22">
        <f t="shared" si="38"/>
        <v>14.964089486299015</v>
      </c>
      <c r="R76" s="24">
        <v>1000</v>
      </c>
      <c r="S76" s="24">
        <v>1000</v>
      </c>
      <c r="T76" s="24">
        <v>332</v>
      </c>
      <c r="U76" s="24">
        <v>1596630.15</v>
      </c>
      <c r="V76" s="24">
        <v>1553216.99</v>
      </c>
    </row>
    <row r="77" spans="1:22">
      <c r="A77" s="70">
        <v>67</v>
      </c>
      <c r="B77" s="17" t="s">
        <v>112</v>
      </c>
      <c r="C77" s="17" t="s">
        <v>67</v>
      </c>
      <c r="D77" s="24">
        <v>193730791.41</v>
      </c>
      <c r="E77" s="46">
        <v>2920008.7</v>
      </c>
      <c r="F77" s="46">
        <v>0</v>
      </c>
      <c r="G77" s="24">
        <v>656482.65</v>
      </c>
      <c r="H77" s="18">
        <f t="shared" si="27"/>
        <v>2263526.0500000003</v>
      </c>
      <c r="I77" s="85">
        <v>222903901.77000001</v>
      </c>
      <c r="J77" s="19">
        <f t="shared" si="28"/>
        <v>1.0266964665062062E-3</v>
      </c>
      <c r="K77" s="24">
        <v>217341233.36000001</v>
      </c>
      <c r="L77" s="19">
        <f t="shared" si="29"/>
        <v>1.0374550690769209E-3</v>
      </c>
      <c r="M77" s="19">
        <f t="shared" si="30"/>
        <v>-2.495545553859237E-2</v>
      </c>
      <c r="N77" s="20">
        <f t="shared" si="35"/>
        <v>3.0205158949871895E-3</v>
      </c>
      <c r="O77" s="21">
        <f t="shared" si="36"/>
        <v>1.0414618593107629E-2</v>
      </c>
      <c r="P77" s="22">
        <f t="shared" si="37"/>
        <v>1070.4408185619511</v>
      </c>
      <c r="Q77" s="22">
        <f t="shared" si="38"/>
        <v>11.148232851816648</v>
      </c>
      <c r="R77" s="24">
        <v>1063.3900000000001</v>
      </c>
      <c r="S77" s="46">
        <v>1070.44</v>
      </c>
      <c r="T77" s="24">
        <v>281</v>
      </c>
      <c r="U77" s="24">
        <v>209196</v>
      </c>
      <c r="V77" s="24">
        <v>203039</v>
      </c>
    </row>
    <row r="78" spans="1:22">
      <c r="A78" s="70">
        <v>68</v>
      </c>
      <c r="B78" s="17" t="s">
        <v>113</v>
      </c>
      <c r="C78" s="25" t="s">
        <v>70</v>
      </c>
      <c r="D78" s="37">
        <v>985804186.85000002</v>
      </c>
      <c r="E78" s="37">
        <v>13743418.060000001</v>
      </c>
      <c r="F78" s="37"/>
      <c r="G78" s="46">
        <v>1760927.34</v>
      </c>
      <c r="H78" s="18">
        <f t="shared" si="27"/>
        <v>11982490.720000001</v>
      </c>
      <c r="I78" s="79">
        <v>974300638.98000002</v>
      </c>
      <c r="J78" s="19">
        <f t="shared" si="28"/>
        <v>4.4876335291235076E-3</v>
      </c>
      <c r="K78" s="37">
        <v>972786731.85000002</v>
      </c>
      <c r="L78" s="19">
        <f t="shared" si="29"/>
        <v>4.6434931397343103E-3</v>
      </c>
      <c r="M78" s="19">
        <f t="shared" si="30"/>
        <v>-1.5538398205146532E-3</v>
      </c>
      <c r="N78" s="20">
        <f t="shared" si="35"/>
        <v>1.8101884846343981E-3</v>
      </c>
      <c r="O78" s="21">
        <f t="shared" si="36"/>
        <v>1.2317695469809979E-2</v>
      </c>
      <c r="P78" s="22">
        <f t="shared" si="37"/>
        <v>1.1593666376726237</v>
      </c>
      <c r="Q78" s="22">
        <f t="shared" si="38"/>
        <v>1.4280725180708905E-2</v>
      </c>
      <c r="R78" s="24">
        <v>1.1665000000000001</v>
      </c>
      <c r="S78" s="24">
        <v>1.1665000000000001</v>
      </c>
      <c r="T78" s="24">
        <v>42</v>
      </c>
      <c r="U78" s="37">
        <v>838320614.52999997</v>
      </c>
      <c r="V78" s="37">
        <v>839067384.07000005</v>
      </c>
    </row>
    <row r="79" spans="1:22">
      <c r="A79" s="70">
        <v>69</v>
      </c>
      <c r="B79" s="17" t="s">
        <v>258</v>
      </c>
      <c r="C79" s="17" t="s">
        <v>29</v>
      </c>
      <c r="D79" s="46">
        <v>25466194870.220001</v>
      </c>
      <c r="E79" s="46">
        <v>268329916.93000001</v>
      </c>
      <c r="F79" s="46"/>
      <c r="G79" s="37">
        <v>32260438.16</v>
      </c>
      <c r="H79" s="18">
        <f t="shared" si="27"/>
        <v>236069478.77000001</v>
      </c>
      <c r="I79" s="92">
        <v>29436794232.330002</v>
      </c>
      <c r="J79" s="19">
        <f t="shared" si="28"/>
        <v>0.13558601883419819</v>
      </c>
      <c r="K79" s="51">
        <v>25217131565.75</v>
      </c>
      <c r="L79" s="19">
        <f t="shared" si="29"/>
        <v>0.12037127316349269</v>
      </c>
      <c r="M79" s="19">
        <f t="shared" si="30"/>
        <v>-0.14334654219737039</v>
      </c>
      <c r="N79" s="20">
        <f t="shared" si="35"/>
        <v>1.2793064142083569E-3</v>
      </c>
      <c r="O79" s="21">
        <f t="shared" si="36"/>
        <v>9.3614723052256443E-3</v>
      </c>
      <c r="P79" s="22">
        <f t="shared" si="37"/>
        <v>1683.3678443691965</v>
      </c>
      <c r="Q79" s="22">
        <f t="shared" si="38"/>
        <v>15.758801454569625</v>
      </c>
      <c r="R79" s="45">
        <v>1683.36</v>
      </c>
      <c r="S79" s="45">
        <v>1683.36</v>
      </c>
      <c r="T79" s="51">
        <v>2256</v>
      </c>
      <c r="U79" s="53">
        <v>17608357.449999999</v>
      </c>
      <c r="V79" s="53">
        <v>14980167.08</v>
      </c>
    </row>
    <row r="80" spans="1:22" ht="14.4" customHeight="1">
      <c r="A80" s="70">
        <v>70</v>
      </c>
      <c r="B80" s="17" t="s">
        <v>114</v>
      </c>
      <c r="C80" s="17" t="s">
        <v>237</v>
      </c>
      <c r="D80" s="24">
        <v>22223376.23</v>
      </c>
      <c r="E80" s="24">
        <v>270433.40000000002</v>
      </c>
      <c r="F80" s="24">
        <v>0</v>
      </c>
      <c r="G80" s="24">
        <v>242341.34</v>
      </c>
      <c r="H80" s="18">
        <f t="shared" ref="H80:H97" si="39">(E80+F80)-G80</f>
        <v>28092.060000000027</v>
      </c>
      <c r="I80" s="11">
        <v>23130890.530000001</v>
      </c>
      <c r="J80" s="19">
        <f t="shared" si="28"/>
        <v>1.0654099540526346E-4</v>
      </c>
      <c r="K80" s="24">
        <v>23130890.530000001</v>
      </c>
      <c r="L80" s="19">
        <f t="shared" si="29"/>
        <v>1.1041282531448246E-4</v>
      </c>
      <c r="M80" s="19">
        <f t="shared" si="30"/>
        <v>0</v>
      </c>
      <c r="N80" s="20">
        <f t="shared" si="35"/>
        <v>1.0476956764189051E-2</v>
      </c>
      <c r="O80" s="21">
        <f t="shared" si="36"/>
        <v>1.2144824239933847E-3</v>
      </c>
      <c r="P80" s="22">
        <f t="shared" si="37"/>
        <v>0.70551063649550239</v>
      </c>
      <c r="Q80" s="22">
        <f t="shared" si="38"/>
        <v>8.5683026796417336E-4</v>
      </c>
      <c r="R80" s="18">
        <v>0.70550000000000002</v>
      </c>
      <c r="S80" s="18">
        <v>0.70550000000000002</v>
      </c>
      <c r="T80" s="24">
        <v>746</v>
      </c>
      <c r="U80" s="24">
        <v>32786026.649999999</v>
      </c>
      <c r="V80" s="24">
        <v>32786026.649999999</v>
      </c>
    </row>
    <row r="81" spans="1:22" ht="14.4" customHeight="1">
      <c r="A81" s="70">
        <v>71</v>
      </c>
      <c r="B81" s="17" t="s">
        <v>238</v>
      </c>
      <c r="C81" s="25" t="s">
        <v>35</v>
      </c>
      <c r="D81" s="24">
        <v>11633629657.27</v>
      </c>
      <c r="E81" s="24">
        <v>108721480.16</v>
      </c>
      <c r="F81" s="24"/>
      <c r="G81" s="24">
        <v>3702505.76</v>
      </c>
      <c r="H81" s="18">
        <f>(E81+F81)-G81</f>
        <v>105018974.39999999</v>
      </c>
      <c r="I81" s="11">
        <v>9546160381.2199993</v>
      </c>
      <c r="J81" s="19">
        <f t="shared" si="28"/>
        <v>4.3969661608764178E-2</v>
      </c>
      <c r="K81" s="24">
        <v>9522905027</v>
      </c>
      <c r="L81" s="19">
        <f t="shared" si="29"/>
        <v>4.5456565879677689E-2</v>
      </c>
      <c r="M81" s="19">
        <f t="shared" si="30"/>
        <v>-2.436095067682833E-3</v>
      </c>
      <c r="N81" s="20">
        <f t="shared" si="35"/>
        <v>3.8880002998059929E-4</v>
      </c>
      <c r="O81" s="21">
        <f t="shared" si="36"/>
        <v>1.1028039668803051E-2</v>
      </c>
      <c r="P81" s="22">
        <f t="shared" si="37"/>
        <v>1</v>
      </c>
      <c r="Q81" s="22">
        <f t="shared" si="38"/>
        <v>1.1028039668803051E-2</v>
      </c>
      <c r="R81" s="24">
        <v>1</v>
      </c>
      <c r="S81" s="24">
        <v>1</v>
      </c>
      <c r="T81" s="24">
        <v>5244</v>
      </c>
      <c r="U81" s="24">
        <v>9546160381.2199993</v>
      </c>
      <c r="V81" s="24">
        <v>9522905027</v>
      </c>
    </row>
    <row r="82" spans="1:22">
      <c r="A82" s="70">
        <v>72</v>
      </c>
      <c r="B82" s="25" t="s">
        <v>115</v>
      </c>
      <c r="C82" s="25" t="s">
        <v>116</v>
      </c>
      <c r="D82" s="46">
        <v>1132789301.8199999</v>
      </c>
      <c r="E82" s="46">
        <v>63079705.960000001</v>
      </c>
      <c r="F82" s="46">
        <v>0</v>
      </c>
      <c r="G82" s="46">
        <v>18748649.66</v>
      </c>
      <c r="H82" s="18">
        <f t="shared" si="39"/>
        <v>44331056.299999997</v>
      </c>
      <c r="I82" s="89">
        <v>1358092369.9100001</v>
      </c>
      <c r="J82" s="19">
        <f t="shared" si="28"/>
        <v>6.2553801270575056E-3</v>
      </c>
      <c r="K82" s="46">
        <v>1122676058.6700001</v>
      </c>
      <c r="L82" s="19">
        <f t="shared" si="29"/>
        <v>5.3589737667001256E-3</v>
      </c>
      <c r="M82" s="19">
        <f t="shared" si="30"/>
        <v>-0.17334337225942953</v>
      </c>
      <c r="N82" s="20">
        <f t="shared" si="35"/>
        <v>1.6699963907853305E-2</v>
      </c>
      <c r="O82" s="21">
        <f t="shared" si="36"/>
        <v>3.9486952587657068E-2</v>
      </c>
      <c r="P82" s="22">
        <f t="shared" si="37"/>
        <v>233.88043154278466</v>
      </c>
      <c r="Q82" s="22">
        <f t="shared" si="38"/>
        <v>9.2352255115107127</v>
      </c>
      <c r="R82" s="46">
        <v>233.88040000000001</v>
      </c>
      <c r="S82" s="50">
        <v>235.9873</v>
      </c>
      <c r="T82" s="24">
        <v>490</v>
      </c>
      <c r="U82" s="52">
        <v>5907112.5499999998</v>
      </c>
      <c r="V82" s="52">
        <v>4800213.7300000004</v>
      </c>
    </row>
    <row r="83" spans="1:22">
      <c r="A83" s="70">
        <v>73</v>
      </c>
      <c r="B83" s="17" t="s">
        <v>117</v>
      </c>
      <c r="C83" s="25" t="s">
        <v>37</v>
      </c>
      <c r="D83" s="24">
        <v>1076469488.9000001</v>
      </c>
      <c r="E83" s="24">
        <v>12529702.560000001</v>
      </c>
      <c r="F83" s="24"/>
      <c r="G83" s="24">
        <v>1617053.36</v>
      </c>
      <c r="H83" s="18">
        <f t="shared" si="39"/>
        <v>10912649.200000001</v>
      </c>
      <c r="I83" s="11">
        <v>1059941084.11</v>
      </c>
      <c r="J83" s="19">
        <f t="shared" si="28"/>
        <v>4.8820938400772184E-3</v>
      </c>
      <c r="K83" s="24">
        <v>1065343631.49</v>
      </c>
      <c r="L83" s="19">
        <f t="shared" si="29"/>
        <v>5.0853035740687389E-3</v>
      </c>
      <c r="M83" s="19">
        <f t="shared" si="30"/>
        <v>5.0970261092731853E-3</v>
      </c>
      <c r="N83" s="20">
        <f t="shared" si="35"/>
        <v>1.517870208449431E-3</v>
      </c>
      <c r="O83" s="21">
        <f t="shared" si="36"/>
        <v>1.0243313873043445E-2</v>
      </c>
      <c r="P83" s="22">
        <f t="shared" si="37"/>
        <v>3.5560565420409076</v>
      </c>
      <c r="Q83" s="22">
        <f t="shared" si="38"/>
        <v>3.6425803310414527E-2</v>
      </c>
      <c r="R83" s="18">
        <v>3.56</v>
      </c>
      <c r="S83" s="24">
        <v>3.56</v>
      </c>
      <c r="T83" s="24">
        <v>770</v>
      </c>
      <c r="U83" s="46">
        <v>300357726</v>
      </c>
      <c r="V83" s="46">
        <v>299585684</v>
      </c>
    </row>
    <row r="84" spans="1:22">
      <c r="A84" s="70">
        <v>74</v>
      </c>
      <c r="B84" s="27" t="s">
        <v>251</v>
      </c>
      <c r="C84" s="65" t="s">
        <v>39</v>
      </c>
      <c r="D84" s="24">
        <v>555895648.82000005</v>
      </c>
      <c r="E84" s="24">
        <v>7263112.9900000002</v>
      </c>
      <c r="F84" s="24">
        <v>0</v>
      </c>
      <c r="G84" s="24">
        <v>1197260.06</v>
      </c>
      <c r="H84" s="18">
        <f>(E84+F84)-G84</f>
        <v>6065852.9299999997</v>
      </c>
      <c r="I84" s="11">
        <v>536516218.26999998</v>
      </c>
      <c r="J84" s="19">
        <f t="shared" si="28"/>
        <v>2.4711963368387177E-3</v>
      </c>
      <c r="K84" s="24">
        <v>546911112.28999996</v>
      </c>
      <c r="L84" s="19">
        <f t="shared" si="29"/>
        <v>2.6106215420243512E-3</v>
      </c>
      <c r="M84" s="19">
        <f t="shared" si="30"/>
        <v>1.9374799243755174E-2</v>
      </c>
      <c r="N84" s="20">
        <f t="shared" si="35"/>
        <v>2.1891309814256474E-3</v>
      </c>
      <c r="O84" s="21">
        <f t="shared" si="36"/>
        <v>1.1091112968250638E-2</v>
      </c>
      <c r="P84" s="22">
        <f t="shared" si="37"/>
        <v>108.90388544660726</v>
      </c>
      <c r="Q84" s="22">
        <f t="shared" si="38"/>
        <v>1.2078652961697478</v>
      </c>
      <c r="R84" s="18">
        <v>108.91</v>
      </c>
      <c r="S84" s="24">
        <v>108.91</v>
      </c>
      <c r="T84" s="24">
        <v>59</v>
      </c>
      <c r="U84" s="46">
        <v>5949615.9800000004</v>
      </c>
      <c r="V84" s="46">
        <v>5021961.43</v>
      </c>
    </row>
    <row r="85" spans="1:22">
      <c r="A85" s="70">
        <v>75</v>
      </c>
      <c r="B85" s="17" t="s">
        <v>241</v>
      </c>
      <c r="C85" s="17" t="s">
        <v>43</v>
      </c>
      <c r="D85" s="24">
        <v>1719243208.4200001</v>
      </c>
      <c r="E85" s="24">
        <v>20532156.300000001</v>
      </c>
      <c r="F85" s="24">
        <v>0</v>
      </c>
      <c r="G85" s="24">
        <v>3221520.8</v>
      </c>
      <c r="H85" s="18">
        <f>(E85+F85)-G85</f>
        <v>17310635.5</v>
      </c>
      <c r="I85" s="11">
        <v>1768695275.4400001</v>
      </c>
      <c r="J85" s="19">
        <f t="shared" si="28"/>
        <v>8.1466191269015612E-3</v>
      </c>
      <c r="K85" s="24">
        <v>1770894762.5</v>
      </c>
      <c r="L85" s="19">
        <f t="shared" si="29"/>
        <v>8.4531762323914461E-3</v>
      </c>
      <c r="M85" s="19">
        <f t="shared" si="30"/>
        <v>1.2435647284989634E-3</v>
      </c>
      <c r="N85" s="20">
        <f t="shared" si="35"/>
        <v>1.8191486406860949E-3</v>
      </c>
      <c r="O85" s="21">
        <f t="shared" si="36"/>
        <v>9.7750786023909769E-3</v>
      </c>
      <c r="P85" s="22">
        <f t="shared" si="37"/>
        <v>100.84151364533385</v>
      </c>
      <c r="Q85" s="22">
        <f t="shared" si="38"/>
        <v>0.98573372226722045</v>
      </c>
      <c r="R85" s="24">
        <v>100.84</v>
      </c>
      <c r="S85" s="24">
        <v>100.84</v>
      </c>
      <c r="T85" s="24">
        <v>182</v>
      </c>
      <c r="U85" s="24">
        <v>17703319</v>
      </c>
      <c r="V85" s="24">
        <v>17561168</v>
      </c>
    </row>
    <row r="86" spans="1:22">
      <c r="A86" s="70">
        <v>76</v>
      </c>
      <c r="B86" s="17" t="s">
        <v>120</v>
      </c>
      <c r="C86" s="17" t="s">
        <v>21</v>
      </c>
      <c r="D86" s="24">
        <v>1351921437.9300001</v>
      </c>
      <c r="E86" s="24">
        <v>16426330.16</v>
      </c>
      <c r="F86" s="24">
        <v>72413000</v>
      </c>
      <c r="G86" s="24">
        <v>2067344.26</v>
      </c>
      <c r="H86" s="18">
        <f t="shared" si="39"/>
        <v>86771985.899999991</v>
      </c>
      <c r="I86" s="11">
        <v>1305556155.99</v>
      </c>
      <c r="J86" s="19">
        <f t="shared" si="28"/>
        <v>6.0133980676724081E-3</v>
      </c>
      <c r="K86" s="24">
        <v>1323543860.3800001</v>
      </c>
      <c r="L86" s="19">
        <f t="shared" si="29"/>
        <v>6.3177946764591212E-3</v>
      </c>
      <c r="M86" s="19">
        <f t="shared" si="30"/>
        <v>1.3777809791996326E-2</v>
      </c>
      <c r="N86" s="20">
        <f t="shared" si="35"/>
        <v>1.5619763892119516E-3</v>
      </c>
      <c r="O86" s="21">
        <f t="shared" si="36"/>
        <v>6.5560340308697479E-2</v>
      </c>
      <c r="P86" s="22">
        <f t="shared" si="37"/>
        <v>346.90533538923046</v>
      </c>
      <c r="Q86" s="22">
        <f t="shared" si="38"/>
        <v>22.743231843020784</v>
      </c>
      <c r="R86" s="51">
        <v>346.91</v>
      </c>
      <c r="S86" s="51">
        <v>346.91</v>
      </c>
      <c r="T86" s="51">
        <v>98</v>
      </c>
      <c r="U86" s="51">
        <v>3805283.88</v>
      </c>
      <c r="V86" s="51">
        <v>3815288.28</v>
      </c>
    </row>
    <row r="87" spans="1:22">
      <c r="A87" s="70">
        <v>77</v>
      </c>
      <c r="B87" s="27" t="s">
        <v>244</v>
      </c>
      <c r="C87" s="65" t="s">
        <v>245</v>
      </c>
      <c r="D87" s="24">
        <v>1286998773.5999999</v>
      </c>
      <c r="E87" s="24">
        <v>20295527.620000001</v>
      </c>
      <c r="F87" s="24">
        <v>0</v>
      </c>
      <c r="G87" s="24">
        <v>3118143.8</v>
      </c>
      <c r="H87" s="18">
        <f t="shared" si="39"/>
        <v>17177383.82</v>
      </c>
      <c r="I87" s="11">
        <v>1480121103.0599999</v>
      </c>
      <c r="J87" s="19">
        <f t="shared" si="28"/>
        <v>6.8174450713787077E-3</v>
      </c>
      <c r="K87" s="24">
        <v>1465644039.71</v>
      </c>
      <c r="L87" s="19">
        <f t="shared" si="29"/>
        <v>6.9960946432144396E-3</v>
      </c>
      <c r="M87" s="19">
        <f t="shared" si="30"/>
        <v>-9.7809992169357266E-3</v>
      </c>
      <c r="N87" s="20">
        <f t="shared" si="35"/>
        <v>2.1274905198788731E-3</v>
      </c>
      <c r="O87" s="21">
        <f t="shared" si="36"/>
        <v>1.1720024340561441E-2</v>
      </c>
      <c r="P87" s="22">
        <f t="shared" si="37"/>
        <v>101.88014092833821</v>
      </c>
      <c r="Q87" s="22">
        <f t="shared" si="38"/>
        <v>1.1940377314999537</v>
      </c>
      <c r="R87" s="51">
        <v>101.88</v>
      </c>
      <c r="S87" s="51">
        <v>101.88</v>
      </c>
      <c r="T87" s="51">
        <v>379</v>
      </c>
      <c r="U87" s="51">
        <v>14153358</v>
      </c>
      <c r="V87" s="51">
        <v>14385964</v>
      </c>
    </row>
    <row r="88" spans="1:22">
      <c r="A88" s="70">
        <v>78</v>
      </c>
      <c r="B88" s="25" t="s">
        <v>121</v>
      </c>
      <c r="C88" s="25" t="s">
        <v>41</v>
      </c>
      <c r="D88" s="24">
        <v>49268731.280000001</v>
      </c>
      <c r="E88" s="24">
        <v>2512934.7400000002</v>
      </c>
      <c r="F88" s="24">
        <v>0</v>
      </c>
      <c r="G88" s="24">
        <v>158571.06</v>
      </c>
      <c r="H88" s="18">
        <f t="shared" si="39"/>
        <v>2354363.6800000002</v>
      </c>
      <c r="I88" s="11">
        <v>58458249.380000003</v>
      </c>
      <c r="J88" s="19">
        <f t="shared" si="28"/>
        <v>2.6925898380421434E-4</v>
      </c>
      <c r="K88" s="24">
        <v>50442216.759999998</v>
      </c>
      <c r="L88" s="19">
        <f t="shared" si="29"/>
        <v>2.4078051211965762E-4</v>
      </c>
      <c r="M88" s="19">
        <f t="shared" si="30"/>
        <v>-0.13712406213010009</v>
      </c>
      <c r="N88" s="20">
        <f t="shared" si="35"/>
        <v>3.1436179887665986E-3</v>
      </c>
      <c r="O88" s="21">
        <f t="shared" si="36"/>
        <v>4.6674468951312602E-2</v>
      </c>
      <c r="P88" s="22">
        <f t="shared" si="37"/>
        <v>10.48477639229773</v>
      </c>
      <c r="Q88" s="22">
        <f t="shared" si="38"/>
        <v>0.48937137018375582</v>
      </c>
      <c r="R88" s="24">
        <v>12.05</v>
      </c>
      <c r="S88" s="24">
        <v>12.31</v>
      </c>
      <c r="T88" s="24">
        <v>56</v>
      </c>
      <c r="U88" s="24">
        <v>4810995.9000000004</v>
      </c>
      <c r="V88" s="24">
        <v>4810995.95</v>
      </c>
    </row>
    <row r="89" spans="1:22">
      <c r="A89" s="70">
        <v>79</v>
      </c>
      <c r="B89" s="17" t="s">
        <v>122</v>
      </c>
      <c r="C89" s="17" t="s">
        <v>123</v>
      </c>
      <c r="D89" s="24">
        <v>7672923470.4399996</v>
      </c>
      <c r="E89" s="24">
        <v>111585001.48999999</v>
      </c>
      <c r="F89" s="24">
        <v>0</v>
      </c>
      <c r="G89" s="24">
        <v>11037289.869999999</v>
      </c>
      <c r="H89" s="18">
        <f t="shared" si="39"/>
        <v>100547711.61999999</v>
      </c>
      <c r="I89" s="85">
        <v>7508645509</v>
      </c>
      <c r="J89" s="19">
        <f t="shared" si="28"/>
        <v>3.4584858098592235E-2</v>
      </c>
      <c r="K89" s="24">
        <v>7552108275</v>
      </c>
      <c r="L89" s="19">
        <f t="shared" si="29"/>
        <v>3.6049178938534904E-2</v>
      </c>
      <c r="M89" s="19">
        <f t="shared" si="30"/>
        <v>5.7883630207212116E-3</v>
      </c>
      <c r="N89" s="20">
        <f t="shared" si="35"/>
        <v>1.461484590539719E-3</v>
      </c>
      <c r="O89" s="21">
        <f t="shared" si="36"/>
        <v>1.3313859912846653E-2</v>
      </c>
      <c r="P89" s="22">
        <f t="shared" si="37"/>
        <v>1.1099999999426782</v>
      </c>
      <c r="Q89" s="22">
        <f t="shared" si="38"/>
        <v>1.4778384502496612E-2</v>
      </c>
      <c r="R89" s="24">
        <v>1.1100000000000001</v>
      </c>
      <c r="S89" s="24">
        <v>1.1100000000000001</v>
      </c>
      <c r="T89" s="18">
        <v>4381</v>
      </c>
      <c r="U89" s="24">
        <v>6826041372</v>
      </c>
      <c r="V89" s="24">
        <v>6803701149</v>
      </c>
    </row>
    <row r="90" spans="1:22">
      <c r="A90" s="70">
        <v>80</v>
      </c>
      <c r="B90" s="25" t="s">
        <v>124</v>
      </c>
      <c r="C90" s="17" t="s">
        <v>45</v>
      </c>
      <c r="D90" s="46">
        <v>16284954753.469999</v>
      </c>
      <c r="E90" s="46">
        <v>215398236.53999999</v>
      </c>
      <c r="F90" s="46"/>
      <c r="G90" s="46">
        <v>17646521.879999999</v>
      </c>
      <c r="H90" s="18">
        <f t="shared" si="39"/>
        <v>197751714.66</v>
      </c>
      <c r="I90" s="78">
        <v>10756279117.280001</v>
      </c>
      <c r="J90" s="19">
        <f t="shared" si="28"/>
        <v>4.9543474451429162E-2</v>
      </c>
      <c r="K90" s="46">
        <v>16219034839.18</v>
      </c>
      <c r="L90" s="19">
        <f t="shared" si="29"/>
        <v>7.7419823423801673E-2</v>
      </c>
      <c r="M90" s="19">
        <f t="shared" si="30"/>
        <v>0.50786667604451274</v>
      </c>
      <c r="N90" s="20">
        <f t="shared" si="35"/>
        <v>1.0880130695182704E-3</v>
      </c>
      <c r="O90" s="21">
        <f t="shared" si="36"/>
        <v>1.2192569818167916E-2</v>
      </c>
      <c r="P90" s="22">
        <f t="shared" si="37"/>
        <v>5166.0104973146044</v>
      </c>
      <c r="Q90" s="22">
        <f t="shared" si="38"/>
        <v>62.986943669896675</v>
      </c>
      <c r="R90" s="46">
        <v>5166.01</v>
      </c>
      <c r="S90" s="46">
        <v>5166.01</v>
      </c>
      <c r="T90" s="46">
        <v>311</v>
      </c>
      <c r="U90" s="46">
        <v>2082527.63</v>
      </c>
      <c r="V90" s="46">
        <v>3139566.76</v>
      </c>
    </row>
    <row r="91" spans="1:22">
      <c r="A91" s="70">
        <v>81</v>
      </c>
      <c r="B91" s="17" t="s">
        <v>125</v>
      </c>
      <c r="C91" s="17" t="s">
        <v>45</v>
      </c>
      <c r="D91" s="46">
        <v>24668274029.52</v>
      </c>
      <c r="E91" s="46">
        <v>231955389.69</v>
      </c>
      <c r="F91" s="46"/>
      <c r="G91" s="46">
        <v>52491575.359999999</v>
      </c>
      <c r="H91" s="18">
        <f t="shared" si="39"/>
        <v>179463814.32999998</v>
      </c>
      <c r="I91" s="78">
        <v>24947395602.880001</v>
      </c>
      <c r="J91" s="19">
        <f t="shared" si="28"/>
        <v>0.11490782669402602</v>
      </c>
      <c r="K91" s="46">
        <v>24577348305.490002</v>
      </c>
      <c r="L91" s="19">
        <f t="shared" si="29"/>
        <v>0.1173173363830389</v>
      </c>
      <c r="M91" s="19">
        <f t="shared" si="30"/>
        <v>-1.4833103353974154E-2</v>
      </c>
      <c r="N91" s="20">
        <f t="shared" si="35"/>
        <v>2.1357704951544595E-3</v>
      </c>
      <c r="O91" s="21">
        <f t="shared" si="36"/>
        <v>7.3020006918285809E-3</v>
      </c>
      <c r="P91" s="22">
        <f t="shared" si="37"/>
        <v>258.4428559733484</v>
      </c>
      <c r="Q91" s="22">
        <f t="shared" si="38"/>
        <v>1.8871499131155445</v>
      </c>
      <c r="R91" s="46">
        <v>258.44</v>
      </c>
      <c r="S91" s="46">
        <v>258.44</v>
      </c>
      <c r="T91" s="46">
        <v>6399</v>
      </c>
      <c r="U91" s="46">
        <v>96541368.530000001</v>
      </c>
      <c r="V91" s="46">
        <v>95097804.939999998</v>
      </c>
    </row>
    <row r="92" spans="1:22">
      <c r="A92" s="70">
        <v>82</v>
      </c>
      <c r="B92" s="25" t="s">
        <v>126</v>
      </c>
      <c r="C92" s="17" t="s">
        <v>45</v>
      </c>
      <c r="D92" s="46">
        <v>376964987.98000002</v>
      </c>
      <c r="E92" s="46">
        <v>1146532.77</v>
      </c>
      <c r="F92" s="46">
        <v>7685004.6200000001</v>
      </c>
      <c r="G92" s="46">
        <v>441090.53</v>
      </c>
      <c r="H92" s="18">
        <f t="shared" si="39"/>
        <v>8390446.8600000013</v>
      </c>
      <c r="I92" s="78">
        <v>365903382.80000001</v>
      </c>
      <c r="J92" s="19">
        <f t="shared" si="28"/>
        <v>1.6853527785756701E-3</v>
      </c>
      <c r="K92" s="46">
        <v>373763813.25</v>
      </c>
      <c r="L92" s="19">
        <f t="shared" si="29"/>
        <v>1.7841214789254848E-3</v>
      </c>
      <c r="M92" s="19">
        <f t="shared" si="30"/>
        <v>2.148225684564507E-2</v>
      </c>
      <c r="N92" s="20">
        <f t="shared" si="35"/>
        <v>1.1801317151721349E-3</v>
      </c>
      <c r="O92" s="21">
        <f t="shared" si="36"/>
        <v>2.2448526482653015E-2</v>
      </c>
      <c r="P92" s="22">
        <f t="shared" si="37"/>
        <v>6499.1551540960118</v>
      </c>
      <c r="Q92" s="22">
        <f t="shared" si="38"/>
        <v>145.89645659159515</v>
      </c>
      <c r="R92" s="46">
        <v>6480.22</v>
      </c>
      <c r="S92" s="46">
        <v>5938.58</v>
      </c>
      <c r="T92" s="24">
        <v>15</v>
      </c>
      <c r="U92" s="46">
        <v>57509.599999999999</v>
      </c>
      <c r="V92" s="46">
        <v>57509.599999999999</v>
      </c>
    </row>
    <row r="93" spans="1:22">
      <c r="A93" s="70">
        <v>83</v>
      </c>
      <c r="B93" s="17" t="s">
        <v>127</v>
      </c>
      <c r="C93" s="17" t="s">
        <v>45</v>
      </c>
      <c r="D93" s="46">
        <v>9767922687.6200008</v>
      </c>
      <c r="E93" s="46">
        <v>154390591.53999999</v>
      </c>
      <c r="F93" s="46"/>
      <c r="G93" s="46">
        <v>17623844.300000001</v>
      </c>
      <c r="H93" s="18">
        <f t="shared" si="39"/>
        <v>136766747.23999998</v>
      </c>
      <c r="I93" s="78">
        <v>10101349936.65</v>
      </c>
      <c r="J93" s="19">
        <f t="shared" si="28"/>
        <v>4.6526867428289445E-2</v>
      </c>
      <c r="K93" s="46">
        <v>9800015645.3799992</v>
      </c>
      <c r="L93" s="19">
        <f t="shared" si="29"/>
        <v>4.6779323698288106E-2</v>
      </c>
      <c r="M93" s="19">
        <f t="shared" si="30"/>
        <v>-2.9831091206601108E-2</v>
      </c>
      <c r="N93" s="20">
        <f t="shared" si="35"/>
        <v>1.7983485881788743E-3</v>
      </c>
      <c r="O93" s="21">
        <f t="shared" si="36"/>
        <v>1.3955768254765556E-2</v>
      </c>
      <c r="P93" s="22">
        <f t="shared" si="37"/>
        <v>136.20162011298854</v>
      </c>
      <c r="Q93" s="22">
        <f t="shared" si="38"/>
        <v>1.9007982462204835</v>
      </c>
      <c r="R93" s="46">
        <v>136.19999999999999</v>
      </c>
      <c r="S93" s="46">
        <v>136.19999999999999</v>
      </c>
      <c r="T93" s="24">
        <v>4472</v>
      </c>
      <c r="U93" s="46">
        <v>74805269.980000004</v>
      </c>
      <c r="V93" s="46">
        <v>71952269.269999996</v>
      </c>
    </row>
    <row r="94" spans="1:22">
      <c r="A94" s="70">
        <v>84</v>
      </c>
      <c r="B94" s="17" t="s">
        <v>128</v>
      </c>
      <c r="C94" s="17" t="s">
        <v>45</v>
      </c>
      <c r="D94" s="46">
        <v>8328982379.5900002</v>
      </c>
      <c r="E94" s="46">
        <v>98896109</v>
      </c>
      <c r="F94" s="46">
        <v>21581663.73</v>
      </c>
      <c r="G94" s="46">
        <v>16933012.329999998</v>
      </c>
      <c r="H94" s="18">
        <f t="shared" si="39"/>
        <v>103544760.40000001</v>
      </c>
      <c r="I94" s="84">
        <v>8598370468.8299999</v>
      </c>
      <c r="J94" s="19">
        <f t="shared" si="28"/>
        <v>3.9604136616540803E-2</v>
      </c>
      <c r="K94" s="46">
        <v>8287226392.4399996</v>
      </c>
      <c r="L94" s="19">
        <f t="shared" si="29"/>
        <v>3.9558186435723286E-2</v>
      </c>
      <c r="M94" s="19">
        <f t="shared" si="30"/>
        <v>-3.6186400378761356E-2</v>
      </c>
      <c r="N94" s="20">
        <f t="shared" si="35"/>
        <v>2.0432665319059093E-3</v>
      </c>
      <c r="O94" s="21">
        <f t="shared" si="36"/>
        <v>1.2494501235595354E-2</v>
      </c>
      <c r="P94" s="22">
        <f t="shared" si="37"/>
        <v>357.53164514131356</v>
      </c>
      <c r="Q94" s="22">
        <f t="shared" si="38"/>
        <v>4.4671795819825819</v>
      </c>
      <c r="R94" s="54">
        <v>357.25</v>
      </c>
      <c r="S94" s="24">
        <v>357.73</v>
      </c>
      <c r="T94" s="24">
        <v>10196</v>
      </c>
      <c r="U94" s="24">
        <v>23925099.510000002</v>
      </c>
      <c r="V94" s="24">
        <v>23179001.09</v>
      </c>
    </row>
    <row r="95" spans="1:22">
      <c r="A95" s="70">
        <v>85</v>
      </c>
      <c r="B95" s="17" t="s">
        <v>129</v>
      </c>
      <c r="C95" s="17" t="s">
        <v>49</v>
      </c>
      <c r="D95" s="46">
        <v>82374318291</v>
      </c>
      <c r="E95" s="37">
        <v>725418903</v>
      </c>
      <c r="F95" s="37"/>
      <c r="G95" s="37">
        <v>133652493</v>
      </c>
      <c r="H95" s="18">
        <f t="shared" si="39"/>
        <v>591766410</v>
      </c>
      <c r="I95" s="87">
        <v>94812588550</v>
      </c>
      <c r="J95" s="19">
        <f t="shared" si="28"/>
        <v>0.43670724860184118</v>
      </c>
      <c r="K95" s="37">
        <v>87437575888</v>
      </c>
      <c r="L95" s="19">
        <f t="shared" si="29"/>
        <v>0.41737389141686221</v>
      </c>
      <c r="M95" s="19">
        <f t="shared" si="30"/>
        <v>-7.7785163075794958E-2</v>
      </c>
      <c r="N95" s="20">
        <f t="shared" si="35"/>
        <v>1.528547556844409E-3</v>
      </c>
      <c r="O95" s="21">
        <f t="shared" si="36"/>
        <v>6.7678730110038937E-3</v>
      </c>
      <c r="P95" s="22">
        <f t="shared" si="37"/>
        <v>1.9499256469682689</v>
      </c>
      <c r="Q95" s="22">
        <f t="shared" si="38"/>
        <v>1.3196849159580854E-2</v>
      </c>
      <c r="R95" s="51">
        <v>1.95</v>
      </c>
      <c r="S95" s="51">
        <v>1.95</v>
      </c>
      <c r="T95" s="51">
        <v>1476</v>
      </c>
      <c r="U95" s="53">
        <v>44880044303</v>
      </c>
      <c r="V95" s="53">
        <v>44841492302</v>
      </c>
    </row>
    <row r="96" spans="1:22">
      <c r="A96" s="70">
        <v>86</v>
      </c>
      <c r="B96" s="27" t="s">
        <v>239</v>
      </c>
      <c r="C96" s="27" t="s">
        <v>240</v>
      </c>
      <c r="D96" s="46">
        <v>89539732.510000005</v>
      </c>
      <c r="E96" s="46">
        <v>1082145.33</v>
      </c>
      <c r="F96" s="46"/>
      <c r="G96" s="46">
        <v>427612.84</v>
      </c>
      <c r="H96" s="18">
        <f t="shared" si="39"/>
        <v>654532.49</v>
      </c>
      <c r="I96" s="87">
        <v>87782787.590000004</v>
      </c>
      <c r="J96" s="19">
        <f t="shared" si="28"/>
        <v>4.0432795084813396E-4</v>
      </c>
      <c r="K96" s="46">
        <v>88536178.260000005</v>
      </c>
      <c r="L96" s="19">
        <f t="shared" si="29"/>
        <v>4.2261795202198205E-4</v>
      </c>
      <c r="M96" s="19">
        <f t="shared" si="30"/>
        <v>8.5824418508877037E-3</v>
      </c>
      <c r="N96" s="20">
        <f t="shared" si="35"/>
        <v>4.8298091063322121E-3</v>
      </c>
      <c r="O96" s="21">
        <f t="shared" si="36"/>
        <v>7.3928252027986273E-3</v>
      </c>
      <c r="P96" s="22">
        <f t="shared" si="37"/>
        <v>108.63334089366006</v>
      </c>
      <c r="Q96" s="22">
        <f t="shared" si="38"/>
        <v>0.80310730042286493</v>
      </c>
      <c r="R96" s="46">
        <v>108.63330000000001</v>
      </c>
      <c r="S96" s="46">
        <v>108.63330000000001</v>
      </c>
      <c r="T96" s="46">
        <v>55</v>
      </c>
      <c r="U96" s="46">
        <v>814083.58</v>
      </c>
      <c r="V96" s="46">
        <v>815000.05</v>
      </c>
    </row>
    <row r="97" spans="1:24">
      <c r="A97" s="70">
        <v>87</v>
      </c>
      <c r="B97" s="25" t="s">
        <v>130</v>
      </c>
      <c r="C97" s="25" t="s">
        <v>96</v>
      </c>
      <c r="D97" s="37">
        <v>2301435452.8600001</v>
      </c>
      <c r="E97" s="37">
        <v>25502346.969999999</v>
      </c>
      <c r="F97" s="37"/>
      <c r="G97" s="46">
        <v>4049848.65</v>
      </c>
      <c r="H97" s="18">
        <f t="shared" si="39"/>
        <v>21452498.32</v>
      </c>
      <c r="I97" s="79">
        <v>2357843768.5599999</v>
      </c>
      <c r="J97" s="19">
        <f t="shared" si="28"/>
        <v>1.086023998024083E-2</v>
      </c>
      <c r="K97" s="37">
        <v>2350395058.9200001</v>
      </c>
      <c r="L97" s="19">
        <f t="shared" si="29"/>
        <v>1.121935874989231E-2</v>
      </c>
      <c r="M97" s="19">
        <f t="shared" si="30"/>
        <v>-3.1591192509540181E-3</v>
      </c>
      <c r="N97" s="20">
        <f t="shared" si="35"/>
        <v>1.723050188788643E-3</v>
      </c>
      <c r="O97" s="21">
        <f t="shared" si="36"/>
        <v>9.1271883161026402E-3</v>
      </c>
      <c r="P97" s="22">
        <f t="shared" si="37"/>
        <v>27.658368627257104</v>
      </c>
      <c r="Q97" s="22">
        <f t="shared" si="38"/>
        <v>0.25244313897716086</v>
      </c>
      <c r="R97" s="24">
        <v>27.6584</v>
      </c>
      <c r="S97" s="24">
        <v>27.6584</v>
      </c>
      <c r="T97" s="37">
        <v>1304</v>
      </c>
      <c r="U97" s="46">
        <v>87084805.689999998</v>
      </c>
      <c r="V97" s="46">
        <v>84979526.109999999</v>
      </c>
    </row>
    <row r="98" spans="1:24">
      <c r="A98" s="122" t="s">
        <v>50</v>
      </c>
      <c r="B98" s="122"/>
      <c r="C98" s="122"/>
      <c r="D98" s="122"/>
      <c r="E98" s="122"/>
      <c r="F98" s="122"/>
      <c r="G98" s="122"/>
      <c r="H98" s="122"/>
      <c r="I98" s="32">
        <f>SUM(I64:I97)</f>
        <v>217107888301.72</v>
      </c>
      <c r="J98" s="29">
        <f>(I98/$I$201)</f>
        <v>6.1403261368463649E-2</v>
      </c>
      <c r="K98" s="32">
        <f>SUM(K64:K97)</f>
        <v>209494598694.65005</v>
      </c>
      <c r="L98" s="29">
        <f>(K98/$K$201)</f>
        <v>5.5936898043789832E-2</v>
      </c>
      <c r="M98" s="29">
        <f t="shared" si="30"/>
        <v>-3.5066849328337514E-2</v>
      </c>
      <c r="N98" s="20"/>
      <c r="O98" s="20"/>
      <c r="P98" s="34"/>
      <c r="Q98" s="34"/>
      <c r="R98" s="32"/>
      <c r="S98" s="32"/>
      <c r="T98" s="32">
        <f>SUM(T64:T97)</f>
        <v>44991</v>
      </c>
      <c r="U98" s="32"/>
      <c r="V98" s="24"/>
    </row>
    <row r="99" spans="1:24" ht="6.9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0"/>
    </row>
    <row r="100" spans="1:24">
      <c r="A100" s="124" t="s">
        <v>131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</row>
    <row r="101" spans="1:24">
      <c r="A101" s="126" t="s">
        <v>132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</row>
    <row r="102" spans="1:24">
      <c r="A102" s="35">
        <v>88</v>
      </c>
      <c r="B102" s="17" t="s">
        <v>133</v>
      </c>
      <c r="C102" s="17" t="s">
        <v>21</v>
      </c>
      <c r="D102" s="46">
        <f>1746864.43*1670.47</f>
        <v>2918084624.3821001</v>
      </c>
      <c r="E102" s="46">
        <f>11631.74*1670.47</f>
        <v>19430472.717799999</v>
      </c>
      <c r="F102" s="46">
        <f>101525.8*1670.47</f>
        <v>169595803.12600002</v>
      </c>
      <c r="G102" s="46">
        <f>3460.27*1670.47</f>
        <v>5780277.2269000001</v>
      </c>
      <c r="H102" s="18">
        <f t="shared" ref="H102:H116" si="40">(E102+F102)-G102</f>
        <v>183245998.6169</v>
      </c>
      <c r="I102" s="77">
        <v>2803564549.6399999</v>
      </c>
      <c r="J102" s="19">
        <f>(I102/$I$132)</f>
        <v>1.6834593594629254E-3</v>
      </c>
      <c r="K102" s="40">
        <f>1736080.09*1670.47</f>
        <v>2900069707.9423003</v>
      </c>
      <c r="L102" s="19">
        <f>(K102/$K$132)</f>
        <v>1.6234034234951474E-3</v>
      </c>
      <c r="M102" s="19">
        <f t="shared" ref="M102:M116" si="41">((K102-I102)/I102)</f>
        <v>3.4422306529269135E-2</v>
      </c>
      <c r="N102" s="20">
        <f t="shared" ref="N102" si="42">(G102/K102)</f>
        <v>1.9931511339433654E-3</v>
      </c>
      <c r="O102" s="21">
        <f t="shared" ref="O102" si="43">H102/K102</f>
        <v>6.3186756551075932E-2</v>
      </c>
      <c r="P102" s="22">
        <f t="shared" ref="P102" si="44">K102/V102</f>
        <v>185411.75175000835</v>
      </c>
      <c r="Q102" s="22">
        <f t="shared" ref="Q102" si="45">H102/V102</f>
        <v>11715.567219536302</v>
      </c>
      <c r="R102" s="24">
        <f>110.9938*1670.47</f>
        <v>185411.81308599998</v>
      </c>
      <c r="S102" s="24">
        <f>110.9938*1670.47</f>
        <v>185411.81308599998</v>
      </c>
      <c r="T102" s="24">
        <v>251</v>
      </c>
      <c r="U102" s="24">
        <v>15827.5</v>
      </c>
      <c r="V102" s="24">
        <v>15641.24</v>
      </c>
    </row>
    <row r="103" spans="1:24">
      <c r="A103" s="35">
        <v>89</v>
      </c>
      <c r="B103" s="27" t="s">
        <v>215</v>
      </c>
      <c r="C103" s="65" t="s">
        <v>54</v>
      </c>
      <c r="D103" s="46">
        <f>1145059.24*1670.47</f>
        <v>1912787108.6428001</v>
      </c>
      <c r="E103" s="46">
        <f>7731.89*1670.47</f>
        <v>12915890.2883</v>
      </c>
      <c r="F103" s="46">
        <v>0</v>
      </c>
      <c r="G103" s="46">
        <f>2150.44*1670.47</f>
        <v>3592245.5068000001</v>
      </c>
      <c r="H103" s="18">
        <f t="shared" si="40"/>
        <v>9323644.7815000005</v>
      </c>
      <c r="I103" s="77">
        <f>1019417.38*1610.528</f>
        <v>1641800234.17664</v>
      </c>
      <c r="J103" s="19">
        <f t="shared" ref="J103:J116" si="46">(I103/$I$132)</f>
        <v>9.8585351671249882E-4</v>
      </c>
      <c r="K103" s="40">
        <f>1138378.83*1670.47</f>
        <v>1901627684.1501002</v>
      </c>
      <c r="L103" s="19">
        <f t="shared" ref="L103:L116" si="47">(K103/$K$132)</f>
        <v>1.0644947203192685E-3</v>
      </c>
      <c r="M103" s="19">
        <f t="shared" si="41"/>
        <v>0.15825765191449326</v>
      </c>
      <c r="N103" s="20">
        <f t="shared" ref="N103:N116" si="48">(G103/K103)</f>
        <v>1.8890372372789117E-3</v>
      </c>
      <c r="O103" s="21">
        <f t="shared" ref="O103:O116" si="49">H103/K103</f>
        <v>4.9029811982712291E-3</v>
      </c>
      <c r="P103" s="22">
        <f t="shared" ref="P103:P116" si="50">K103/V103</f>
        <v>173794.77637592537</v>
      </c>
      <c r="Q103" s="22">
        <f t="shared" ref="Q103:Q116" si="51">H103/V103</f>
        <v>852.11252092891493</v>
      </c>
      <c r="R103" s="24">
        <f>100*1670.47</f>
        <v>167047</v>
      </c>
      <c r="S103" s="24">
        <f>100*1670.47</f>
        <v>167047</v>
      </c>
      <c r="T103" s="24">
        <v>24</v>
      </c>
      <c r="U103" s="24">
        <v>9808</v>
      </c>
      <c r="V103" s="24">
        <v>10941.8</v>
      </c>
    </row>
    <row r="104" spans="1:24" ht="12.9" customHeight="1">
      <c r="A104" s="35">
        <v>90</v>
      </c>
      <c r="B104" s="17" t="s">
        <v>134</v>
      </c>
      <c r="C104" s="25" t="s">
        <v>25</v>
      </c>
      <c r="D104" s="24">
        <f>8821974.68*1670.47</f>
        <v>14736844043.6996</v>
      </c>
      <c r="E104" s="40">
        <f>67562.55*1670.47</f>
        <v>112861212.89850001</v>
      </c>
      <c r="F104" s="40">
        <f>95*1670.47</f>
        <v>158694.65</v>
      </c>
      <c r="G104" s="40">
        <f>15332.06*1670.47</f>
        <v>25611746.268199999</v>
      </c>
      <c r="H104" s="18">
        <f t="shared" si="40"/>
        <v>87408161.280300021</v>
      </c>
      <c r="I104" s="93">
        <f>10685524*1601.528</f>
        <v>17113165880.672001</v>
      </c>
      <c r="J104" s="19">
        <f t="shared" si="46"/>
        <v>1.0275960749881154E-2</v>
      </c>
      <c r="K104" s="40">
        <f>9629688*1670.47</f>
        <v>16086104913.360001</v>
      </c>
      <c r="L104" s="19">
        <f t="shared" si="47"/>
        <v>9.0046931339383875E-3</v>
      </c>
      <c r="M104" s="19">
        <f t="shared" si="41"/>
        <v>-6.0015836606363192E-2</v>
      </c>
      <c r="N104" s="20">
        <f t="shared" si="48"/>
        <v>1.5921658105641635E-3</v>
      </c>
      <c r="O104" s="21">
        <f t="shared" si="49"/>
        <v>5.43376794762198E-3</v>
      </c>
      <c r="P104" s="22">
        <f t="shared" si="50"/>
        <v>1922.063028745803</v>
      </c>
      <c r="Q104" s="22">
        <f t="shared" si="51"/>
        <v>10.444044478908168</v>
      </c>
      <c r="R104" s="24">
        <f>1.1506*1670.47</f>
        <v>1922.0427820000002</v>
      </c>
      <c r="S104" s="24">
        <f>1.1506*1670.47</f>
        <v>1922.0427820000002</v>
      </c>
      <c r="T104" s="24">
        <v>296</v>
      </c>
      <c r="U104" s="24">
        <v>9324872</v>
      </c>
      <c r="V104" s="24">
        <v>8369187</v>
      </c>
    </row>
    <row r="105" spans="1:24" ht="12.9" customHeight="1">
      <c r="A105" s="35">
        <v>91</v>
      </c>
      <c r="B105" s="27" t="s">
        <v>216</v>
      </c>
      <c r="C105" s="65" t="s">
        <v>104</v>
      </c>
      <c r="D105" s="24">
        <f>2347153.71*1670.47</f>
        <v>3920849857.9436998</v>
      </c>
      <c r="E105" s="40">
        <f>16651.14*1670.47</f>
        <v>27815229.8358</v>
      </c>
      <c r="F105" s="40">
        <v>0</v>
      </c>
      <c r="G105" s="40">
        <f>3104.76*1670.47</f>
        <v>5186408.4372000005</v>
      </c>
      <c r="H105" s="18">
        <f t="shared" si="40"/>
        <v>22628821.398599997</v>
      </c>
      <c r="I105" s="93">
        <f>2022882.8*1601.528</f>
        <v>3239703444.9184003</v>
      </c>
      <c r="J105" s="19">
        <f t="shared" si="46"/>
        <v>1.9453481415052448E-3</v>
      </c>
      <c r="K105" s="40">
        <f>2328239.6*1670.47</f>
        <v>3889254404.612</v>
      </c>
      <c r="L105" s="19">
        <f t="shared" si="47"/>
        <v>2.1771300524257337E-3</v>
      </c>
      <c r="M105" s="19">
        <f t="shared" si="41"/>
        <v>0.20049704262667789</v>
      </c>
      <c r="N105" s="20">
        <f t="shared" si="48"/>
        <v>1.3335225463908442E-3</v>
      </c>
      <c r="O105" s="21">
        <f t="shared" si="49"/>
        <v>5.8182929282707841E-3</v>
      </c>
      <c r="P105" s="22">
        <f t="shared" si="50"/>
        <v>1757.6687892101941</v>
      </c>
      <c r="Q105" s="22">
        <f t="shared" si="51"/>
        <v>10.226631886503943</v>
      </c>
      <c r="R105" s="24">
        <f>1.0522*1670.47</f>
        <v>1757.6685340000001</v>
      </c>
      <c r="S105" s="24">
        <f>1.0522*1670.47</f>
        <v>1757.6685340000001</v>
      </c>
      <c r="T105" s="24">
        <v>262</v>
      </c>
      <c r="U105" s="24">
        <v>1934041.51</v>
      </c>
      <c r="V105" s="24">
        <v>2212734.52</v>
      </c>
    </row>
    <row r="106" spans="1:24" ht="12.9" customHeight="1">
      <c r="A106" s="35">
        <v>92</v>
      </c>
      <c r="B106" s="27" t="s">
        <v>217</v>
      </c>
      <c r="C106" s="65" t="s">
        <v>218</v>
      </c>
      <c r="D106" s="24">
        <f>399094.42*1670.47</f>
        <v>666675255.77740002</v>
      </c>
      <c r="E106" s="40">
        <f>6003.42*1670.47</f>
        <v>10028533.0074</v>
      </c>
      <c r="F106" s="40">
        <v>0</v>
      </c>
      <c r="G106" s="40">
        <f>872.54*1670.47</f>
        <v>1457551.8938</v>
      </c>
      <c r="H106" s="18">
        <f t="shared" si="40"/>
        <v>8570981.1136000007</v>
      </c>
      <c r="I106" s="93">
        <f>379392.9*1601.528</f>
        <v>607608352.3512001</v>
      </c>
      <c r="J106" s="19">
        <f t="shared" si="46"/>
        <v>3.6485122762192908E-4</v>
      </c>
      <c r="K106" s="40">
        <f>391669.39*1670.47</f>
        <v>654271965.91330004</v>
      </c>
      <c r="L106" s="19">
        <f t="shared" si="47"/>
        <v>3.6624890307005136E-4</v>
      </c>
      <c r="M106" s="19">
        <f t="shared" si="41"/>
        <v>7.6798834942822136E-2</v>
      </c>
      <c r="N106" s="20">
        <f t="shared" si="48"/>
        <v>2.2277462121816564E-3</v>
      </c>
      <c r="O106" s="21">
        <f t="shared" si="49"/>
        <v>1.310002806193254E-2</v>
      </c>
      <c r="P106" s="22">
        <f t="shared" si="50"/>
        <v>1779.785740069095</v>
      </c>
      <c r="Q106" s="22">
        <f t="shared" si="51"/>
        <v>23.315243139132519</v>
      </c>
      <c r="R106" s="24">
        <f>1*1670.47</f>
        <v>1670.47</v>
      </c>
      <c r="S106" s="24">
        <f>1*1670.47</f>
        <v>1670.47</v>
      </c>
      <c r="T106" s="24">
        <v>15</v>
      </c>
      <c r="U106" s="24">
        <v>367612.77</v>
      </c>
      <c r="V106" s="24">
        <v>367612.77</v>
      </c>
    </row>
    <row r="107" spans="1:24" ht="12.9" customHeight="1">
      <c r="A107" s="35">
        <v>93</v>
      </c>
      <c r="B107" s="27" t="s">
        <v>219</v>
      </c>
      <c r="C107" s="65" t="s">
        <v>47</v>
      </c>
      <c r="D107" s="24">
        <f>385857.72*1670.47</f>
        <v>644563745.52839994</v>
      </c>
      <c r="E107" s="40">
        <v>0</v>
      </c>
      <c r="F107" s="40">
        <v>0</v>
      </c>
      <c r="G107" s="40">
        <f>612.2*1670.47</f>
        <v>1022661.7340000001</v>
      </c>
      <c r="H107" s="18">
        <f t="shared" si="40"/>
        <v>-1022661.7340000001</v>
      </c>
      <c r="I107" s="93">
        <f>484503.22*1601.528</f>
        <v>775945472.92015994</v>
      </c>
      <c r="J107" s="19">
        <f t="shared" si="46"/>
        <v>4.6593279580028392E-4</v>
      </c>
      <c r="K107" s="40">
        <f>391611.12*1670.47</f>
        <v>654174627.62639999</v>
      </c>
      <c r="L107" s="19">
        <f t="shared" si="47"/>
        <v>3.6619441496317658E-4</v>
      </c>
      <c r="M107" s="19">
        <f t="shared" si="41"/>
        <v>-0.15693221952245273</v>
      </c>
      <c r="N107" s="20">
        <f t="shared" si="48"/>
        <v>1.5632855369377664E-3</v>
      </c>
      <c r="O107" s="21">
        <f t="shared" si="49"/>
        <v>-1.5632855369377664E-3</v>
      </c>
      <c r="P107" s="22">
        <f t="shared" si="50"/>
        <v>1848.5997108883637</v>
      </c>
      <c r="Q107" s="22">
        <f t="shared" si="51"/>
        <v>-2.8898891916191154</v>
      </c>
      <c r="R107" s="24">
        <f>1.1762*1670.47</f>
        <v>1964.8068139999998</v>
      </c>
      <c r="S107" s="24">
        <f>1.1762*1670.47</f>
        <v>1964.8068139999998</v>
      </c>
      <c r="T107" s="24">
        <v>43</v>
      </c>
      <c r="U107" s="24">
        <v>351740.36</v>
      </c>
      <c r="V107" s="24">
        <v>353875.76</v>
      </c>
    </row>
    <row r="108" spans="1:24" ht="12.9" customHeight="1">
      <c r="A108" s="35">
        <v>94</v>
      </c>
      <c r="B108" s="27" t="s">
        <v>220</v>
      </c>
      <c r="C108" s="65" t="s">
        <v>172</v>
      </c>
      <c r="D108" s="24">
        <f>327526.9*1670.47</f>
        <v>547123860.64300001</v>
      </c>
      <c r="E108" s="40">
        <f>2290.67*1670.47</f>
        <v>3826495.5149000003</v>
      </c>
      <c r="F108" s="40">
        <v>0</v>
      </c>
      <c r="G108" s="40">
        <f>863.17*1670.47</f>
        <v>1441899.5899</v>
      </c>
      <c r="H108" s="18">
        <f t="shared" si="40"/>
        <v>2384595.9250000003</v>
      </c>
      <c r="I108" s="93">
        <f>392552.02*1601.528</f>
        <v>628683051.48655999</v>
      </c>
      <c r="J108" s="19">
        <f t="shared" si="46"/>
        <v>3.7750597441983766E-4</v>
      </c>
      <c r="K108" s="40">
        <f>407771.37*1670.47</f>
        <v>681169840.44389999</v>
      </c>
      <c r="L108" s="19">
        <f t="shared" si="47"/>
        <v>3.8130581755666952E-4</v>
      </c>
      <c r="M108" s="19">
        <f t="shared" si="41"/>
        <v>8.3486883944511855E-2</v>
      </c>
      <c r="N108" s="20">
        <f t="shared" si="48"/>
        <v>2.1167989307341512E-3</v>
      </c>
      <c r="O108" s="21">
        <f t="shared" si="49"/>
        <v>3.5007362091163982E-3</v>
      </c>
      <c r="P108" s="22">
        <f t="shared" si="50"/>
        <v>180013.17136466701</v>
      </c>
      <c r="Q108" s="22">
        <f t="shared" si="51"/>
        <v>630.17862711416501</v>
      </c>
      <c r="R108" s="24">
        <f>106.48*1670.47</f>
        <v>177871.64560000002</v>
      </c>
      <c r="S108" s="24">
        <f>107.78*1670.47</f>
        <v>180043.25659999999</v>
      </c>
      <c r="T108" s="24">
        <v>46</v>
      </c>
      <c r="U108" s="24">
        <v>3784</v>
      </c>
      <c r="V108" s="24">
        <v>3784</v>
      </c>
    </row>
    <row r="109" spans="1:24" ht="12" customHeight="1">
      <c r="A109" s="35">
        <v>95</v>
      </c>
      <c r="B109" s="17" t="s">
        <v>135</v>
      </c>
      <c r="C109" s="25" t="s">
        <v>70</v>
      </c>
      <c r="D109" s="46">
        <f>427135.19*1670.47</f>
        <v>713516520.83930004</v>
      </c>
      <c r="E109" s="40">
        <f>20945.54*1670.47</f>
        <v>34988896.2038</v>
      </c>
      <c r="F109" s="40"/>
      <c r="G109" s="40">
        <f>5303.38*1670.47</f>
        <v>8859137.1886</v>
      </c>
      <c r="H109" s="18">
        <f t="shared" si="40"/>
        <v>26129759.0152</v>
      </c>
      <c r="I109" s="78">
        <f>3082383.84*1601.528</f>
        <v>4936524026.5075197</v>
      </c>
      <c r="J109" s="19">
        <f t="shared" si="46"/>
        <v>2.9642397842078636E-3</v>
      </c>
      <c r="K109" s="46">
        <f>3178282.87*1670.47</f>
        <v>5309226185.8488998</v>
      </c>
      <c r="L109" s="19">
        <f t="shared" si="47"/>
        <v>2.9720030324142375E-3</v>
      </c>
      <c r="M109" s="19">
        <f t="shared" si="41"/>
        <v>7.5498905168918731E-2</v>
      </c>
      <c r="N109" s="20">
        <f t="shared" si="48"/>
        <v>1.6686305835326735E-3</v>
      </c>
      <c r="O109" s="21">
        <f t="shared" si="49"/>
        <v>4.9215757815791895E-3</v>
      </c>
      <c r="P109" s="22">
        <f t="shared" si="50"/>
        <v>184310.24545818707</v>
      </c>
      <c r="Q109" s="22">
        <f t="shared" si="51"/>
        <v>907.09684034392933</v>
      </c>
      <c r="R109" s="40">
        <f>110.17*1670.47</f>
        <v>184035.67990000002</v>
      </c>
      <c r="S109" s="40">
        <f>110.17*1670.47</f>
        <v>184035.67990000002</v>
      </c>
      <c r="T109" s="24">
        <v>53</v>
      </c>
      <c r="U109" s="24">
        <v>28082.98</v>
      </c>
      <c r="V109" s="46">
        <v>28805.919999999998</v>
      </c>
    </row>
    <row r="110" spans="1:24" ht="12" customHeight="1">
      <c r="A110" s="35">
        <v>96</v>
      </c>
      <c r="B110" s="17" t="s">
        <v>136</v>
      </c>
      <c r="C110" s="17" t="s">
        <v>137</v>
      </c>
      <c r="D110" s="46">
        <v>57134373924.919998</v>
      </c>
      <c r="E110" s="46">
        <v>415185773.22000003</v>
      </c>
      <c r="F110" s="46"/>
      <c r="G110" s="46">
        <v>91959606.329999998</v>
      </c>
      <c r="H110" s="18">
        <f t="shared" si="40"/>
        <v>323226166.89000005</v>
      </c>
      <c r="I110" s="79">
        <v>56660092006.360001</v>
      </c>
      <c r="J110" s="19">
        <f t="shared" si="46"/>
        <v>3.4022745154337682E-2</v>
      </c>
      <c r="K110" s="37">
        <v>56050988816.559998</v>
      </c>
      <c r="L110" s="19">
        <f t="shared" si="47"/>
        <v>3.1376268951705533E-2</v>
      </c>
      <c r="M110" s="19">
        <f t="shared" si="41"/>
        <v>-1.0750127086479709E-2</v>
      </c>
      <c r="N110" s="20">
        <f t="shared" si="48"/>
        <v>1.6406419988585638E-3</v>
      </c>
      <c r="O110" s="21">
        <f t="shared" si="49"/>
        <v>5.7666452227601809E-3</v>
      </c>
      <c r="P110" s="22">
        <f t="shared" si="50"/>
        <v>205226.27148909995</v>
      </c>
      <c r="Q110" s="22">
        <f t="shared" si="51"/>
        <v>1183.4670980675021</v>
      </c>
      <c r="R110" s="37">
        <f>124.75*1645.13</f>
        <v>205229.96750000003</v>
      </c>
      <c r="S110" s="37">
        <f>124.75*1645.13</f>
        <v>205229.96750000003</v>
      </c>
      <c r="T110" s="24">
        <v>2213</v>
      </c>
      <c r="U110" s="24">
        <v>262534</v>
      </c>
      <c r="V110" s="24">
        <v>273118</v>
      </c>
    </row>
    <row r="111" spans="1:24" ht="12.6" customHeight="1">
      <c r="A111" s="35">
        <v>97</v>
      </c>
      <c r="B111" s="64" t="s">
        <v>138</v>
      </c>
      <c r="C111" s="64" t="s">
        <v>137</v>
      </c>
      <c r="D111" s="51">
        <v>103204756776.7</v>
      </c>
      <c r="E111" s="51">
        <v>812424818.07000005</v>
      </c>
      <c r="F111" s="51"/>
      <c r="G111" s="51">
        <v>163278807.69999999</v>
      </c>
      <c r="H111" s="45">
        <f t="shared" si="40"/>
        <v>649146010.37000012</v>
      </c>
      <c r="I111" s="79">
        <v>94970291070.910004</v>
      </c>
      <c r="J111" s="19">
        <f t="shared" si="46"/>
        <v>5.7026910757154291E-2</v>
      </c>
      <c r="K111" s="53">
        <v>102844062374.39</v>
      </c>
      <c r="L111" s="19">
        <f t="shared" si="47"/>
        <v>5.7570134430732445E-2</v>
      </c>
      <c r="M111" s="19">
        <f t="shared" si="41"/>
        <v>8.290773056177124E-2</v>
      </c>
      <c r="N111" s="20">
        <f t="shared" si="48"/>
        <v>1.5876347543099321E-3</v>
      </c>
      <c r="O111" s="21">
        <f t="shared" si="49"/>
        <v>6.3119444660487177E-3</v>
      </c>
      <c r="P111" s="22">
        <f t="shared" si="50"/>
        <v>191884.70650186206</v>
      </c>
      <c r="Q111" s="22">
        <f t="shared" si="51"/>
        <v>1211.1656113238107</v>
      </c>
      <c r="R111" s="53">
        <f>117.01*1639.84</f>
        <v>191877.6784</v>
      </c>
      <c r="S111" s="53">
        <f>117.01*1639.84</f>
        <v>191877.6784</v>
      </c>
      <c r="T111" s="51">
        <v>565</v>
      </c>
      <c r="U111" s="53">
        <v>486511</v>
      </c>
      <c r="V111" s="53">
        <v>535968</v>
      </c>
    </row>
    <row r="112" spans="1:24" s="3" customFormat="1">
      <c r="A112" s="35">
        <v>98</v>
      </c>
      <c r="B112" s="27" t="s">
        <v>139</v>
      </c>
      <c r="C112" s="65" t="s">
        <v>140</v>
      </c>
      <c r="D112" s="24">
        <f>124293.99*1670.47</f>
        <v>207629381.47530001</v>
      </c>
      <c r="E112" s="24">
        <f>1526.25*1670.47</f>
        <v>2549554.8374999999</v>
      </c>
      <c r="F112" s="24"/>
      <c r="G112" s="24">
        <f xml:space="preserve"> 135.62*1670.47</f>
        <v>226549.14140000002</v>
      </c>
      <c r="H112" s="18">
        <f t="shared" si="40"/>
        <v>2323005.6960999998</v>
      </c>
      <c r="I112" s="77">
        <f>118300.01*1601.528</f>
        <v>189460778.41527998</v>
      </c>
      <c r="J112" s="19">
        <f t="shared" si="46"/>
        <v>1.1376571326502546E-4</v>
      </c>
      <c r="K112" s="40">
        <f>118529.59*1670.47</f>
        <v>198000124.20730001</v>
      </c>
      <c r="L112" s="19">
        <f t="shared" si="47"/>
        <v>1.1083667354970713E-4</v>
      </c>
      <c r="M112" s="19">
        <f t="shared" si="41"/>
        <v>4.5071839477522836E-2</v>
      </c>
      <c r="N112" s="20">
        <f t="shared" si="48"/>
        <v>1.1441868650688828E-3</v>
      </c>
      <c r="O112" s="21">
        <f t="shared" si="49"/>
        <v>1.1732344640692673E-2</v>
      </c>
      <c r="P112" s="22">
        <f t="shared" si="50"/>
        <v>178225.95454997974</v>
      </c>
      <c r="Q112" s="22">
        <f t="shared" si="51"/>
        <v>2091.0083226967909</v>
      </c>
      <c r="R112" s="37">
        <f>116.5247*1670.47</f>
        <v>194651.01560899999</v>
      </c>
      <c r="S112" s="37">
        <f>116.5247*1670.47</f>
        <v>194651.01560899999</v>
      </c>
      <c r="T112" s="24">
        <v>5</v>
      </c>
      <c r="U112" s="24">
        <v>1024.96</v>
      </c>
      <c r="V112" s="24">
        <v>1110.95</v>
      </c>
      <c r="W112" s="5"/>
      <c r="X112" s="5"/>
    </row>
    <row r="113" spans="1:22">
      <c r="A113" s="35">
        <v>99</v>
      </c>
      <c r="B113" s="64" t="s">
        <v>141</v>
      </c>
      <c r="C113" s="64" t="s">
        <v>142</v>
      </c>
      <c r="D113" s="51">
        <f>10154024.74*1670.47</f>
        <v>16961993707.427801</v>
      </c>
      <c r="E113" s="45">
        <f>60115.5*1670.47</f>
        <v>100421139.285</v>
      </c>
      <c r="F113" s="45"/>
      <c r="G113" s="45">
        <f>17105.98*1670.47</f>
        <v>28575026.410599999</v>
      </c>
      <c r="H113" s="45">
        <f t="shared" si="40"/>
        <v>71846112.87439999</v>
      </c>
      <c r="I113" s="78">
        <f>10470138.37*1601.528</f>
        <v>16768219763.429359</v>
      </c>
      <c r="J113" s="19">
        <f t="shared" si="46"/>
        <v>1.0068830591363103E-2</v>
      </c>
      <c r="K113" s="51">
        <f>10115132.63*1670.47</f>
        <v>16897025604.436102</v>
      </c>
      <c r="L113" s="19">
        <f t="shared" si="47"/>
        <v>9.4586309901460112E-3</v>
      </c>
      <c r="M113" s="19">
        <f t="shared" si="41"/>
        <v>7.6815453771462081E-3</v>
      </c>
      <c r="N113" s="20">
        <f t="shared" si="48"/>
        <v>1.6911276031385065E-3</v>
      </c>
      <c r="O113" s="21">
        <f t="shared" si="49"/>
        <v>4.2519976329761667E-3</v>
      </c>
      <c r="P113" s="22">
        <f t="shared" si="50"/>
        <v>2296.9068953369615</v>
      </c>
      <c r="Q113" s="22">
        <f t="shared" si="51"/>
        <v>9.766442682139397</v>
      </c>
      <c r="R113" s="53">
        <f>1.38*1670.47</f>
        <v>2305.2485999999999</v>
      </c>
      <c r="S113" s="53">
        <f>1.38*1670.47</f>
        <v>2305.2485999999999</v>
      </c>
      <c r="T113" s="51">
        <v>110</v>
      </c>
      <c r="U113" s="51">
        <v>7644888</v>
      </c>
      <c r="V113" s="51">
        <v>7356426</v>
      </c>
    </row>
    <row r="114" spans="1:22">
      <c r="A114" s="35">
        <v>100</v>
      </c>
      <c r="B114" s="17" t="s">
        <v>143</v>
      </c>
      <c r="C114" s="17" t="s">
        <v>49</v>
      </c>
      <c r="D114" s="24">
        <f>135691864*1670.47</f>
        <v>226669188056.08002</v>
      </c>
      <c r="E114" s="40">
        <f>967331*1670.47</f>
        <v>1615897415.5699999</v>
      </c>
      <c r="F114" s="40"/>
      <c r="G114" s="24">
        <f>194272*1670.47</f>
        <v>324525547.84000003</v>
      </c>
      <c r="H114" s="18">
        <f t="shared" si="40"/>
        <v>1291371867.73</v>
      </c>
      <c r="I114" s="77">
        <f>144299653*1601.528</f>
        <v>231099934669.784</v>
      </c>
      <c r="J114" s="19">
        <f t="shared" si="46"/>
        <v>0.13876882129968265</v>
      </c>
      <c r="K114" s="40">
        <f>143756188*1670.47</f>
        <v>240140399368.36002</v>
      </c>
      <c r="L114" s="19">
        <f t="shared" si="47"/>
        <v>0.13442599168786737</v>
      </c>
      <c r="M114" s="19">
        <f t="shared" si="41"/>
        <v>3.9119287123528759E-2</v>
      </c>
      <c r="N114" s="20">
        <f t="shared" si="48"/>
        <v>1.3513992176809808E-3</v>
      </c>
      <c r="O114" s="21">
        <f t="shared" si="49"/>
        <v>5.3775702510976426E-3</v>
      </c>
      <c r="P114" s="22">
        <f t="shared" si="50"/>
        <v>206657.18266192666</v>
      </c>
      <c r="Q114" s="22">
        <f t="shared" si="51"/>
        <v>1111.3135176584285</v>
      </c>
      <c r="R114" s="40">
        <f>124*1670.47</f>
        <v>207138.28</v>
      </c>
      <c r="S114" s="40">
        <f>124*1670.47</f>
        <v>207138.28</v>
      </c>
      <c r="T114" s="24">
        <v>1036</v>
      </c>
      <c r="U114" s="24">
        <v>1169916</v>
      </c>
      <c r="V114" s="24">
        <v>1162023</v>
      </c>
    </row>
    <row r="115" spans="1:22" ht="13.95" customHeight="1">
      <c r="A115" s="35">
        <v>101</v>
      </c>
      <c r="B115" s="17" t="s">
        <v>144</v>
      </c>
      <c r="C115" s="17" t="s">
        <v>145</v>
      </c>
      <c r="D115" s="50">
        <v>29969224253.720001</v>
      </c>
      <c r="E115" s="40">
        <v>258560055.31999999</v>
      </c>
      <c r="F115" s="40">
        <v>0</v>
      </c>
      <c r="G115" s="46">
        <v>58448779.600000001</v>
      </c>
      <c r="H115" s="18">
        <f t="shared" si="40"/>
        <v>200111275.72</v>
      </c>
      <c r="I115" s="77">
        <v>24481019537.23</v>
      </c>
      <c r="J115" s="19">
        <f t="shared" si="46"/>
        <v>1.4700143599132265E-2</v>
      </c>
      <c r="K115" s="40">
        <v>30243199217.48</v>
      </c>
      <c r="L115" s="19">
        <f t="shared" si="47"/>
        <v>1.6929563111066994E-2</v>
      </c>
      <c r="M115" s="19">
        <f t="shared" si="41"/>
        <v>0.23537335409936871</v>
      </c>
      <c r="N115" s="20">
        <f t="shared" si="48"/>
        <v>1.9326255525975475E-3</v>
      </c>
      <c r="O115" s="21">
        <f t="shared" si="49"/>
        <v>6.6167363538821465E-3</v>
      </c>
      <c r="P115" s="22">
        <f t="shared" si="50"/>
        <v>171268.06062542473</v>
      </c>
      <c r="Q115" s="22">
        <f t="shared" si="51"/>
        <v>1133.2356029991392</v>
      </c>
      <c r="R115" s="40">
        <v>171268.06</v>
      </c>
      <c r="S115" s="40">
        <v>171268.06</v>
      </c>
      <c r="T115" s="24">
        <v>404</v>
      </c>
      <c r="U115" s="24">
        <v>141953</v>
      </c>
      <c r="V115" s="24">
        <v>176584</v>
      </c>
    </row>
    <row r="116" spans="1:22">
      <c r="A116" s="35">
        <v>102</v>
      </c>
      <c r="B116" s="64" t="s">
        <v>146</v>
      </c>
      <c r="C116" s="64" t="s">
        <v>41</v>
      </c>
      <c r="D116" s="51">
        <f>1958746.81*1670.47</f>
        <v>3272027783.7007003</v>
      </c>
      <c r="E116" s="51">
        <f>31426.54*1670.47</f>
        <v>52497092.273800001</v>
      </c>
      <c r="F116" s="51">
        <v>0</v>
      </c>
      <c r="G116" s="51">
        <f>1990.77*1670.47</f>
        <v>3325521.5619000001</v>
      </c>
      <c r="H116" s="45">
        <f t="shared" si="40"/>
        <v>49171570.711900003</v>
      </c>
      <c r="I116" s="77">
        <f>2047306.76*1601.528</f>
        <v>3278819100.72928</v>
      </c>
      <c r="J116" s="19">
        <f t="shared" si="46"/>
        <v>1.9688359605693042E-3</v>
      </c>
      <c r="K116" s="68">
        <f>2047306.76*1670.47</f>
        <v>3419964523.3772001</v>
      </c>
      <c r="L116" s="19">
        <f t="shared" si="47"/>
        <v>1.9144305739539689E-3</v>
      </c>
      <c r="M116" s="19">
        <f t="shared" si="41"/>
        <v>4.3047639504273462E-2</v>
      </c>
      <c r="N116" s="20">
        <f t="shared" si="48"/>
        <v>9.7238481252316092E-4</v>
      </c>
      <c r="O116" s="21">
        <f t="shared" si="49"/>
        <v>1.4377801399923089E-2</v>
      </c>
      <c r="P116" s="22">
        <f t="shared" si="50"/>
        <v>243996.65845087625</v>
      </c>
      <c r="Q116" s="22">
        <f t="shared" si="51"/>
        <v>3508.1354974515643</v>
      </c>
      <c r="R116" s="51">
        <f>132.63*1670.47</f>
        <v>221554.43609999999</v>
      </c>
      <c r="S116" s="68">
        <f>136.77*1670.47</f>
        <v>228470.18190000003</v>
      </c>
      <c r="T116" s="51">
        <v>46</v>
      </c>
      <c r="U116" s="51">
        <v>14150.44</v>
      </c>
      <c r="V116" s="51">
        <v>14016.44</v>
      </c>
    </row>
    <row r="117" spans="1:22" ht="8.1" customHeight="1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</row>
    <row r="118" spans="1:22">
      <c r="A118" s="126" t="s">
        <v>147</v>
      </c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</row>
    <row r="119" spans="1:22">
      <c r="A119" s="70">
        <v>103</v>
      </c>
      <c r="B119" s="17" t="s">
        <v>148</v>
      </c>
      <c r="C119" s="25" t="s">
        <v>102</v>
      </c>
      <c r="D119" s="44">
        <f>953908.1*1670.47</f>
        <v>1593474863.8069999</v>
      </c>
      <c r="E119" s="24">
        <f>8322.06*1670.47</f>
        <v>13901751.5682</v>
      </c>
      <c r="F119" s="24"/>
      <c r="G119" s="24">
        <f>1892.66*1670.47</f>
        <v>3161631.7502000001</v>
      </c>
      <c r="H119" s="18">
        <f t="shared" ref="H119:H131" si="52">(E119+F119)-G119</f>
        <v>10740119.818</v>
      </c>
      <c r="I119" s="11">
        <f>1163473.27*1601.528</f>
        <v>1863335019.1565599</v>
      </c>
      <c r="J119" s="19">
        <f>(I119/$I$132)</f>
        <v>1.1188787424983443E-3</v>
      </c>
      <c r="K119" s="24">
        <f>1149868.51*1670.47</f>
        <v>1920820849.8997002</v>
      </c>
      <c r="L119" s="19">
        <f>(K119/$K$132)</f>
        <v>1.0752386865419696E-3</v>
      </c>
      <c r="M119" s="19">
        <f t="shared" ref="M119:M132" si="53">((K119-I119)/I119)</f>
        <v>3.0851044043148628E-2</v>
      </c>
      <c r="N119" s="20">
        <f t="shared" ref="N119" si="54">(G119/K119)</f>
        <v>1.6459795042130512E-3</v>
      </c>
      <c r="O119" s="21">
        <f t="shared" ref="O119" si="55">H119/K119</f>
        <v>5.5914219270166805E-3</v>
      </c>
      <c r="P119" s="33">
        <f t="shared" ref="P119" si="56">K119/V119</f>
        <v>174938.14662110203</v>
      </c>
      <c r="Q119" s="33">
        <f t="shared" ref="Q119" si="57">H119/V119</f>
        <v>978.1529888888889</v>
      </c>
      <c r="R119" s="24">
        <f>106.65*1670.47</f>
        <v>178155.62550000002</v>
      </c>
      <c r="S119" s="24">
        <f>106.65*1670.47</f>
        <v>178155.62550000002</v>
      </c>
      <c r="T119" s="24">
        <v>20</v>
      </c>
      <c r="U119" s="24">
        <v>10802</v>
      </c>
      <c r="V119" s="46">
        <v>10980</v>
      </c>
    </row>
    <row r="120" spans="1:22">
      <c r="A120" s="70">
        <v>104</v>
      </c>
      <c r="B120" s="17" t="s">
        <v>149</v>
      </c>
      <c r="C120" s="25" t="s">
        <v>27</v>
      </c>
      <c r="D120" s="23">
        <f>8381798.15*1670.47</f>
        <v>14001542355.630501</v>
      </c>
      <c r="E120" s="24">
        <f>66842.23*1670.47</f>
        <v>111657939.9481</v>
      </c>
      <c r="F120" s="24">
        <v>0</v>
      </c>
      <c r="G120" s="24">
        <f>9512.97*1670.47</f>
        <v>15891130.9959</v>
      </c>
      <c r="H120" s="18">
        <f t="shared" si="52"/>
        <v>95766808.952199996</v>
      </c>
      <c r="I120" s="94">
        <f>10033091.16*1601.528</f>
        <v>16068276419.29248</v>
      </c>
      <c r="J120" s="19">
        <f t="shared" ref="J120:J131" si="58">(I120/$I$132)</f>
        <v>9.6485348739228493E-3</v>
      </c>
      <c r="K120" s="24">
        <f>11203653.7*1670.47</f>
        <v>18715367396.238998</v>
      </c>
      <c r="L120" s="19">
        <f t="shared" ref="L120:L131" si="59">(K120/$K$132)</f>
        <v>1.0476503864654121E-2</v>
      </c>
      <c r="M120" s="19">
        <f t="shared" si="53"/>
        <v>0.16474019414853175</v>
      </c>
      <c r="N120" s="20">
        <f t="shared" ref="N120:N131" si="60">(G120/K120)</f>
        <v>8.4909532682182071E-4</v>
      </c>
      <c r="O120" s="21">
        <f t="shared" ref="O120:O131" si="61">H120/K120</f>
        <v>5.117014639608149E-3</v>
      </c>
      <c r="P120" s="33">
        <f t="shared" ref="P120:P131" si="62">K120/V120</f>
        <v>221352.97408155986</v>
      </c>
      <c r="Q120" s="33">
        <f t="shared" ref="Q120:Q131" si="63">H120/V120</f>
        <v>1132.666408896145</v>
      </c>
      <c r="R120" s="24">
        <f>131.85*1670.47</f>
        <v>220251.46950000001</v>
      </c>
      <c r="S120" s="24">
        <f>133.17*1670.47</f>
        <v>222456.48989999999</v>
      </c>
      <c r="T120" s="24">
        <v>486</v>
      </c>
      <c r="U120" s="24">
        <v>75693.52</v>
      </c>
      <c r="V120" s="24">
        <v>84549.88</v>
      </c>
    </row>
    <row r="121" spans="1:22" ht="14.1" customHeight="1">
      <c r="A121" s="70">
        <v>105</v>
      </c>
      <c r="B121" s="64" t="s">
        <v>150</v>
      </c>
      <c r="C121" s="64" t="s">
        <v>61</v>
      </c>
      <c r="D121" s="43">
        <f>9347462.41*1670.47</f>
        <v>15614655532.0327</v>
      </c>
      <c r="E121" s="51">
        <f>72391.63*1670.47</f>
        <v>120928046.16610001</v>
      </c>
      <c r="F121" s="51"/>
      <c r="G121" s="51">
        <f>17428.87*1670.47</f>
        <v>29114404.468899999</v>
      </c>
      <c r="H121" s="45">
        <f t="shared" si="52"/>
        <v>91813641.697200015</v>
      </c>
      <c r="I121" s="85">
        <f>9957572.18*1601.528</f>
        <v>15947330658.29104</v>
      </c>
      <c r="J121" s="19">
        <f t="shared" si="58"/>
        <v>9.5759104453640755E-3</v>
      </c>
      <c r="K121" s="51">
        <f>10162860*1670.47</f>
        <v>16976752744.200001</v>
      </c>
      <c r="L121" s="19">
        <f t="shared" si="59"/>
        <v>9.5032607144880585E-3</v>
      </c>
      <c r="M121" s="19">
        <f t="shared" si="53"/>
        <v>6.4551372763677048E-2</v>
      </c>
      <c r="N121" s="20">
        <f t="shared" si="60"/>
        <v>1.7149572069279709E-3</v>
      </c>
      <c r="O121" s="21">
        <f t="shared" si="61"/>
        <v>5.4081980859718628E-3</v>
      </c>
      <c r="P121" s="33">
        <f t="shared" si="62"/>
        <v>192508.56412169596</v>
      </c>
      <c r="Q121" s="33">
        <f t="shared" si="63"/>
        <v>1041.1244480161477</v>
      </c>
      <c r="R121" s="51">
        <f>115.25*1670.47</f>
        <v>192521.66750000001</v>
      </c>
      <c r="S121" s="51">
        <f>115.25*1670.47</f>
        <v>192521.66750000001</v>
      </c>
      <c r="T121" s="51">
        <v>632</v>
      </c>
      <c r="U121" s="51">
        <v>86411</v>
      </c>
      <c r="V121" s="51">
        <v>88187</v>
      </c>
    </row>
    <row r="122" spans="1:22" ht="14.1" customHeight="1">
      <c r="A122" s="70">
        <v>106</v>
      </c>
      <c r="B122" s="17" t="s">
        <v>270</v>
      </c>
      <c r="C122" s="25" t="s">
        <v>65</v>
      </c>
      <c r="D122" s="43">
        <v>82848500</v>
      </c>
      <c r="E122" s="51">
        <v>0</v>
      </c>
      <c r="F122" s="51">
        <v>0</v>
      </c>
      <c r="G122" s="51">
        <v>359879.47</v>
      </c>
      <c r="H122" s="18">
        <f t="shared" si="52"/>
        <v>-359879.47</v>
      </c>
      <c r="I122" s="116">
        <v>0</v>
      </c>
      <c r="J122" s="19">
        <f t="shared" si="58"/>
        <v>0</v>
      </c>
      <c r="K122" s="51">
        <v>82199846.780000001</v>
      </c>
      <c r="L122" s="19">
        <f t="shared" si="59"/>
        <v>4.6013898323882486E-5</v>
      </c>
      <c r="M122" s="19" t="e">
        <f t="shared" si="53"/>
        <v>#DIV/0!</v>
      </c>
      <c r="N122" s="20">
        <f t="shared" si="60"/>
        <v>4.3781039028355229E-3</v>
      </c>
      <c r="O122" s="21">
        <f t="shared" si="61"/>
        <v>-4.3781039028355229E-3</v>
      </c>
      <c r="P122" s="33">
        <f t="shared" si="62"/>
        <v>1643.9969355999999</v>
      </c>
      <c r="Q122" s="33">
        <f t="shared" si="63"/>
        <v>-7.1975893999999991</v>
      </c>
      <c r="R122" s="51">
        <f>0.9921*1670.47</f>
        <v>1657.273287</v>
      </c>
      <c r="S122" s="51">
        <f>0.9921*1670.47</f>
        <v>1657.273287</v>
      </c>
      <c r="T122" s="51">
        <v>1</v>
      </c>
      <c r="U122" s="51">
        <v>50000</v>
      </c>
      <c r="V122" s="51">
        <v>50000</v>
      </c>
    </row>
    <row r="123" spans="1:22" ht="15" customHeight="1">
      <c r="A123" s="70">
        <v>107</v>
      </c>
      <c r="B123" s="17" t="s">
        <v>151</v>
      </c>
      <c r="C123" s="25" t="s">
        <v>59</v>
      </c>
      <c r="D123" s="23">
        <f>4056094.56*1670.47</f>
        <v>6775584279.6431999</v>
      </c>
      <c r="E123" s="24">
        <f>23877.16*1670.47</f>
        <v>39886079.4652</v>
      </c>
      <c r="F123" s="24">
        <v>0</v>
      </c>
      <c r="G123" s="24">
        <f>5381.6*1670.47</f>
        <v>8989801.352</v>
      </c>
      <c r="H123" s="18">
        <f t="shared" si="52"/>
        <v>30896278.113200001</v>
      </c>
      <c r="I123" s="11">
        <f>4072530.3*1601.528</f>
        <v>6522271306.2983999</v>
      </c>
      <c r="J123" s="19">
        <f t="shared" si="58"/>
        <v>3.9164351243328559E-3</v>
      </c>
      <c r="K123" s="24">
        <f>4088907.16*1670.47</f>
        <v>6830396743.5652008</v>
      </c>
      <c r="L123" s="19">
        <f t="shared" si="59"/>
        <v>3.8235251473322414E-3</v>
      </c>
      <c r="M123" s="19">
        <f t="shared" si="53"/>
        <v>4.7242045415874005E-2</v>
      </c>
      <c r="N123" s="20">
        <f t="shared" si="60"/>
        <v>1.3161462927419462E-3</v>
      </c>
      <c r="O123" s="21">
        <f t="shared" si="61"/>
        <v>4.5233504396808063E-3</v>
      </c>
      <c r="P123" s="33">
        <f t="shared" si="62"/>
        <v>2088.1838093873948</v>
      </c>
      <c r="Q123" s="33">
        <f t="shared" si="63"/>
        <v>9.4455871523268158</v>
      </c>
      <c r="R123" s="24">
        <f>1.25*1670.47</f>
        <v>2088.0875000000001</v>
      </c>
      <c r="S123" s="24">
        <f>1.25*1670.47</f>
        <v>2088.0875000000001</v>
      </c>
      <c r="T123" s="24">
        <v>219</v>
      </c>
      <c r="U123" s="24">
        <v>3272922.06</v>
      </c>
      <c r="V123" s="24">
        <v>3270974.86</v>
      </c>
    </row>
    <row r="124" spans="1:22" ht="15" customHeight="1">
      <c r="A124" s="70">
        <v>108</v>
      </c>
      <c r="B124" s="27" t="s">
        <v>252</v>
      </c>
      <c r="C124" s="65" t="s">
        <v>253</v>
      </c>
      <c r="D124" s="23">
        <f>1100612.98*1670.47</f>
        <v>1838540964.7005999</v>
      </c>
      <c r="E124" s="24">
        <f>50293.16*1670.47</f>
        <v>84013214.985200003</v>
      </c>
      <c r="F124" s="24">
        <v>0</v>
      </c>
      <c r="G124" s="24">
        <f>2305.44*1670.47</f>
        <v>3851168.3568000002</v>
      </c>
      <c r="H124" s="18">
        <f t="shared" si="52"/>
        <v>80162046.628399998</v>
      </c>
      <c r="I124" s="11">
        <f>1067595.89*1601.528</f>
        <v>1709784710.5199199</v>
      </c>
      <c r="J124" s="19">
        <f t="shared" si="58"/>
        <v>1.0266762268630379E-3</v>
      </c>
      <c r="K124" s="24">
        <f>926827.52*1610.917</f>
        <v>1493042208.03584</v>
      </c>
      <c r="L124" s="19">
        <f t="shared" si="59"/>
        <v>8.3577640403268577E-4</v>
      </c>
      <c r="M124" s="19">
        <f t="shared" si="53"/>
        <v>-0.12676596132279819</v>
      </c>
      <c r="N124" s="20">
        <f t="shared" si="60"/>
        <v>2.5794102377496579E-3</v>
      </c>
      <c r="O124" s="21">
        <f t="shared" si="61"/>
        <v>5.36904088825838E-2</v>
      </c>
      <c r="P124" s="33">
        <f t="shared" si="62"/>
        <v>1513.2287092822394</v>
      </c>
      <c r="Q124" s="33">
        <f t="shared" si="63"/>
        <v>81.245868134227962</v>
      </c>
      <c r="R124" s="24">
        <f>1.0902*1670.47</f>
        <v>1821.1463940000001</v>
      </c>
      <c r="S124" s="24">
        <f>1.1155*1670.47</f>
        <v>1863.409285</v>
      </c>
      <c r="T124" s="24">
        <v>36</v>
      </c>
      <c r="U124" s="24">
        <v>983661.12</v>
      </c>
      <c r="V124" s="24">
        <v>986659.98</v>
      </c>
    </row>
    <row r="125" spans="1:22" ht="15" customHeight="1">
      <c r="A125" s="70">
        <v>109</v>
      </c>
      <c r="B125" s="27" t="s">
        <v>254</v>
      </c>
      <c r="C125" s="65" t="s">
        <v>39</v>
      </c>
      <c r="D125" s="23">
        <f>1439655.16*1670.47</f>
        <v>2404900755.1251998</v>
      </c>
      <c r="E125" s="24">
        <f>15479.23*1670.47</f>
        <v>25857589.338100001</v>
      </c>
      <c r="F125" s="24">
        <v>0</v>
      </c>
      <c r="G125" s="24">
        <f>3599.6*1670.47</f>
        <v>6013023.8119999999</v>
      </c>
      <c r="H125" s="18">
        <f t="shared" si="52"/>
        <v>19844565.526100002</v>
      </c>
      <c r="I125" s="11">
        <f>1847575.51*1601.528</f>
        <v>2958943911.3792801</v>
      </c>
      <c r="J125" s="19">
        <f t="shared" si="58"/>
        <v>1.7767601685421937E-3</v>
      </c>
      <c r="K125" s="24">
        <f>2088864.28*1670.47</f>
        <v>3489385113.8116002</v>
      </c>
      <c r="L125" s="19">
        <f t="shared" si="59"/>
        <v>1.9532908895745276E-3</v>
      </c>
      <c r="M125" s="19">
        <f t="shared" si="53"/>
        <v>0.17926706903513442</v>
      </c>
      <c r="N125" s="20">
        <f t="shared" si="60"/>
        <v>1.7232330671095586E-3</v>
      </c>
      <c r="O125" s="21">
        <f t="shared" si="61"/>
        <v>5.6871239140534307E-3</v>
      </c>
      <c r="P125" s="33">
        <f t="shared" si="62"/>
        <v>17535.949446817183</v>
      </c>
      <c r="Q125" s="33">
        <f t="shared" si="63"/>
        <v>99.729117454626035</v>
      </c>
      <c r="R125" s="24">
        <f>10.5*1670.47</f>
        <v>17539.935000000001</v>
      </c>
      <c r="S125" s="24">
        <f>10.5*1670.47</f>
        <v>17539.935000000001</v>
      </c>
      <c r="T125" s="24">
        <v>69</v>
      </c>
      <c r="U125" s="24">
        <v>177072.33</v>
      </c>
      <c r="V125" s="24">
        <v>198984.67</v>
      </c>
    </row>
    <row r="126" spans="1:22">
      <c r="A126" s="70">
        <v>110</v>
      </c>
      <c r="B126" s="25" t="s">
        <v>152</v>
      </c>
      <c r="C126" s="25" t="s">
        <v>43</v>
      </c>
      <c r="D126" s="23">
        <f>14207837.05*1670.47</f>
        <v>23733765556.913502</v>
      </c>
      <c r="E126" s="24">
        <f>90250*1670.47</f>
        <v>150759917.5</v>
      </c>
      <c r="F126" s="24">
        <f>138693.62*1670.47</f>
        <v>231683531.4014</v>
      </c>
      <c r="G126" s="24">
        <f>23374.38*1670.47</f>
        <v>39046200.558600001</v>
      </c>
      <c r="H126" s="18">
        <f t="shared" si="52"/>
        <v>343397248.34279996</v>
      </c>
      <c r="I126" s="11">
        <f>12892478.38*1601.528</f>
        <v>20647665114.964642</v>
      </c>
      <c r="J126" s="19">
        <f t="shared" si="58"/>
        <v>1.2398325229681892E-2</v>
      </c>
      <c r="K126" s="24">
        <f>14215254.04*1670.47</f>
        <v>23746155416.198799</v>
      </c>
      <c r="L126" s="19">
        <f t="shared" si="59"/>
        <v>1.3292642549912097E-2</v>
      </c>
      <c r="M126" s="19">
        <f t="shared" si="53"/>
        <v>0.1500649242411671</v>
      </c>
      <c r="N126" s="20">
        <f t="shared" si="60"/>
        <v>1.6443167272443624E-3</v>
      </c>
      <c r="O126" s="21">
        <f t="shared" si="61"/>
        <v>1.4461172443457787E-2</v>
      </c>
      <c r="P126" s="33">
        <f t="shared" si="62"/>
        <v>1765.2906853461536</v>
      </c>
      <c r="Q126" s="33">
        <f t="shared" si="63"/>
        <v>25.52817301362051</v>
      </c>
      <c r="R126" s="24">
        <f>1.05*1670.47</f>
        <v>1753.9935</v>
      </c>
      <c r="S126" s="24">
        <f>1.05*1670.47</f>
        <v>1753.9935</v>
      </c>
      <c r="T126" s="24">
        <v>374</v>
      </c>
      <c r="U126" s="24">
        <v>12219454</v>
      </c>
      <c r="V126" s="24">
        <v>13451697</v>
      </c>
    </row>
    <row r="127" spans="1:22">
      <c r="A127" s="70">
        <v>111</v>
      </c>
      <c r="B127" s="17" t="s">
        <v>153</v>
      </c>
      <c r="C127" s="25" t="s">
        <v>85</v>
      </c>
      <c r="D127" s="23">
        <f>340224.94*1670.47</f>
        <v>568335555.52180004</v>
      </c>
      <c r="E127" s="24">
        <f>2130.02*1670.47</f>
        <v>3558134.5093999999</v>
      </c>
      <c r="F127" s="24">
        <f>5724.37*1670.47</f>
        <v>9562388.3539000005</v>
      </c>
      <c r="G127" s="24">
        <f>116.22*1670.47</f>
        <v>194142.02340000001</v>
      </c>
      <c r="H127" s="18">
        <f t="shared" si="52"/>
        <v>12926380.8399</v>
      </c>
      <c r="I127" s="11">
        <f>337307.28*1601.528</f>
        <v>540207053.52384007</v>
      </c>
      <c r="J127" s="19">
        <f t="shared" si="58"/>
        <v>3.2437869868891527E-4</v>
      </c>
      <c r="K127" s="24">
        <f>332291.74*1670.47</f>
        <v>555083382.91779995</v>
      </c>
      <c r="L127" s="19">
        <f t="shared" si="59"/>
        <v>3.1072503591418951E-4</v>
      </c>
      <c r="M127" s="19">
        <f t="shared" si="53"/>
        <v>2.7538199097771252E-2</v>
      </c>
      <c r="N127" s="20">
        <f t="shared" si="60"/>
        <v>3.4975290086957929E-4</v>
      </c>
      <c r="O127" s="21">
        <f t="shared" si="61"/>
        <v>2.3287277619359423E-2</v>
      </c>
      <c r="P127" s="33">
        <f t="shared" si="62"/>
        <v>1827.1763434898103</v>
      </c>
      <c r="Q127" s="33">
        <f t="shared" si="63"/>
        <v>42.549962770373249</v>
      </c>
      <c r="R127" s="24">
        <f>1.0901*1670.47</f>
        <v>1820.9793470000002</v>
      </c>
      <c r="S127" s="24">
        <f>1.0901*1670.47</f>
        <v>1820.9793470000002</v>
      </c>
      <c r="T127" s="24">
        <v>3</v>
      </c>
      <c r="U127" s="24">
        <v>303793</v>
      </c>
      <c r="V127" s="24">
        <v>303793</v>
      </c>
    </row>
    <row r="128" spans="1:22">
      <c r="A128" s="70">
        <v>112</v>
      </c>
      <c r="B128" s="17" t="s">
        <v>154</v>
      </c>
      <c r="C128" s="17" t="s">
        <v>45</v>
      </c>
      <c r="D128" s="23">
        <f>617575365.91*1670.47</f>
        <v>1031641121491.6776</v>
      </c>
      <c r="E128" s="46">
        <f>4705322.09*1670.47</f>
        <v>7860099391.6822996</v>
      </c>
      <c r="F128" s="46"/>
      <c r="G128" s="24">
        <f>1821388.39*1670.47</f>
        <v>3042574663.8432999</v>
      </c>
      <c r="H128" s="18">
        <f t="shared" si="52"/>
        <v>4817524727.8389997</v>
      </c>
      <c r="I128" s="11">
        <f>597822751.23*1601.528</f>
        <v>957429875131.87952</v>
      </c>
      <c r="J128" s="19">
        <f t="shared" si="58"/>
        <v>0.57490892604101074</v>
      </c>
      <c r="K128" s="24">
        <f>620104069.01*1670.47</f>
        <v>1035865244159.1346</v>
      </c>
      <c r="L128" s="19">
        <f t="shared" si="59"/>
        <v>0.57985750447383166</v>
      </c>
      <c r="M128" s="19">
        <f t="shared" si="53"/>
        <v>8.1922834313532547E-2</v>
      </c>
      <c r="N128" s="20">
        <f t="shared" si="60"/>
        <v>2.9372301860683772E-3</v>
      </c>
      <c r="O128" s="21">
        <f t="shared" si="61"/>
        <v>4.6507253284182089E-3</v>
      </c>
      <c r="P128" s="33">
        <f t="shared" si="62"/>
        <v>2600.2105633135243</v>
      </c>
      <c r="Q128" s="33">
        <f t="shared" si="63"/>
        <v>12.092865126022787</v>
      </c>
      <c r="R128" s="24">
        <f>1.5566*1670.47</f>
        <v>2600.2536020000002</v>
      </c>
      <c r="S128" s="24">
        <f>1.5566*1670.47</f>
        <v>2600.2536020000002</v>
      </c>
      <c r="T128" s="24">
        <v>8807</v>
      </c>
      <c r="U128" s="24">
        <v>386442017.25</v>
      </c>
      <c r="V128" s="24">
        <v>398377446.33999997</v>
      </c>
    </row>
    <row r="129" spans="1:22">
      <c r="A129" s="70">
        <v>113</v>
      </c>
      <c r="B129" s="17" t="s">
        <v>155</v>
      </c>
      <c r="C129" s="17" t="s">
        <v>49</v>
      </c>
      <c r="D129" s="23">
        <f>40080347*1670.47</f>
        <v>66953017253.090004</v>
      </c>
      <c r="E129" s="24">
        <f>577119*1670.47</f>
        <v>964059975.93000007</v>
      </c>
      <c r="F129" s="24"/>
      <c r="G129" s="46">
        <f>133669*1670.47</f>
        <v>223290054.43000001</v>
      </c>
      <c r="H129" s="18">
        <f t="shared" si="52"/>
        <v>740769921.5</v>
      </c>
      <c r="I129" s="11">
        <f>66889256*1601.528</f>
        <v>107125016383.168</v>
      </c>
      <c r="J129" s="19">
        <f t="shared" si="58"/>
        <v>6.4325471473813775E-2</v>
      </c>
      <c r="K129" s="24">
        <f>69465206*1670.47</f>
        <v>116039542666.82001</v>
      </c>
      <c r="L129" s="19">
        <f t="shared" si="59"/>
        <v>6.4956711319807639E-2</v>
      </c>
      <c r="M129" s="19">
        <f t="shared" si="53"/>
        <v>8.3216101939870529E-2</v>
      </c>
      <c r="N129" s="20">
        <f t="shared" si="60"/>
        <v>1.9242583114199646E-3</v>
      </c>
      <c r="O129" s="21">
        <f t="shared" si="61"/>
        <v>6.3837714668261401E-3</v>
      </c>
      <c r="P129" s="33">
        <f t="shared" si="62"/>
        <v>1915.3386077783885</v>
      </c>
      <c r="Q129" s="33">
        <f t="shared" si="63"/>
        <v>12.227083953646179</v>
      </c>
      <c r="R129" s="24">
        <f>1.15*1670.47</f>
        <v>1921.0404999999998</v>
      </c>
      <c r="S129" s="24">
        <f>1.15*1670.47</f>
        <v>1921.0404999999998</v>
      </c>
      <c r="T129" s="24">
        <v>253</v>
      </c>
      <c r="U129" s="24">
        <v>59614032</v>
      </c>
      <c r="V129" s="24">
        <v>60584349</v>
      </c>
    </row>
    <row r="130" spans="1:22">
      <c r="A130" s="70">
        <v>114</v>
      </c>
      <c r="B130" s="17" t="s">
        <v>255</v>
      </c>
      <c r="C130" s="25" t="s">
        <v>224</v>
      </c>
      <c r="D130" s="23">
        <f>414399.94*1670.47</f>
        <v>692242667.77180004</v>
      </c>
      <c r="E130" s="24">
        <f>2911.57*1670.47</f>
        <v>4863690.3379000006</v>
      </c>
      <c r="F130" s="24">
        <v>0</v>
      </c>
      <c r="G130" s="46">
        <f>856.62*1670.47</f>
        <v>1430958.0114</v>
      </c>
      <c r="H130" s="18">
        <f t="shared" si="52"/>
        <v>3432732.3265000004</v>
      </c>
      <c r="I130" s="11">
        <f>400714.86*1601.528</f>
        <v>641756068.30607998</v>
      </c>
      <c r="J130" s="19">
        <f t="shared" si="58"/>
        <v>3.853559426055401E-4</v>
      </c>
      <c r="K130" s="24">
        <f>412587.94*1670.47</f>
        <v>689215776.13180006</v>
      </c>
      <c r="L130" s="19">
        <f t="shared" si="59"/>
        <v>3.858097781011995E-4</v>
      </c>
      <c r="M130" s="19">
        <f t="shared" si="53"/>
        <v>7.3952877377521847E-2</v>
      </c>
      <c r="N130" s="20">
        <f t="shared" si="60"/>
        <v>2.076211922238929E-3</v>
      </c>
      <c r="O130" s="21">
        <f t="shared" si="61"/>
        <v>4.9806351586524807E-3</v>
      </c>
      <c r="P130" s="33">
        <f t="shared" si="62"/>
        <v>32918.633140538615</v>
      </c>
      <c r="Q130" s="33">
        <f t="shared" si="63"/>
        <v>163.95570159454937</v>
      </c>
      <c r="R130" s="24">
        <f>101.96*1670.47</f>
        <v>170321.12119999999</v>
      </c>
      <c r="S130" s="24">
        <f>101.96*1670.47</f>
        <v>170321.12119999999</v>
      </c>
      <c r="T130" s="24">
        <v>19</v>
      </c>
      <c r="U130" s="24">
        <v>25000</v>
      </c>
      <c r="V130" s="24">
        <v>20936.95</v>
      </c>
    </row>
    <row r="131" spans="1:22">
      <c r="A131" s="70">
        <v>115</v>
      </c>
      <c r="B131" s="63" t="s">
        <v>156</v>
      </c>
      <c r="C131" s="63" t="s">
        <v>35</v>
      </c>
      <c r="D131" s="43">
        <f>47614435.05*1670.47</f>
        <v>79538485317.973495</v>
      </c>
      <c r="E131" s="51">
        <f>384814.49*1670.47</f>
        <v>642821061.11029994</v>
      </c>
      <c r="F131" s="51"/>
      <c r="G131" s="51">
        <f>65399.44*1670.47</f>
        <v>109247802.53680001</v>
      </c>
      <c r="H131" s="45">
        <f t="shared" si="52"/>
        <v>533573258.57349992</v>
      </c>
      <c r="I131" s="11">
        <f>46649148*1601.528</f>
        <v>74709916698.143997</v>
      </c>
      <c r="J131" s="19">
        <f t="shared" si="58"/>
        <v>4.4861142407559694E-2</v>
      </c>
      <c r="K131" s="51">
        <f>46777675*1670.47</f>
        <v>78140702757.25</v>
      </c>
      <c r="L131" s="19">
        <f t="shared" si="59"/>
        <v>4.3741667320280925E-2</v>
      </c>
      <c r="M131" s="19">
        <f t="shared" si="53"/>
        <v>4.5921427980808241E-2</v>
      </c>
      <c r="N131" s="20">
        <f t="shared" si="60"/>
        <v>1.3980908627887129E-3</v>
      </c>
      <c r="O131" s="21">
        <f t="shared" si="61"/>
        <v>6.8283652404699455E-3</v>
      </c>
      <c r="P131" s="33">
        <f t="shared" si="62"/>
        <v>167047</v>
      </c>
      <c r="Q131" s="33">
        <f t="shared" si="63"/>
        <v>1140.6579283247829</v>
      </c>
      <c r="R131" s="51">
        <f>100*1670.47</f>
        <v>167047</v>
      </c>
      <c r="S131" s="51">
        <f>100*1670.47</f>
        <v>167047</v>
      </c>
      <c r="T131" s="51">
        <v>1749</v>
      </c>
      <c r="U131" s="51">
        <v>466491.48</v>
      </c>
      <c r="V131" s="51">
        <v>467776.75</v>
      </c>
    </row>
    <row r="132" spans="1:22" ht="15" customHeight="1">
      <c r="A132" s="122" t="s">
        <v>50</v>
      </c>
      <c r="B132" s="122"/>
      <c r="C132" s="122"/>
      <c r="D132" s="122"/>
      <c r="E132" s="122"/>
      <c r="F132" s="122"/>
      <c r="G132" s="122"/>
      <c r="H132" s="122"/>
      <c r="I132" s="31">
        <f>SUM(I102:I131)</f>
        <v>1665359210414.4541</v>
      </c>
      <c r="J132" s="29">
        <f>(I132/$I$201)</f>
        <v>0.47100309283717007</v>
      </c>
      <c r="K132" s="32">
        <f>SUM(K102:K131)</f>
        <v>1786413448419.6921</v>
      </c>
      <c r="L132" s="29">
        <f>(K132/$K$201)</f>
        <v>0.47698808251355257</v>
      </c>
      <c r="M132" s="29">
        <f t="shared" si="53"/>
        <v>7.2689565859555036E-2</v>
      </c>
      <c r="N132" s="20"/>
      <c r="O132" s="21"/>
      <c r="P132" s="33"/>
      <c r="Q132" s="33"/>
      <c r="R132" s="32"/>
      <c r="S132" s="32"/>
      <c r="T132" s="36">
        <f>SUM(T102:T131)</f>
        <v>18037</v>
      </c>
      <c r="U132" s="36"/>
      <c r="V132" s="32"/>
    </row>
    <row r="133" spans="1:22" ht="6.9" customHeight="1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</row>
    <row r="134" spans="1:22">
      <c r="A134" s="124" t="s">
        <v>157</v>
      </c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</row>
    <row r="135" spans="1:22">
      <c r="A135" s="47">
        <v>116</v>
      </c>
      <c r="B135" s="96" t="s">
        <v>246</v>
      </c>
      <c r="C135" s="67" t="s">
        <v>247</v>
      </c>
      <c r="D135" s="24">
        <v>2382704954.4000001</v>
      </c>
      <c r="E135" s="24">
        <v>43256063.119999997</v>
      </c>
      <c r="F135" s="24"/>
      <c r="G135" s="24">
        <v>9282550.2400000002</v>
      </c>
      <c r="H135" s="18">
        <f t="shared" ref="H135:H139" si="64">(E135+F135)-G135</f>
        <v>33973512.879999995</v>
      </c>
      <c r="I135" s="11">
        <v>2433353306.8299999</v>
      </c>
      <c r="J135" s="19">
        <f>(I135/$I$140)</f>
        <v>2.2863144626266655E-2</v>
      </c>
      <c r="K135" s="24">
        <v>2457378351.4400001</v>
      </c>
      <c r="L135" s="19">
        <f>(K135/$K$140)</f>
        <v>2.473547601595457E-2</v>
      </c>
      <c r="M135" s="19">
        <f t="shared" ref="M135:M140" si="65">((K135-I135)/I135)</f>
        <v>9.8732249618524396E-3</v>
      </c>
      <c r="N135" s="20">
        <f t="shared" ref="N135" si="66">(G135/K135)</f>
        <v>3.7774200438286253E-3</v>
      </c>
      <c r="O135" s="21">
        <f t="shared" ref="O135" si="67">H135/K135</f>
        <v>1.3825104652725472E-2</v>
      </c>
      <c r="P135" s="33">
        <f t="shared" ref="P135" si="68">K135/V135</f>
        <v>115.80482334778512</v>
      </c>
      <c r="Q135" s="33">
        <f t="shared" ref="Q135" si="69">H135/V135</f>
        <v>1.6010138020735154</v>
      </c>
      <c r="R135" s="24">
        <v>115.8</v>
      </c>
      <c r="S135" s="24">
        <v>115.8</v>
      </c>
      <c r="T135" s="24">
        <v>7</v>
      </c>
      <c r="U135" s="24">
        <v>21220000</v>
      </c>
      <c r="V135" s="24">
        <v>21220000</v>
      </c>
    </row>
    <row r="136" spans="1:22">
      <c r="A136" s="70">
        <v>117</v>
      </c>
      <c r="B136" s="95" t="s">
        <v>158</v>
      </c>
      <c r="C136" s="17" t="s">
        <v>43</v>
      </c>
      <c r="D136" s="24">
        <v>36554157344</v>
      </c>
      <c r="E136" s="24">
        <v>350559155</v>
      </c>
      <c r="F136" s="24">
        <v>0</v>
      </c>
      <c r="G136" s="24">
        <v>150373057</v>
      </c>
      <c r="H136" s="18">
        <f t="shared" ref="H136" si="70">(E136+F136)-G136</f>
        <v>200186098</v>
      </c>
      <c r="I136" s="11">
        <v>53885062064</v>
      </c>
      <c r="J136" s="19">
        <f t="shared" ref="J136:J139" si="71">(I136/$I$140)</f>
        <v>0.50628980333707707</v>
      </c>
      <c r="K136" s="24">
        <v>54160728474</v>
      </c>
      <c r="L136" s="19">
        <f t="shared" ref="L136:L139" si="72">(K136/$K$140)</f>
        <v>0.54517099468635288</v>
      </c>
      <c r="M136" s="19">
        <f t="shared" si="65"/>
        <v>5.1158224457937412E-3</v>
      </c>
      <c r="N136" s="20">
        <f t="shared" ref="N136:N139" si="73">(G136/K136)</f>
        <v>2.7764223494923445E-3</v>
      </c>
      <c r="O136" s="21">
        <f t="shared" ref="O136:O139" si="74">H136/K136</f>
        <v>3.6961485497023893E-3</v>
      </c>
      <c r="P136" s="33">
        <f t="shared" ref="P136:P139" si="75">K136/V136</f>
        <v>102.06526449548477</v>
      </c>
      <c r="Q136" s="33">
        <f t="shared" ref="Q136:Q139" si="76">H136/V136</f>
        <v>0.37724837933997679</v>
      </c>
      <c r="R136" s="24">
        <v>102.07</v>
      </c>
      <c r="S136" s="24">
        <v>102.07</v>
      </c>
      <c r="T136" s="24">
        <v>647</v>
      </c>
      <c r="U136" s="24">
        <v>530648000</v>
      </c>
      <c r="V136" s="24">
        <v>530648000</v>
      </c>
    </row>
    <row r="137" spans="1:22">
      <c r="A137" s="47">
        <v>118</v>
      </c>
      <c r="B137" s="95" t="s">
        <v>159</v>
      </c>
      <c r="C137" s="17" t="s">
        <v>123</v>
      </c>
      <c r="D137" s="24">
        <v>2861698384.8200002</v>
      </c>
      <c r="E137" s="24">
        <v>141348212.13</v>
      </c>
      <c r="F137" s="24">
        <v>0</v>
      </c>
      <c r="G137" s="24">
        <v>5291323.79</v>
      </c>
      <c r="H137" s="18">
        <f t="shared" si="64"/>
        <v>136056888.34</v>
      </c>
      <c r="I137" s="11">
        <v>10198138392</v>
      </c>
      <c r="J137" s="19">
        <f t="shared" si="71"/>
        <v>9.581901334283624E-2</v>
      </c>
      <c r="K137" s="24">
        <v>2648160510.3699999</v>
      </c>
      <c r="L137" s="19">
        <f t="shared" si="72"/>
        <v>2.6655850838870912E-2</v>
      </c>
      <c r="M137" s="19">
        <f t="shared" si="65"/>
        <v>-0.74032902785008603</v>
      </c>
      <c r="N137" s="20">
        <f t="shared" si="73"/>
        <v>1.998112942655692E-3</v>
      </c>
      <c r="O137" s="21">
        <f t="shared" si="74"/>
        <v>5.1377885821955023E-2</v>
      </c>
      <c r="P137" s="33">
        <f t="shared" si="75"/>
        <v>132.40802551849998</v>
      </c>
      <c r="Q137" s="33">
        <f t="shared" si="76"/>
        <v>6.8028444170000002</v>
      </c>
      <c r="R137" s="37">
        <v>179.45</v>
      </c>
      <c r="S137" s="37">
        <v>179.45</v>
      </c>
      <c r="T137" s="24">
        <v>2834</v>
      </c>
      <c r="U137" s="24">
        <v>20000000</v>
      </c>
      <c r="V137" s="24">
        <v>20000000</v>
      </c>
    </row>
    <row r="138" spans="1:22">
      <c r="A138" s="70">
        <v>119</v>
      </c>
      <c r="B138" s="95" t="s">
        <v>160</v>
      </c>
      <c r="C138" s="17" t="s">
        <v>123</v>
      </c>
      <c r="D138" s="24">
        <v>11639359507.639999</v>
      </c>
      <c r="E138" s="24">
        <v>75153817.719999999</v>
      </c>
      <c r="F138" s="24">
        <v>0</v>
      </c>
      <c r="G138" s="37" t="s">
        <v>263</v>
      </c>
      <c r="H138" s="18">
        <f t="shared" si="64"/>
        <v>57150393.780000001</v>
      </c>
      <c r="I138" s="89">
        <v>10198138392</v>
      </c>
      <c r="J138" s="19">
        <f t="shared" si="71"/>
        <v>9.581901334283624E-2</v>
      </c>
      <c r="K138" s="46">
        <v>10255288786</v>
      </c>
      <c r="L138" s="19">
        <f t="shared" si="72"/>
        <v>0.1032276733674906</v>
      </c>
      <c r="M138" s="19">
        <f t="shared" si="65"/>
        <v>5.6040025937314228E-3</v>
      </c>
      <c r="N138" s="20">
        <f t="shared" si="73"/>
        <v>1.7555257892471407E-3</v>
      </c>
      <c r="O138" s="21">
        <f t="shared" si="74"/>
        <v>5.5727727392736928E-3</v>
      </c>
      <c r="P138" s="33">
        <f t="shared" si="75"/>
        <v>54.51256432181853</v>
      </c>
      <c r="Q138" s="33">
        <f t="shared" si="76"/>
        <v>0.30378613240053404</v>
      </c>
      <c r="R138" s="37">
        <v>36.6</v>
      </c>
      <c r="S138" s="37">
        <v>36.6</v>
      </c>
      <c r="T138" s="24">
        <v>5260</v>
      </c>
      <c r="U138" s="24">
        <v>188127066</v>
      </c>
      <c r="V138" s="24">
        <v>188127066</v>
      </c>
    </row>
    <row r="139" spans="1:22" ht="15.9" customHeight="1">
      <c r="A139" s="47">
        <v>120</v>
      </c>
      <c r="B139" s="95" t="s">
        <v>161</v>
      </c>
      <c r="C139" s="25" t="s">
        <v>162</v>
      </c>
      <c r="D139" s="46">
        <v>29981111356.529999</v>
      </c>
      <c r="E139" s="46">
        <v>214816825.13</v>
      </c>
      <c r="F139" s="46"/>
      <c r="G139" s="46">
        <v>34909927.390000001</v>
      </c>
      <c r="H139" s="18">
        <f t="shared" si="64"/>
        <v>179906897.74000001</v>
      </c>
      <c r="I139" s="78">
        <v>29716568575.349998</v>
      </c>
      <c r="J139" s="19">
        <f t="shared" si="71"/>
        <v>0.27920902535098385</v>
      </c>
      <c r="K139" s="46">
        <v>29824757240.220001</v>
      </c>
      <c r="L139" s="19">
        <f t="shared" si="72"/>
        <v>0.30021000509133111</v>
      </c>
      <c r="M139" s="19">
        <f t="shared" si="65"/>
        <v>3.6406849800197198E-3</v>
      </c>
      <c r="N139" s="20">
        <f t="shared" si="73"/>
        <v>1.170501644282369E-3</v>
      </c>
      <c r="O139" s="21">
        <f t="shared" si="74"/>
        <v>6.0321328449033486E-3</v>
      </c>
      <c r="P139" s="33">
        <f t="shared" si="75"/>
        <v>11.17756554958935</v>
      </c>
      <c r="Q139" s="33">
        <f t="shared" si="76"/>
        <v>6.7424560277738063E-2</v>
      </c>
      <c r="R139" s="37">
        <v>11.18</v>
      </c>
      <c r="S139" s="37">
        <v>11.18</v>
      </c>
      <c r="T139" s="51">
        <v>208116</v>
      </c>
      <c r="U139" s="46">
        <v>2668269500</v>
      </c>
      <c r="V139" s="46">
        <v>2668269500</v>
      </c>
    </row>
    <row r="140" spans="1:22" ht="15" customHeight="1">
      <c r="A140" s="122" t="s">
        <v>50</v>
      </c>
      <c r="B140" s="122"/>
      <c r="C140" s="122"/>
      <c r="D140" s="122"/>
      <c r="E140" s="122"/>
      <c r="F140" s="122"/>
      <c r="G140" s="122"/>
      <c r="H140" s="122"/>
      <c r="I140" s="32">
        <f>SUM(I135:I139)</f>
        <v>106431260730.17999</v>
      </c>
      <c r="J140" s="29">
        <f>(I140/$I$201)</f>
        <v>3.0101285455405396E-2</v>
      </c>
      <c r="K140" s="32">
        <f>SUM(K135:K139)</f>
        <v>99346313362.029999</v>
      </c>
      <c r="L140" s="29">
        <f>(K140/$K$201)</f>
        <v>2.6526338321772598E-2</v>
      </c>
      <c r="M140" s="29">
        <f t="shared" si="65"/>
        <v>-6.6568293183254232E-2</v>
      </c>
      <c r="N140" s="20"/>
      <c r="O140" s="20"/>
      <c r="P140" s="34"/>
      <c r="Q140" s="34"/>
      <c r="R140" s="32"/>
      <c r="S140" s="32"/>
      <c r="T140" s="32">
        <f>SUM(T135:T139)</f>
        <v>216864</v>
      </c>
      <c r="U140" s="32"/>
      <c r="V140" s="32"/>
    </row>
    <row r="141" spans="1:22" ht="8.1" customHeight="1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</row>
    <row r="142" spans="1:22">
      <c r="A142" s="124" t="s">
        <v>163</v>
      </c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</row>
    <row r="143" spans="1:22">
      <c r="A143" s="70">
        <v>121</v>
      </c>
      <c r="B143" s="17" t="s">
        <v>164</v>
      </c>
      <c r="C143" s="17" t="s">
        <v>54</v>
      </c>
      <c r="D143" s="40">
        <v>249144614.47999999</v>
      </c>
      <c r="E143" s="40">
        <v>4191632.71</v>
      </c>
      <c r="F143" s="40">
        <v>3014605.6</v>
      </c>
      <c r="G143" s="24">
        <v>649301.29</v>
      </c>
      <c r="H143" s="18">
        <f t="shared" ref="H143:H170" si="77">(E143+F143)-G143</f>
        <v>6556937.0200000005</v>
      </c>
      <c r="I143" s="11">
        <v>246748274.75999999</v>
      </c>
      <c r="J143" s="19">
        <f>(I143/$I$171)</f>
        <v>4.8488538481939701E-3</v>
      </c>
      <c r="K143" s="24">
        <v>246947421.56</v>
      </c>
      <c r="L143" s="19">
        <f>(K143/$K$171)</f>
        <v>4.6864196091501702E-3</v>
      </c>
      <c r="M143" s="19">
        <f t="shared" ref="M143" si="78">((K143-I143)/I143)</f>
        <v>8.0708487300959768E-4</v>
      </c>
      <c r="N143" s="20">
        <f t="shared" ref="N143" si="79">(G143/K143)</f>
        <v>2.6293098583426247E-3</v>
      </c>
      <c r="O143" s="21">
        <f t="shared" ref="O143" si="80">H143/K143</f>
        <v>2.6551955791151612E-2</v>
      </c>
      <c r="P143" s="33">
        <f t="shared" ref="P143" si="81">K143/V143</f>
        <v>5.5716521416514402</v>
      </c>
      <c r="Q143" s="33">
        <f t="shared" ref="Q143" si="82">H143/V143</f>
        <v>0.14793826134880422</v>
      </c>
      <c r="R143" s="24">
        <v>5.6105</v>
      </c>
      <c r="S143" s="24">
        <v>5.6894999999999998</v>
      </c>
      <c r="T143" s="24">
        <v>11715</v>
      </c>
      <c r="U143" s="24">
        <v>44334807.520000003</v>
      </c>
      <c r="V143" s="24">
        <v>44322117.619999997</v>
      </c>
    </row>
    <row r="144" spans="1:22">
      <c r="A144" s="70">
        <v>122</v>
      </c>
      <c r="B144" s="27" t="s">
        <v>226</v>
      </c>
      <c r="C144" s="27" t="s">
        <v>227</v>
      </c>
      <c r="D144" s="40">
        <v>563160506.25999999</v>
      </c>
      <c r="E144" s="40">
        <v>1968287.67</v>
      </c>
      <c r="F144" s="40">
        <v>44064602.450000003</v>
      </c>
      <c r="G144" s="24">
        <v>1030433.75</v>
      </c>
      <c r="H144" s="18">
        <f t="shared" si="77"/>
        <v>45002456.370000005</v>
      </c>
      <c r="I144" s="11">
        <v>508822958.86000001</v>
      </c>
      <c r="J144" s="19">
        <f t="shared" ref="J144:J170" si="83">(I144/$I$171)</f>
        <v>9.9988871837806623E-3</v>
      </c>
      <c r="K144" s="24">
        <v>556379262.50999999</v>
      </c>
      <c r="L144" s="19">
        <f t="shared" ref="L144:L170" si="84">(K144/$K$171)</f>
        <v>1.0558630940464614E-2</v>
      </c>
      <c r="M144" s="19">
        <f t="shared" ref="M144:M171" si="85">((K144-I144)/I144)</f>
        <v>9.3463360530248493E-2</v>
      </c>
      <c r="N144" s="20">
        <f t="shared" ref="N144:N170" si="86">(G144/K144)</f>
        <v>1.8520347889160941E-3</v>
      </c>
      <c r="O144" s="21">
        <f t="shared" ref="O144:O170" si="87">H144/K144</f>
        <v>8.0884496246283369E-2</v>
      </c>
      <c r="P144" s="33">
        <f t="shared" ref="P144:P170" si="88">K144/V144</f>
        <v>1313.6869429431556</v>
      </c>
      <c r="Q144" s="33">
        <f t="shared" ref="Q144:Q170" si="89">H144/V144</f>
        <v>106.25690660527715</v>
      </c>
      <c r="R144" s="24">
        <v>1325.819</v>
      </c>
      <c r="S144" s="24">
        <v>1341.5145</v>
      </c>
      <c r="T144" s="24">
        <v>160</v>
      </c>
      <c r="U144" s="24">
        <v>423889</v>
      </c>
      <c r="V144" s="24">
        <v>423525</v>
      </c>
    </row>
    <row r="145" spans="1:22">
      <c r="A145" s="70">
        <v>123</v>
      </c>
      <c r="B145" s="17" t="s">
        <v>165</v>
      </c>
      <c r="C145" s="25" t="s">
        <v>57</v>
      </c>
      <c r="D145" s="40">
        <v>5491089790.0100002</v>
      </c>
      <c r="E145" s="40">
        <v>130782984.40000001</v>
      </c>
      <c r="F145" s="68">
        <v>-153557435.83000001</v>
      </c>
      <c r="G145" s="24">
        <v>17740874.780000001</v>
      </c>
      <c r="H145" s="18">
        <f t="shared" si="77"/>
        <v>-40515326.210000008</v>
      </c>
      <c r="I145" s="85">
        <v>6555841815</v>
      </c>
      <c r="J145" s="19">
        <f t="shared" si="83"/>
        <v>0.12882894052139834</v>
      </c>
      <c r="K145" s="24">
        <v>6537092389</v>
      </c>
      <c r="L145" s="19">
        <f t="shared" si="84"/>
        <v>0.1240570068118428</v>
      </c>
      <c r="M145" s="19">
        <f t="shared" si="85"/>
        <v>-2.8599570473315334E-3</v>
      </c>
      <c r="N145" s="20">
        <f t="shared" si="86"/>
        <v>2.7138785448179784E-3</v>
      </c>
      <c r="O145" s="21">
        <f t="shared" si="87"/>
        <v>-6.197759462322326E-3</v>
      </c>
      <c r="P145" s="33">
        <f t="shared" si="88"/>
        <v>768.91500521659759</v>
      </c>
      <c r="Q145" s="33">
        <f t="shared" si="89"/>
        <v>-4.7655502493027884</v>
      </c>
      <c r="R145" s="24">
        <v>765.07039999999995</v>
      </c>
      <c r="S145" s="24">
        <v>788.13789999999995</v>
      </c>
      <c r="T145" s="24">
        <v>21339</v>
      </c>
      <c r="U145" s="24">
        <v>8552742</v>
      </c>
      <c r="V145" s="24">
        <v>8501710</v>
      </c>
    </row>
    <row r="146" spans="1:22">
      <c r="A146" s="70">
        <v>124</v>
      </c>
      <c r="B146" s="17" t="s">
        <v>166</v>
      </c>
      <c r="C146" s="17" t="s">
        <v>106</v>
      </c>
      <c r="D146" s="24">
        <v>1752395363.49</v>
      </c>
      <c r="E146" s="46">
        <v>50323740.109999999</v>
      </c>
      <c r="F146" s="46">
        <v>-18302447.66</v>
      </c>
      <c r="G146" s="46">
        <v>3104928.13</v>
      </c>
      <c r="H146" s="18">
        <f t="shared" si="77"/>
        <v>28916364.32</v>
      </c>
      <c r="I146" s="85">
        <v>1183279978.28</v>
      </c>
      <c r="J146" s="19">
        <f t="shared" si="83"/>
        <v>2.3252651641655821E-2</v>
      </c>
      <c r="K146" s="24">
        <v>1776845046.45</v>
      </c>
      <c r="L146" s="19">
        <f t="shared" si="84"/>
        <v>3.3719896387261659E-2</v>
      </c>
      <c r="M146" s="19">
        <f t="shared" si="85"/>
        <v>0.50162690070425964</v>
      </c>
      <c r="N146" s="20">
        <f t="shared" si="86"/>
        <v>1.7474388868086207E-3</v>
      </c>
      <c r="O146" s="21">
        <f t="shared" si="87"/>
        <v>1.6273993265632631E-2</v>
      </c>
      <c r="P146" s="33">
        <f t="shared" si="88"/>
        <v>4.225669398698038</v>
      </c>
      <c r="Q146" s="33">
        <f t="shared" si="89"/>
        <v>6.8768515337201769E-2</v>
      </c>
      <c r="R146" s="24">
        <v>4.1639999999999997</v>
      </c>
      <c r="S146" s="24">
        <v>4.2577999999999996</v>
      </c>
      <c r="T146" s="24">
        <v>2745</v>
      </c>
      <c r="U146" s="24">
        <v>420476540.42000002</v>
      </c>
      <c r="V146" s="24">
        <v>420488419.42000002</v>
      </c>
    </row>
    <row r="147" spans="1:22">
      <c r="A147" s="70">
        <v>125</v>
      </c>
      <c r="B147" s="17" t="s">
        <v>167</v>
      </c>
      <c r="C147" s="17" t="s">
        <v>59</v>
      </c>
      <c r="D147" s="40">
        <v>3183733332.5100002</v>
      </c>
      <c r="E147" s="40">
        <v>101952393.06</v>
      </c>
      <c r="F147" s="40">
        <v>682069220.92999995</v>
      </c>
      <c r="G147" s="24">
        <v>8392806.7200000007</v>
      </c>
      <c r="H147" s="45">
        <f t="shared" si="77"/>
        <v>775628807.26999998</v>
      </c>
      <c r="I147" s="94">
        <v>3070824046.1300001</v>
      </c>
      <c r="J147" s="19">
        <f t="shared" si="83"/>
        <v>6.0344806899609672E-2</v>
      </c>
      <c r="K147" s="24">
        <v>3199510772.8000002</v>
      </c>
      <c r="L147" s="19">
        <f t="shared" si="84"/>
        <v>6.07183907028324E-2</v>
      </c>
      <c r="M147" s="19">
        <f t="shared" si="85"/>
        <v>4.1906252112418253E-2</v>
      </c>
      <c r="N147" s="20">
        <f t="shared" si="86"/>
        <v>2.6231531368325952E-3</v>
      </c>
      <c r="O147" s="21">
        <f t="shared" si="87"/>
        <v>0.24242106445268224</v>
      </c>
      <c r="P147" s="33">
        <f t="shared" si="88"/>
        <v>7252.1890856814416</v>
      </c>
      <c r="Q147" s="33">
        <f t="shared" si="89"/>
        <v>1758.0833977630193</v>
      </c>
      <c r="R147" s="24">
        <v>7252.19</v>
      </c>
      <c r="S147" s="24">
        <v>7311.18</v>
      </c>
      <c r="T147" s="24">
        <v>924</v>
      </c>
      <c r="U147" s="24">
        <v>430097.24</v>
      </c>
      <c r="V147" s="24">
        <v>441178.62</v>
      </c>
    </row>
    <row r="148" spans="1:22" ht="14.1" customHeight="1">
      <c r="A148" s="70">
        <v>126</v>
      </c>
      <c r="B148" s="17" t="s">
        <v>168</v>
      </c>
      <c r="C148" s="25" t="s">
        <v>61</v>
      </c>
      <c r="D148" s="40">
        <v>685048383.11000001</v>
      </c>
      <c r="E148" s="40">
        <v>3050542.51</v>
      </c>
      <c r="F148" s="40">
        <v>28290452.93</v>
      </c>
      <c r="G148" s="24">
        <v>1413397.42</v>
      </c>
      <c r="H148" s="18">
        <f t="shared" si="77"/>
        <v>29927598.019999996</v>
      </c>
      <c r="I148" s="11">
        <v>722684329.10000002</v>
      </c>
      <c r="J148" s="19">
        <f t="shared" si="83"/>
        <v>1.4201480004649955E-2</v>
      </c>
      <c r="K148" s="24">
        <v>755345041.27999997</v>
      </c>
      <c r="L148" s="19">
        <f t="shared" si="84"/>
        <v>1.4334483797268026E-2</v>
      </c>
      <c r="M148" s="19">
        <f t="shared" si="85"/>
        <v>4.5193607865655801E-2</v>
      </c>
      <c r="N148" s="20">
        <f t="shared" si="86"/>
        <v>1.8711944115034781E-3</v>
      </c>
      <c r="O148" s="21">
        <f t="shared" si="87"/>
        <v>3.9621095505287217E-2</v>
      </c>
      <c r="P148" s="33">
        <f t="shared" si="88"/>
        <v>192.73460684535763</v>
      </c>
      <c r="Q148" s="33">
        <f t="shared" si="89"/>
        <v>7.6363562649938981</v>
      </c>
      <c r="R148" s="24">
        <v>190.65</v>
      </c>
      <c r="S148" s="24">
        <v>192.01</v>
      </c>
      <c r="T148" s="24">
        <f>658+12+6</f>
        <v>676</v>
      </c>
      <c r="U148" s="24">
        <v>3905829</v>
      </c>
      <c r="V148" s="24">
        <v>3919094</v>
      </c>
    </row>
    <row r="149" spans="1:22" ht="15" customHeight="1">
      <c r="A149" s="70">
        <v>127</v>
      </c>
      <c r="B149" s="17" t="s">
        <v>169</v>
      </c>
      <c r="C149" s="25" t="s">
        <v>63</v>
      </c>
      <c r="D149" s="75">
        <v>248331135.28999999</v>
      </c>
      <c r="E149" s="75">
        <v>1956454.75</v>
      </c>
      <c r="F149" s="75"/>
      <c r="G149" s="71">
        <v>691169.45</v>
      </c>
      <c r="H149" s="72">
        <f t="shared" si="77"/>
        <v>1265285.3</v>
      </c>
      <c r="I149" s="85">
        <v>331444396.5</v>
      </c>
      <c r="J149" s="19">
        <f t="shared" si="83"/>
        <v>6.513218538182387E-3</v>
      </c>
      <c r="K149" s="71">
        <v>331444396.5</v>
      </c>
      <c r="L149" s="19">
        <f t="shared" si="84"/>
        <v>6.2899523683552496E-3</v>
      </c>
      <c r="M149" s="19">
        <f t="shared" si="85"/>
        <v>0</v>
      </c>
      <c r="N149" s="73">
        <f t="shared" si="86"/>
        <v>2.0853254944076267E-3</v>
      </c>
      <c r="O149" s="74">
        <f t="shared" si="87"/>
        <v>3.8174888861034042E-3</v>
      </c>
      <c r="P149" s="76">
        <f t="shared" si="88"/>
        <v>137.41595449214111</v>
      </c>
      <c r="Q149" s="76">
        <f t="shared" si="89"/>
        <v>0.52458387904703985</v>
      </c>
      <c r="R149" s="71">
        <v>141.68</v>
      </c>
      <c r="S149" s="71">
        <v>142.58000000000001</v>
      </c>
      <c r="T149" s="71">
        <f>549+27+3</f>
        <v>579</v>
      </c>
      <c r="U149" s="71">
        <v>2411979</v>
      </c>
      <c r="V149" s="71">
        <v>2411979</v>
      </c>
    </row>
    <row r="150" spans="1:22">
      <c r="A150" s="70">
        <v>128</v>
      </c>
      <c r="B150" s="17" t="s">
        <v>170</v>
      </c>
      <c r="C150" s="25" t="s">
        <v>65</v>
      </c>
      <c r="D150" s="37">
        <v>188800767.52000001</v>
      </c>
      <c r="E150" s="37">
        <v>2817028.52</v>
      </c>
      <c r="F150" s="37">
        <v>1291365.5</v>
      </c>
      <c r="G150" s="46">
        <v>497749.78</v>
      </c>
      <c r="H150" s="18">
        <f t="shared" si="77"/>
        <v>3610644.24</v>
      </c>
      <c r="I150" s="79">
        <v>196052390.12</v>
      </c>
      <c r="J150" s="19">
        <f t="shared" si="83"/>
        <v>3.8526282998558687E-3</v>
      </c>
      <c r="K150" s="37">
        <v>190430216.81</v>
      </c>
      <c r="L150" s="19">
        <f t="shared" si="84"/>
        <v>3.6138700967010108E-3</v>
      </c>
      <c r="M150" s="19">
        <f t="shared" si="85"/>
        <v>-2.8676892470215615E-2</v>
      </c>
      <c r="N150" s="20">
        <f t="shared" si="86"/>
        <v>2.6138172204919837E-3</v>
      </c>
      <c r="O150" s="21">
        <f t="shared" si="87"/>
        <v>1.8960458589418545E-2</v>
      </c>
      <c r="P150" s="33">
        <f t="shared" si="88"/>
        <v>1.5328443657726831</v>
      </c>
      <c r="Q150" s="33">
        <f t="shared" si="89"/>
        <v>2.9063432121256491E-2</v>
      </c>
      <c r="R150" s="24">
        <v>1.5259</v>
      </c>
      <c r="S150" s="46">
        <v>1.5397000000000001</v>
      </c>
      <c r="T150" s="24">
        <v>347</v>
      </c>
      <c r="U150" s="37">
        <v>130418083.81</v>
      </c>
      <c r="V150" s="37">
        <v>124233236.63</v>
      </c>
    </row>
    <row r="151" spans="1:22">
      <c r="A151" s="70">
        <v>129</v>
      </c>
      <c r="B151" s="27" t="s">
        <v>228</v>
      </c>
      <c r="C151" s="65" t="s">
        <v>47</v>
      </c>
      <c r="D151" s="40">
        <v>130098800.05</v>
      </c>
      <c r="E151" s="40">
        <v>2720076.85</v>
      </c>
      <c r="F151" s="40">
        <v>0</v>
      </c>
      <c r="G151" s="24">
        <v>3201275.23</v>
      </c>
      <c r="H151" s="18">
        <f>(E151+F151)-G151</f>
        <v>-481198.37999999989</v>
      </c>
      <c r="I151" s="79">
        <v>131093543.92</v>
      </c>
      <c r="J151" s="19">
        <f t="shared" si="83"/>
        <v>2.5761210915381124E-3</v>
      </c>
      <c r="K151" s="24">
        <v>130649534.27</v>
      </c>
      <c r="L151" s="19">
        <f t="shared" si="84"/>
        <v>2.4793882659775086E-3</v>
      </c>
      <c r="M151" s="19">
        <f t="shared" si="85"/>
        <v>-3.3869680895266927E-3</v>
      </c>
      <c r="N151" s="20">
        <f t="shared" si="86"/>
        <v>2.4502768018937235E-2</v>
      </c>
      <c r="O151" s="21">
        <f t="shared" si="87"/>
        <v>-3.6831235770466396E-3</v>
      </c>
      <c r="P151" s="33">
        <f t="shared" si="88"/>
        <v>155.31991602637146</v>
      </c>
      <c r="Q151" s="33">
        <f t="shared" si="89"/>
        <v>-0.57206244470163292</v>
      </c>
      <c r="R151" s="24">
        <v>154.9778</v>
      </c>
      <c r="S151" s="24">
        <v>155.6695</v>
      </c>
      <c r="T151" s="24">
        <v>122</v>
      </c>
      <c r="U151" s="24">
        <v>848072.91</v>
      </c>
      <c r="V151" s="24">
        <v>841164.08</v>
      </c>
    </row>
    <row r="152" spans="1:22">
      <c r="A152" s="70">
        <v>130</v>
      </c>
      <c r="B152" s="27" t="s">
        <v>171</v>
      </c>
      <c r="C152" s="65" t="s">
        <v>172</v>
      </c>
      <c r="D152" s="40">
        <v>149167295.12</v>
      </c>
      <c r="E152" s="40">
        <v>3655054.48</v>
      </c>
      <c r="F152" s="40">
        <v>0</v>
      </c>
      <c r="G152" s="24">
        <v>629725.38</v>
      </c>
      <c r="H152" s="18">
        <f t="shared" si="77"/>
        <v>3025329.1</v>
      </c>
      <c r="I152" s="85">
        <v>222283700.40000001</v>
      </c>
      <c r="J152" s="19">
        <f t="shared" si="83"/>
        <v>4.3681001503401784E-3</v>
      </c>
      <c r="K152" s="24">
        <v>223935595.96000001</v>
      </c>
      <c r="L152" s="19">
        <f t="shared" si="84"/>
        <v>4.249715026235619E-3</v>
      </c>
      <c r="M152" s="19">
        <f t="shared" si="85"/>
        <v>7.4314740893165476E-3</v>
      </c>
      <c r="N152" s="20">
        <f t="shared" si="86"/>
        <v>2.8120825423059732E-3</v>
      </c>
      <c r="O152" s="21">
        <f t="shared" si="87"/>
        <v>1.3509817798419116E-2</v>
      </c>
      <c r="P152" s="33">
        <f t="shared" si="88"/>
        <v>120.82180077337401</v>
      </c>
      <c r="Q152" s="33">
        <f t="shared" si="89"/>
        <v>1.6322805145251769</v>
      </c>
      <c r="R152" s="24">
        <v>120.04</v>
      </c>
      <c r="S152" s="24">
        <v>120.82</v>
      </c>
      <c r="T152" s="24">
        <v>66</v>
      </c>
      <c r="U152" s="37">
        <v>1850719</v>
      </c>
      <c r="V152" s="24">
        <v>1853437</v>
      </c>
    </row>
    <row r="153" spans="1:22">
      <c r="A153" s="70">
        <v>131</v>
      </c>
      <c r="B153" s="17" t="s">
        <v>173</v>
      </c>
      <c r="C153" s="25" t="s">
        <v>70</v>
      </c>
      <c r="D153" s="37">
        <v>307698319.37</v>
      </c>
      <c r="E153" s="40">
        <v>2065279.6</v>
      </c>
      <c r="F153" s="40">
        <v>7681891.3899999997</v>
      </c>
      <c r="G153" s="24">
        <v>699730.77</v>
      </c>
      <c r="H153" s="18">
        <f t="shared" si="77"/>
        <v>9047440.2200000007</v>
      </c>
      <c r="I153" s="78">
        <v>305163829.48000002</v>
      </c>
      <c r="J153" s="19">
        <f t="shared" si="83"/>
        <v>5.9967787428014795E-3</v>
      </c>
      <c r="K153" s="46">
        <v>310759411.13</v>
      </c>
      <c r="L153" s="19">
        <f t="shared" si="84"/>
        <v>5.8974051595584182E-3</v>
      </c>
      <c r="M153" s="19">
        <f t="shared" si="85"/>
        <v>1.8336320066289841E-2</v>
      </c>
      <c r="N153" s="20">
        <f t="shared" si="86"/>
        <v>2.251680061612942E-3</v>
      </c>
      <c r="O153" s="21">
        <f t="shared" si="87"/>
        <v>2.9113970151704222E-2</v>
      </c>
      <c r="P153" s="33">
        <f t="shared" si="88"/>
        <v>1.2389676065935873</v>
      </c>
      <c r="Q153" s="33">
        <f t="shared" si="89"/>
        <v>3.6071265917294114E-2</v>
      </c>
      <c r="R153" s="24">
        <v>1.224</v>
      </c>
      <c r="S153" s="24">
        <v>1.2365999999999999</v>
      </c>
      <c r="T153" s="24">
        <v>101</v>
      </c>
      <c r="U153" s="24">
        <v>246615585.22999999</v>
      </c>
      <c r="V153" s="24">
        <v>250821255.91999999</v>
      </c>
    </row>
    <row r="154" spans="1:22">
      <c r="A154" s="70">
        <v>132</v>
      </c>
      <c r="B154" s="25" t="s">
        <v>174</v>
      </c>
      <c r="C154" s="25" t="s">
        <v>74</v>
      </c>
      <c r="D154" s="46">
        <v>9156949693.0200005</v>
      </c>
      <c r="E154" s="40">
        <v>79584487.730000004</v>
      </c>
      <c r="F154" s="40">
        <v>58540860.049999997</v>
      </c>
      <c r="G154" s="46">
        <v>15159033.050000001</v>
      </c>
      <c r="H154" s="18">
        <f t="shared" si="77"/>
        <v>122966314.73</v>
      </c>
      <c r="I154" s="85">
        <v>8973280264.5499992</v>
      </c>
      <c r="J154" s="19">
        <f t="shared" si="83"/>
        <v>0.17633405779232478</v>
      </c>
      <c r="K154" s="24">
        <v>9050921534.25</v>
      </c>
      <c r="L154" s="19">
        <f t="shared" si="84"/>
        <v>0.17176294407545767</v>
      </c>
      <c r="M154" s="19">
        <f t="shared" si="85"/>
        <v>8.6524957887175041E-3</v>
      </c>
      <c r="N154" s="20">
        <f t="shared" si="86"/>
        <v>1.6748607302180247E-3</v>
      </c>
      <c r="O154" s="21">
        <f t="shared" si="87"/>
        <v>1.3586054664674489E-2</v>
      </c>
      <c r="P154" s="33">
        <f t="shared" si="88"/>
        <v>302.8908248065419</v>
      </c>
      <c r="Q154" s="33">
        <f t="shared" si="89"/>
        <v>4.115091303250022</v>
      </c>
      <c r="R154" s="24">
        <v>302.89</v>
      </c>
      <c r="S154" s="24">
        <v>304.93</v>
      </c>
      <c r="T154" s="24">
        <v>5464</v>
      </c>
      <c r="U154" s="24">
        <v>27044983</v>
      </c>
      <c r="V154" s="24">
        <v>29881795</v>
      </c>
    </row>
    <row r="155" spans="1:22" ht="11.4" customHeight="1">
      <c r="A155" s="70">
        <v>133</v>
      </c>
      <c r="B155" s="61" t="s">
        <v>175</v>
      </c>
      <c r="C155" s="17" t="s">
        <v>76</v>
      </c>
      <c r="D155" s="40">
        <v>3066239631.5799999</v>
      </c>
      <c r="E155" s="40">
        <v>30417535.02</v>
      </c>
      <c r="F155" s="40">
        <v>243978950.24000001</v>
      </c>
      <c r="G155" s="24">
        <v>9183678.8499999996</v>
      </c>
      <c r="H155" s="18">
        <f t="shared" si="77"/>
        <v>265212806.41</v>
      </c>
      <c r="I155" s="11">
        <v>3040335305.0100002</v>
      </c>
      <c r="J155" s="19">
        <f t="shared" si="83"/>
        <v>5.9745672215283735E-2</v>
      </c>
      <c r="K155" s="24">
        <v>3040335305.0100002</v>
      </c>
      <c r="L155" s="19">
        <f t="shared" si="84"/>
        <v>5.7697654430980037E-2</v>
      </c>
      <c r="M155" s="19">
        <f t="shared" si="85"/>
        <v>0</v>
      </c>
      <c r="N155" s="20">
        <f t="shared" si="86"/>
        <v>3.020613823372285E-3</v>
      </c>
      <c r="O155" s="21">
        <f t="shared" si="87"/>
        <v>8.7231433313611981E-2</v>
      </c>
      <c r="P155" s="33">
        <f t="shared" si="88"/>
        <v>2.1523986327564191</v>
      </c>
      <c r="Q155" s="33">
        <f t="shared" si="89"/>
        <v>0.1877568177976012</v>
      </c>
      <c r="R155" s="24">
        <v>2.1278999999999999</v>
      </c>
      <c r="S155" s="24">
        <v>2.1648999999999998</v>
      </c>
      <c r="T155" s="24">
        <v>10297</v>
      </c>
      <c r="U155" s="24">
        <v>1414971529.47</v>
      </c>
      <c r="V155" s="24">
        <v>1412533560.8099999</v>
      </c>
    </row>
    <row r="156" spans="1:22">
      <c r="A156" s="70">
        <v>134</v>
      </c>
      <c r="B156" s="17" t="s">
        <v>176</v>
      </c>
      <c r="C156" s="25" t="s">
        <v>78</v>
      </c>
      <c r="D156" s="24">
        <v>189996079.78999999</v>
      </c>
      <c r="E156" s="40">
        <v>8255165.8499999996</v>
      </c>
      <c r="F156" s="40"/>
      <c r="G156" s="24">
        <v>482219.8</v>
      </c>
      <c r="H156" s="18">
        <f t="shared" si="77"/>
        <v>7772946.0499999998</v>
      </c>
      <c r="I156" s="11">
        <v>224312883.34</v>
      </c>
      <c r="J156" s="19">
        <f t="shared" si="83"/>
        <v>4.4079756530843364E-3</v>
      </c>
      <c r="K156" s="24">
        <v>229630437.28</v>
      </c>
      <c r="L156" s="19">
        <f t="shared" si="84"/>
        <v>4.3577882989365531E-3</v>
      </c>
      <c r="M156" s="19">
        <f t="shared" si="85"/>
        <v>2.3705967578955187E-2</v>
      </c>
      <c r="N156" s="20">
        <f t="shared" si="86"/>
        <v>2.0999820655830787E-3</v>
      </c>
      <c r="O156" s="21">
        <f t="shared" si="87"/>
        <v>3.3849807290668762E-2</v>
      </c>
      <c r="P156" s="33">
        <f t="shared" si="88"/>
        <v>298.78201739294991</v>
      </c>
      <c r="Q156" s="33">
        <f t="shared" si="89"/>
        <v>10.113713710668597</v>
      </c>
      <c r="R156" s="24">
        <v>291.86</v>
      </c>
      <c r="S156" s="24">
        <v>292.49</v>
      </c>
      <c r="T156" s="24">
        <v>39</v>
      </c>
      <c r="U156" s="18">
        <v>768555</v>
      </c>
      <c r="V156" s="18">
        <v>768555.08</v>
      </c>
    </row>
    <row r="157" spans="1:22">
      <c r="A157" s="70">
        <v>135</v>
      </c>
      <c r="B157" s="27" t="s">
        <v>229</v>
      </c>
      <c r="C157" s="27" t="s">
        <v>230</v>
      </c>
      <c r="D157" s="46">
        <v>48751260.159999996</v>
      </c>
      <c r="E157" s="46">
        <v>1862511.29</v>
      </c>
      <c r="F157" s="46">
        <v>0</v>
      </c>
      <c r="G157" s="46">
        <v>62261.36</v>
      </c>
      <c r="H157" s="18">
        <f t="shared" ref="H157" si="90">(E157+F157)-G157</f>
        <v>1800249.93</v>
      </c>
      <c r="I157" s="78">
        <v>58652292.509999998</v>
      </c>
      <c r="J157" s="19">
        <f t="shared" si="83"/>
        <v>1.1525770322776538E-3</v>
      </c>
      <c r="K157" s="46">
        <v>58830975.960000001</v>
      </c>
      <c r="L157" s="19">
        <f t="shared" si="84"/>
        <v>1.1164588705673071E-3</v>
      </c>
      <c r="M157" s="19">
        <f t="shared" si="85"/>
        <v>3.0464870570837128E-3</v>
      </c>
      <c r="N157" s="20">
        <f t="shared" ref="N157" si="91">(G157/K157)</f>
        <v>1.0583091472480817E-3</v>
      </c>
      <c r="O157" s="21">
        <f t="shared" ref="O157" si="92">H157/K157</f>
        <v>3.0600375068127628E-2</v>
      </c>
      <c r="P157" s="33">
        <f t="shared" ref="P157" si="93">K157/V157</f>
        <v>1.1576798764217404</v>
      </c>
      <c r="Q157" s="33">
        <f t="shared" ref="Q157" si="94">H157/V157</f>
        <v>3.5425438427328898E-2</v>
      </c>
      <c r="R157" s="24">
        <v>1.147</v>
      </c>
      <c r="S157" s="24">
        <v>1.159</v>
      </c>
      <c r="T157" s="24">
        <v>28</v>
      </c>
      <c r="U157" s="46">
        <v>50803000</v>
      </c>
      <c r="V157" s="46">
        <v>50818000</v>
      </c>
    </row>
    <row r="158" spans="1:22">
      <c r="A158" s="70">
        <v>136</v>
      </c>
      <c r="B158" s="25" t="s">
        <v>177</v>
      </c>
      <c r="C158" s="25" t="s">
        <v>35</v>
      </c>
      <c r="D158" s="46">
        <v>2932869692.1900001</v>
      </c>
      <c r="E158" s="46">
        <v>22888394.710000001</v>
      </c>
      <c r="F158" s="46">
        <v>26860916.949999999</v>
      </c>
      <c r="G158" s="46">
        <v>6349258.9000000004</v>
      </c>
      <c r="H158" s="18">
        <f t="shared" si="77"/>
        <v>43400052.759999998</v>
      </c>
      <c r="I158" s="78">
        <v>2810268904.4499998</v>
      </c>
      <c r="J158" s="19">
        <f t="shared" si="83"/>
        <v>5.5224634113677784E-2</v>
      </c>
      <c r="K158" s="46">
        <v>2835293312.2800002</v>
      </c>
      <c r="L158" s="19">
        <f t="shared" si="84"/>
        <v>5.3806490840937742E-2</v>
      </c>
      <c r="M158" s="19">
        <f t="shared" si="85"/>
        <v>8.9046310800987034E-3</v>
      </c>
      <c r="N158" s="20">
        <f t="shared" si="86"/>
        <v>2.2393658082924218E-3</v>
      </c>
      <c r="O158" s="21">
        <f t="shared" si="87"/>
        <v>1.5307076898192187E-2</v>
      </c>
      <c r="P158" s="33">
        <f t="shared" si="88"/>
        <v>4.0054623594798979</v>
      </c>
      <c r="Q158" s="33">
        <f t="shared" si="89"/>
        <v>6.1311920349373113E-2</v>
      </c>
      <c r="R158" s="24">
        <v>4.01</v>
      </c>
      <c r="S158" s="24">
        <v>4.1399999999999997</v>
      </c>
      <c r="T158" s="24">
        <v>2347</v>
      </c>
      <c r="U158" s="46">
        <v>708163252.50999999</v>
      </c>
      <c r="V158" s="46">
        <v>707856686.14999998</v>
      </c>
    </row>
    <row r="159" spans="1:22">
      <c r="A159" s="70">
        <v>137</v>
      </c>
      <c r="B159" s="17" t="s">
        <v>267</v>
      </c>
      <c r="C159" s="25" t="s">
        <v>268</v>
      </c>
      <c r="D159" s="46">
        <f>11170000+17793361.43+4482840.39+21083563.93</f>
        <v>54529765.75</v>
      </c>
      <c r="E159" s="46">
        <v>-1667118.25</v>
      </c>
      <c r="F159" s="46">
        <v>0</v>
      </c>
      <c r="G159" s="46">
        <v>79145.16</v>
      </c>
      <c r="H159" s="18">
        <f t="shared" si="77"/>
        <v>-1746263.41</v>
      </c>
      <c r="I159" s="78">
        <v>0</v>
      </c>
      <c r="J159" s="19">
        <f t="shared" si="83"/>
        <v>0</v>
      </c>
      <c r="K159" s="46">
        <v>63060571.68</v>
      </c>
      <c r="L159" s="19">
        <f t="shared" si="84"/>
        <v>1.1967255937254983E-3</v>
      </c>
      <c r="M159" s="19" t="e">
        <f t="shared" si="85"/>
        <v>#DIV/0!</v>
      </c>
      <c r="N159" s="20">
        <f t="shared" si="86"/>
        <v>1.2550656914691643E-3</v>
      </c>
      <c r="O159" s="21">
        <f t="shared" si="87"/>
        <v>-2.7691842358508727E-2</v>
      </c>
      <c r="P159" s="33">
        <f t="shared" si="88"/>
        <v>2.0689159524949576</v>
      </c>
      <c r="Q159" s="33">
        <f t="shared" si="89"/>
        <v>-5.7292094409494301E-2</v>
      </c>
      <c r="R159" s="24">
        <v>2.0661</v>
      </c>
      <c r="S159" s="24">
        <v>2.0705</v>
      </c>
      <c r="T159" s="24">
        <v>65</v>
      </c>
      <c r="U159" s="46">
        <v>27374727</v>
      </c>
      <c r="V159" s="46">
        <v>30480006.5</v>
      </c>
    </row>
    <row r="160" spans="1:22">
      <c r="A160" s="70">
        <v>138</v>
      </c>
      <c r="B160" s="25" t="s">
        <v>178</v>
      </c>
      <c r="C160" s="25" t="s">
        <v>116</v>
      </c>
      <c r="D160" s="40">
        <v>356229292.97000003</v>
      </c>
      <c r="E160" s="40">
        <v>3395581.13</v>
      </c>
      <c r="F160" s="46">
        <v>43068721.710000001</v>
      </c>
      <c r="G160" s="52">
        <v>2401789.0299999998</v>
      </c>
      <c r="H160" s="18">
        <f t="shared" si="77"/>
        <v>44062513.810000002</v>
      </c>
      <c r="I160" s="85">
        <v>210936657.40000001</v>
      </c>
      <c r="J160" s="19">
        <f t="shared" si="83"/>
        <v>4.145119247354381E-3</v>
      </c>
      <c r="K160" s="24">
        <v>351378938.22000003</v>
      </c>
      <c r="L160" s="19">
        <f t="shared" si="84"/>
        <v>6.6682581090099736E-3</v>
      </c>
      <c r="M160" s="19">
        <f t="shared" si="85"/>
        <v>0.66580310198847414</v>
      </c>
      <c r="N160" s="20">
        <f t="shared" si="86"/>
        <v>6.8353243998256616E-3</v>
      </c>
      <c r="O160" s="21">
        <f t="shared" si="87"/>
        <v>0.12539884727641887</v>
      </c>
      <c r="P160" s="33">
        <f t="shared" si="88"/>
        <v>211.79531326139227</v>
      </c>
      <c r="Q160" s="33">
        <f t="shared" si="89"/>
        <v>26.558888141526619</v>
      </c>
      <c r="R160" s="24">
        <v>211.7953</v>
      </c>
      <c r="S160" s="24">
        <v>214.71889999999999</v>
      </c>
      <c r="T160" s="24">
        <v>139</v>
      </c>
      <c r="U160" s="55">
        <v>1095970.26</v>
      </c>
      <c r="V160" s="55">
        <v>1659049.64</v>
      </c>
    </row>
    <row r="161" spans="1:22">
      <c r="A161" s="70">
        <v>139</v>
      </c>
      <c r="B161" s="17" t="s">
        <v>179</v>
      </c>
      <c r="C161" s="25" t="s">
        <v>31</v>
      </c>
      <c r="D161" s="40">
        <v>2288267037.8800001</v>
      </c>
      <c r="E161" s="37">
        <v>38528942.939999998</v>
      </c>
      <c r="F161" s="37">
        <v>515383904.39999998</v>
      </c>
      <c r="G161" s="24">
        <v>6029468.6399999997</v>
      </c>
      <c r="H161" s="18">
        <f t="shared" si="77"/>
        <v>547883378.69999993</v>
      </c>
      <c r="I161" s="78">
        <v>2125252254.0599999</v>
      </c>
      <c r="J161" s="19">
        <f t="shared" si="83"/>
        <v>4.1763362197790227E-2</v>
      </c>
      <c r="K161" s="46">
        <v>2288267037.8800001</v>
      </c>
      <c r="L161" s="19">
        <f t="shared" si="84"/>
        <v>4.3425355282307683E-2</v>
      </c>
      <c r="M161" s="19">
        <f t="shared" si="85"/>
        <v>7.6703734113718974E-2</v>
      </c>
      <c r="N161" s="20">
        <f t="shared" si="86"/>
        <v>2.6349497415240892E-3</v>
      </c>
      <c r="O161" s="21">
        <f t="shared" si="87"/>
        <v>0.23943157403848933</v>
      </c>
      <c r="P161" s="33">
        <f t="shared" si="88"/>
        <v>3067.5876907031302</v>
      </c>
      <c r="Q161" s="33">
        <f t="shared" si="89"/>
        <v>734.47734928614511</v>
      </c>
      <c r="R161" s="24">
        <v>552.20000000000005</v>
      </c>
      <c r="S161" s="24">
        <v>552.20000000000005</v>
      </c>
      <c r="T161" s="24">
        <v>823</v>
      </c>
      <c r="U161" s="37">
        <v>745950</v>
      </c>
      <c r="V161" s="24">
        <v>745950</v>
      </c>
    </row>
    <row r="162" spans="1:22">
      <c r="A162" s="70">
        <v>140</v>
      </c>
      <c r="B162" s="17" t="s">
        <v>180</v>
      </c>
      <c r="C162" s="25" t="s">
        <v>85</v>
      </c>
      <c r="D162" s="46">
        <v>27847635.690000001</v>
      </c>
      <c r="E162" s="40">
        <v>498893.33</v>
      </c>
      <c r="F162" s="40">
        <v>24938.7</v>
      </c>
      <c r="G162" s="24">
        <v>12756.84</v>
      </c>
      <c r="H162" s="18">
        <f t="shared" si="77"/>
        <v>511075.19</v>
      </c>
      <c r="I162" s="11">
        <v>28313419.82</v>
      </c>
      <c r="J162" s="19">
        <f t="shared" si="83"/>
        <v>5.5638741459599435E-4</v>
      </c>
      <c r="K162" s="24">
        <v>28195922.890000001</v>
      </c>
      <c r="L162" s="19">
        <f t="shared" si="84"/>
        <v>5.3508526266461557E-4</v>
      </c>
      <c r="M162" s="19">
        <f t="shared" si="85"/>
        <v>-4.1498671212088041E-3</v>
      </c>
      <c r="N162" s="20">
        <f t="shared" si="86"/>
        <v>4.5243562517062908E-4</v>
      </c>
      <c r="O162" s="21">
        <f t="shared" si="87"/>
        <v>1.8125854294390148E-2</v>
      </c>
      <c r="P162" s="33">
        <f t="shared" si="88"/>
        <v>1.7502775810896554</v>
      </c>
      <c r="Q162" s="33">
        <f t="shared" si="89"/>
        <v>3.172527640956873E-2</v>
      </c>
      <c r="R162" s="24">
        <v>1.75</v>
      </c>
      <c r="S162" s="24">
        <v>1.75</v>
      </c>
      <c r="T162" s="24">
        <v>8</v>
      </c>
      <c r="U162" s="46">
        <v>16174616.029999999</v>
      </c>
      <c r="V162" s="46">
        <v>16109400.699999999</v>
      </c>
    </row>
    <row r="163" spans="1:22">
      <c r="A163" s="70">
        <v>141</v>
      </c>
      <c r="B163" s="25" t="s">
        <v>181</v>
      </c>
      <c r="C163" s="25" t="s">
        <v>41</v>
      </c>
      <c r="D163" s="40">
        <v>214773951.22999999</v>
      </c>
      <c r="E163" s="40">
        <v>4756618.47</v>
      </c>
      <c r="F163" s="40">
        <v>66929541.43</v>
      </c>
      <c r="G163" s="24">
        <v>379495.94</v>
      </c>
      <c r="H163" s="18">
        <f t="shared" si="77"/>
        <v>71306663.960000008</v>
      </c>
      <c r="I163" s="11">
        <v>196015717.11000001</v>
      </c>
      <c r="J163" s="19">
        <f t="shared" si="83"/>
        <v>3.8519076380160392E-3</v>
      </c>
      <c r="K163" s="24">
        <v>221360866.63999999</v>
      </c>
      <c r="L163" s="19">
        <f t="shared" si="84"/>
        <v>4.2008533620915764E-3</v>
      </c>
      <c r="M163" s="19">
        <f t="shared" si="85"/>
        <v>0.12930161878690979</v>
      </c>
      <c r="N163" s="20">
        <f t="shared" si="86"/>
        <v>1.7143768262218439E-3</v>
      </c>
      <c r="O163" s="21">
        <f t="shared" si="87"/>
        <v>0.32212859048824699</v>
      </c>
      <c r="P163" s="33">
        <f t="shared" si="88"/>
        <v>2.2382291648308477</v>
      </c>
      <c r="Q163" s="33">
        <f t="shared" si="89"/>
        <v>0.72099760605664709</v>
      </c>
      <c r="R163" s="24">
        <v>2.2799999999999998</v>
      </c>
      <c r="S163" s="24">
        <v>2.33</v>
      </c>
      <c r="T163" s="24">
        <v>119</v>
      </c>
      <c r="U163" s="24">
        <v>97467472.900000006</v>
      </c>
      <c r="V163" s="24">
        <v>98900001</v>
      </c>
    </row>
    <row r="164" spans="1:22">
      <c r="A164" s="70">
        <v>142</v>
      </c>
      <c r="B164" s="17" t="s">
        <v>182</v>
      </c>
      <c r="C164" s="17" t="s">
        <v>45</v>
      </c>
      <c r="D164" s="46">
        <v>2674219234.75</v>
      </c>
      <c r="E164" s="46">
        <v>16841956.73</v>
      </c>
      <c r="F164" s="51">
        <v>-72577346.049999997</v>
      </c>
      <c r="G164" s="46">
        <v>10841702.84</v>
      </c>
      <c r="H164" s="18">
        <f t="shared" si="77"/>
        <v>-66577092.159999996</v>
      </c>
      <c r="I164" s="78">
        <v>2666067889.1300001</v>
      </c>
      <c r="J164" s="19">
        <f t="shared" si="83"/>
        <v>5.2390937915688378E-2</v>
      </c>
      <c r="K164" s="46">
        <v>2729404884.7800002</v>
      </c>
      <c r="L164" s="19">
        <f t="shared" si="84"/>
        <v>5.1797003963596495E-2</v>
      </c>
      <c r="M164" s="19">
        <f t="shared" si="85"/>
        <v>2.375670773735189E-2</v>
      </c>
      <c r="N164" s="20">
        <f t="shared" si="86"/>
        <v>3.9721856220220984E-3</v>
      </c>
      <c r="O164" s="21">
        <f t="shared" si="87"/>
        <v>-2.4392530595681979E-2</v>
      </c>
      <c r="P164" s="33">
        <f t="shared" si="88"/>
        <v>6069.5692830175676</v>
      </c>
      <c r="Q164" s="33">
        <f t="shared" si="89"/>
        <v>-148.05215443861755</v>
      </c>
      <c r="R164" s="46">
        <v>6033.95</v>
      </c>
      <c r="S164" s="46">
        <v>6093.98</v>
      </c>
      <c r="T164" s="46">
        <v>2248</v>
      </c>
      <c r="U164" s="46">
        <v>452369.91999999998</v>
      </c>
      <c r="V164" s="46">
        <v>449686.75</v>
      </c>
    </row>
    <row r="165" spans="1:22">
      <c r="A165" s="70">
        <v>143</v>
      </c>
      <c r="B165" s="27" t="s">
        <v>231</v>
      </c>
      <c r="C165" s="27" t="s">
        <v>230</v>
      </c>
      <c r="D165" s="46">
        <v>695489496.38999999</v>
      </c>
      <c r="E165" s="46">
        <v>46730118.939999998</v>
      </c>
      <c r="F165" s="46">
        <v>0</v>
      </c>
      <c r="G165" s="46">
        <v>743576.35</v>
      </c>
      <c r="H165" s="18">
        <f t="shared" si="77"/>
        <v>45986542.589999996</v>
      </c>
      <c r="I165" s="78">
        <v>676792252.5</v>
      </c>
      <c r="J165" s="19">
        <f t="shared" si="83"/>
        <v>1.3299654156262724E-2</v>
      </c>
      <c r="K165" s="46">
        <v>694878266.57000005</v>
      </c>
      <c r="L165" s="19">
        <f t="shared" si="84"/>
        <v>1.3186981722077664E-2</v>
      </c>
      <c r="M165" s="19">
        <f t="shared" si="85"/>
        <v>2.6723139934288851E-2</v>
      </c>
      <c r="N165" s="20">
        <f t="shared" si="86"/>
        <v>1.0700814599805795E-3</v>
      </c>
      <c r="O165" s="21">
        <f t="shared" si="87"/>
        <v>6.6179278878579578E-2</v>
      </c>
      <c r="P165" s="33">
        <f t="shared" si="88"/>
        <v>1.3294181797000626</v>
      </c>
      <c r="Q165" s="33">
        <f t="shared" si="89"/>
        <v>8.7979936460624061E-2</v>
      </c>
      <c r="R165" s="46">
        <v>1.3120000000000001</v>
      </c>
      <c r="S165" s="46">
        <v>1.3120000000000001</v>
      </c>
      <c r="T165" s="46">
        <v>43</v>
      </c>
      <c r="U165" s="46">
        <v>522393519</v>
      </c>
      <c r="V165" s="46">
        <v>522693519</v>
      </c>
    </row>
    <row r="166" spans="1:22">
      <c r="A166" s="70">
        <v>144</v>
      </c>
      <c r="B166" s="17" t="s">
        <v>183</v>
      </c>
      <c r="C166" s="17" t="s">
        <v>49</v>
      </c>
      <c r="D166" s="40">
        <v>1311521277</v>
      </c>
      <c r="E166" s="40">
        <v>15999477</v>
      </c>
      <c r="F166" s="40">
        <v>61791353</v>
      </c>
      <c r="G166" s="40">
        <v>3311049</v>
      </c>
      <c r="H166" s="18">
        <f t="shared" si="77"/>
        <v>74479781</v>
      </c>
      <c r="I166" s="117">
        <v>1834735845.71</v>
      </c>
      <c r="J166" s="19">
        <f t="shared" si="83"/>
        <v>3.6054420135433224E-2</v>
      </c>
      <c r="K166" s="24">
        <v>1914088841.5</v>
      </c>
      <c r="L166" s="19">
        <f t="shared" si="84"/>
        <v>3.6324426567384376E-2</v>
      </c>
      <c r="M166" s="19">
        <f t="shared" si="85"/>
        <v>4.3250365427559521E-2</v>
      </c>
      <c r="N166" s="20">
        <f t="shared" si="86"/>
        <v>1.7298303653477517E-3</v>
      </c>
      <c r="O166" s="21">
        <f t="shared" si="87"/>
        <v>3.8911350082179559E-2</v>
      </c>
      <c r="P166" s="33">
        <f t="shared" si="88"/>
        <v>1.8096602008715625</v>
      </c>
      <c r="Q166" s="33">
        <f t="shared" si="89"/>
        <v>7.041632160590075E-2</v>
      </c>
      <c r="R166" s="24">
        <v>1.81</v>
      </c>
      <c r="S166" s="24">
        <v>1.82</v>
      </c>
      <c r="T166" s="24">
        <v>1397</v>
      </c>
      <c r="U166" s="24">
        <v>1059463889</v>
      </c>
      <c r="V166" s="24">
        <v>1057706215</v>
      </c>
    </row>
    <row r="167" spans="1:22">
      <c r="A167" s="70">
        <v>145</v>
      </c>
      <c r="B167" s="69" t="s">
        <v>184</v>
      </c>
      <c r="C167" s="17" t="s">
        <v>92</v>
      </c>
      <c r="D167" s="24">
        <v>8566811036.7600002</v>
      </c>
      <c r="E167" s="37">
        <v>93186951.590000004</v>
      </c>
      <c r="F167" s="37">
        <v>736753037.39999998</v>
      </c>
      <c r="G167" s="37">
        <v>14199548.890000001</v>
      </c>
      <c r="H167" s="18">
        <f t="shared" si="77"/>
        <v>815740440.10000002</v>
      </c>
      <c r="I167" s="79">
        <v>9401717268.0200005</v>
      </c>
      <c r="J167" s="19">
        <f t="shared" si="83"/>
        <v>0.18475327942621392</v>
      </c>
      <c r="K167" s="37">
        <v>9796592769.8600006</v>
      </c>
      <c r="L167" s="19">
        <f t="shared" si="84"/>
        <v>0.18591384420823304</v>
      </c>
      <c r="M167" s="19">
        <f t="shared" si="85"/>
        <v>4.2000359145362903E-2</v>
      </c>
      <c r="N167" s="20">
        <f t="shared" si="86"/>
        <v>1.4494374956246058E-3</v>
      </c>
      <c r="O167" s="21">
        <f t="shared" si="87"/>
        <v>8.3267770669174956E-2</v>
      </c>
      <c r="P167" s="33">
        <f t="shared" si="88"/>
        <v>535.44278594050593</v>
      </c>
      <c r="Q167" s="33">
        <f t="shared" si="89"/>
        <v>44.585127106158183</v>
      </c>
      <c r="R167" s="24">
        <v>531.58000000000004</v>
      </c>
      <c r="S167" s="24">
        <v>537.44000000000005</v>
      </c>
      <c r="T167" s="24">
        <v>36</v>
      </c>
      <c r="U167" s="37">
        <v>18296245.699999999</v>
      </c>
      <c r="V167" s="37">
        <v>18296245.699999999</v>
      </c>
    </row>
    <row r="168" spans="1:22">
      <c r="A168" s="70">
        <v>146</v>
      </c>
      <c r="B168" s="17" t="s">
        <v>185</v>
      </c>
      <c r="C168" s="17" t="s">
        <v>49</v>
      </c>
      <c r="D168" s="37">
        <v>459901741.19999999</v>
      </c>
      <c r="E168" s="37">
        <v>15234408</v>
      </c>
      <c r="F168" s="37">
        <v>4077947.75</v>
      </c>
      <c r="G168" s="24">
        <v>1881955</v>
      </c>
      <c r="H168" s="18">
        <f t="shared" si="77"/>
        <v>17430400.75</v>
      </c>
      <c r="I168" s="87">
        <v>1098522455</v>
      </c>
      <c r="J168" s="19">
        <f t="shared" si="83"/>
        <v>2.1587080349133696E-2</v>
      </c>
      <c r="K168" s="37">
        <v>1105393029</v>
      </c>
      <c r="L168" s="19">
        <f t="shared" si="84"/>
        <v>2.0977483928354579E-2</v>
      </c>
      <c r="M168" s="19">
        <f t="shared" si="85"/>
        <v>6.2543773854854883E-3</v>
      </c>
      <c r="N168" s="20">
        <f t="shared" si="86"/>
        <v>1.7025211401075337E-3</v>
      </c>
      <c r="O168" s="21">
        <f t="shared" si="87"/>
        <v>1.5768509745143326E-2</v>
      </c>
      <c r="P168" s="33">
        <f t="shared" si="88"/>
        <v>1.4321647995042601</v>
      </c>
      <c r="Q168" s="33">
        <f t="shared" si="89"/>
        <v>2.2583104597634164E-2</v>
      </c>
      <c r="R168" s="24">
        <v>1.4</v>
      </c>
      <c r="S168" s="24">
        <v>1.41</v>
      </c>
      <c r="T168" s="24">
        <v>202</v>
      </c>
      <c r="U168" s="24">
        <v>769474768</v>
      </c>
      <c r="V168" s="24">
        <v>771833681</v>
      </c>
    </row>
    <row r="169" spans="1:22">
      <c r="A169" s="70">
        <v>147</v>
      </c>
      <c r="B169" s="17" t="s">
        <v>186</v>
      </c>
      <c r="C169" s="17" t="s">
        <v>43</v>
      </c>
      <c r="D169" s="40">
        <v>526902171.52999997</v>
      </c>
      <c r="E169" s="40">
        <v>8131213.2699999996</v>
      </c>
      <c r="F169" s="40">
        <v>19376351.280000001</v>
      </c>
      <c r="G169" s="24">
        <v>1064874.47</v>
      </c>
      <c r="H169" s="18">
        <f t="shared" si="77"/>
        <v>26442690.080000002</v>
      </c>
      <c r="I169" s="11">
        <v>481349649.68000001</v>
      </c>
      <c r="J169" s="19">
        <f t="shared" si="83"/>
        <v>9.4590087952908675E-3</v>
      </c>
      <c r="K169" s="24">
        <v>524745700.19</v>
      </c>
      <c r="L169" s="19">
        <f t="shared" si="84"/>
        <v>9.9583082246928988E-3</v>
      </c>
      <c r="M169" s="19">
        <f t="shared" si="85"/>
        <v>9.0154943581759267E-2</v>
      </c>
      <c r="N169" s="20">
        <f t="shared" si="86"/>
        <v>2.0293152847454111E-3</v>
      </c>
      <c r="O169" s="21">
        <f t="shared" si="87"/>
        <v>5.0391437357991939E-2</v>
      </c>
      <c r="P169" s="33">
        <f t="shared" si="88"/>
        <v>255.32908658342311</v>
      </c>
      <c r="Q169" s="33">
        <f t="shared" si="89"/>
        <v>12.866399672241865</v>
      </c>
      <c r="R169" s="24">
        <v>255.32</v>
      </c>
      <c r="S169" s="24">
        <v>256.37</v>
      </c>
      <c r="T169" s="24">
        <v>711</v>
      </c>
      <c r="U169" s="24">
        <v>1954554</v>
      </c>
      <c r="V169" s="24">
        <v>2055174</v>
      </c>
    </row>
    <row r="170" spans="1:22">
      <c r="A170" s="70">
        <v>148</v>
      </c>
      <c r="B170" s="17" t="s">
        <v>187</v>
      </c>
      <c r="C170" s="17" t="s">
        <v>96</v>
      </c>
      <c r="D170" s="24">
        <v>3380800903.2600002</v>
      </c>
      <c r="E170" s="37">
        <v>20828925.350000001</v>
      </c>
      <c r="F170" s="53">
        <v>-145763090.30000001</v>
      </c>
      <c r="G170" s="24">
        <v>7565465.4400000004</v>
      </c>
      <c r="H170" s="18">
        <f t="shared" si="77"/>
        <v>-132499630.39000002</v>
      </c>
      <c r="I170" s="78">
        <v>3587166459.75</v>
      </c>
      <c r="J170" s="19">
        <f t="shared" si="83"/>
        <v>7.0491458995565748E-2</v>
      </c>
      <c r="K170" s="46">
        <v>3502544268.8299999</v>
      </c>
      <c r="L170" s="19">
        <f t="shared" si="84"/>
        <v>6.6469178093334774E-2</v>
      </c>
      <c r="M170" s="19">
        <f t="shared" si="85"/>
        <v>-2.3590260410133752E-2</v>
      </c>
      <c r="N170" s="20">
        <f t="shared" si="86"/>
        <v>2.1599913832144628E-3</v>
      </c>
      <c r="O170" s="21">
        <f t="shared" si="87"/>
        <v>-3.7829537678980021E-2</v>
      </c>
      <c r="P170" s="33">
        <f t="shared" si="88"/>
        <v>20.569093235799102</v>
      </c>
      <c r="Q170" s="33">
        <f t="shared" si="89"/>
        <v>-0.77811928758611515</v>
      </c>
      <c r="R170" s="37">
        <v>20.4467</v>
      </c>
      <c r="S170" s="37">
        <v>20.674399999999999</v>
      </c>
      <c r="T170" s="37">
        <v>6186</v>
      </c>
      <c r="U170" s="24">
        <v>173674548.12</v>
      </c>
      <c r="V170" s="24">
        <v>170281899.58000001</v>
      </c>
    </row>
    <row r="171" spans="1:22" ht="15" customHeight="1">
      <c r="A171" s="122" t="s">
        <v>50</v>
      </c>
      <c r="B171" s="122"/>
      <c r="C171" s="122"/>
      <c r="D171" s="122"/>
      <c r="E171" s="122"/>
      <c r="F171" s="122"/>
      <c r="G171" s="122"/>
      <c r="H171" s="122"/>
      <c r="I171" s="32">
        <f>SUM(I143:I170)</f>
        <v>50887958780.590004</v>
      </c>
      <c r="J171" s="29">
        <f>(I171/$I$201)</f>
        <v>1.4392321983113398E-2</v>
      </c>
      <c r="K171" s="32">
        <f>SUM(K143:K170)</f>
        <v>52694261751.090004</v>
      </c>
      <c r="L171" s="29">
        <f>(K171/$K$201)</f>
        <v>1.4069830751864481E-2</v>
      </c>
      <c r="M171" s="29">
        <f t="shared" si="85"/>
        <v>3.5495685301273491E-2</v>
      </c>
      <c r="N171" s="20"/>
      <c r="O171" s="20"/>
      <c r="P171" s="30"/>
      <c r="Q171" s="30"/>
      <c r="R171" s="32"/>
      <c r="S171" s="32"/>
      <c r="T171" s="32">
        <f>SUM(T143:T170)</f>
        <v>68926</v>
      </c>
      <c r="U171" s="32"/>
      <c r="V171" s="38"/>
    </row>
    <row r="172" spans="1:22" ht="6" customHeight="1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</row>
    <row r="173" spans="1:22">
      <c r="A173" s="124" t="s">
        <v>188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</row>
    <row r="174" spans="1:22">
      <c r="A174" s="70">
        <v>149</v>
      </c>
      <c r="B174" s="25" t="s">
        <v>189</v>
      </c>
      <c r="C174" s="25" t="s">
        <v>25</v>
      </c>
      <c r="D174" s="24">
        <v>621527731.96000004</v>
      </c>
      <c r="E174" s="24">
        <v>5105943.78</v>
      </c>
      <c r="F174" s="51">
        <v>-16911827.02</v>
      </c>
      <c r="G174" s="24">
        <v>4469897.79</v>
      </c>
      <c r="H174" s="18">
        <f t="shared" ref="H174:H176" si="95">(E174+F174)-G174</f>
        <v>-16275781.029999997</v>
      </c>
      <c r="I174" s="85">
        <v>981608659</v>
      </c>
      <c r="J174" s="19">
        <f>(I174/$I$177)</f>
        <v>0.18201695362326367</v>
      </c>
      <c r="K174" s="24">
        <v>902492348</v>
      </c>
      <c r="L174" s="19">
        <f>(K174/$K$177)</f>
        <v>0.16462073911965316</v>
      </c>
      <c r="M174" s="19">
        <f t="shared" ref="M174:M177" si="96">((K174-I174)/I174)</f>
        <v>-8.0598627848901233E-2</v>
      </c>
      <c r="N174" s="20">
        <f t="shared" ref="N174" si="97">(G174/K174)</f>
        <v>4.9528373286551125E-3</v>
      </c>
      <c r="O174" s="21">
        <f t="shared" ref="O174" si="98">H174/K174</f>
        <v>-1.8034259310972016E-2</v>
      </c>
      <c r="P174" s="33">
        <f t="shared" ref="P174" si="99">K174/V174</f>
        <v>64.004429640521835</v>
      </c>
      <c r="Q174" s="33">
        <f t="shared" ref="Q174" si="100">H174/V174</f>
        <v>-1.1542724811880343</v>
      </c>
      <c r="R174" s="24">
        <v>63.684399999999997</v>
      </c>
      <c r="S174" s="24">
        <v>65.604500000000002</v>
      </c>
      <c r="T174" s="24">
        <v>1633</v>
      </c>
      <c r="U174" s="24">
        <v>15091787</v>
      </c>
      <c r="V174" s="24">
        <v>14100467</v>
      </c>
    </row>
    <row r="175" spans="1:22">
      <c r="A175" s="70">
        <v>150</v>
      </c>
      <c r="B175" s="25" t="s">
        <v>190</v>
      </c>
      <c r="C175" s="17" t="s">
        <v>45</v>
      </c>
      <c r="D175" s="46">
        <v>3642842607.6300001</v>
      </c>
      <c r="E175" s="46">
        <v>39030353.170000002</v>
      </c>
      <c r="F175" s="46">
        <v>133789023.3</v>
      </c>
      <c r="G175" s="24">
        <v>10853342.07</v>
      </c>
      <c r="H175" s="18">
        <f t="shared" si="95"/>
        <v>161966034.40000001</v>
      </c>
      <c r="I175" s="78">
        <v>3494499812.8699999</v>
      </c>
      <c r="J175" s="19">
        <f t="shared" ref="J175:J176" si="101">(I175/$I$177)</f>
        <v>0.64797534592210881</v>
      </c>
      <c r="K175" s="46">
        <v>3662795976.0500002</v>
      </c>
      <c r="L175" s="19">
        <f t="shared" ref="L175:L176" si="102">(K175/$K$177)</f>
        <v>0.66811888450697698</v>
      </c>
      <c r="M175" s="19">
        <f t="shared" si="96"/>
        <v>4.8160301099509931E-2</v>
      </c>
      <c r="N175" s="20">
        <f t="shared" ref="N175:N176" si="103">(G175/K175)</f>
        <v>2.963130390272069E-3</v>
      </c>
      <c r="O175" s="21">
        <f t="shared" ref="O175:O176" si="104">H175/K175</f>
        <v>4.4219234557166344E-2</v>
      </c>
      <c r="P175" s="33">
        <f t="shared" ref="P175:P176" si="105">K175/V175</f>
        <v>2.6961087203123464</v>
      </c>
      <c r="Q175" s="33">
        <f t="shared" ref="Q175:Q176" si="106">H175/V175</f>
        <v>0.11921986389511326</v>
      </c>
      <c r="R175" s="24">
        <v>2.67</v>
      </c>
      <c r="S175" s="24">
        <v>2.71</v>
      </c>
      <c r="T175" s="24">
        <v>10167</v>
      </c>
      <c r="U175" s="46">
        <v>1354565004.3800001</v>
      </c>
      <c r="V175" s="46">
        <v>1358549063.1199999</v>
      </c>
    </row>
    <row r="176" spans="1:22">
      <c r="A176" s="70">
        <v>151</v>
      </c>
      <c r="B176" s="25" t="s">
        <v>191</v>
      </c>
      <c r="C176" s="17" t="s">
        <v>96</v>
      </c>
      <c r="D176" s="37">
        <v>798895204.36000001</v>
      </c>
      <c r="E176" s="37">
        <v>6620071.6699999999</v>
      </c>
      <c r="F176" s="53">
        <v>-109306038.59999999</v>
      </c>
      <c r="G176" s="37">
        <v>5906615.7999999998</v>
      </c>
      <c r="H176" s="18">
        <f t="shared" si="95"/>
        <v>-108592582.72999999</v>
      </c>
      <c r="I176" s="98">
        <v>916843335.41999996</v>
      </c>
      <c r="J176" s="19">
        <f t="shared" si="101"/>
        <v>0.17000770045462743</v>
      </c>
      <c r="K176" s="37">
        <v>916963504.15999997</v>
      </c>
      <c r="L176" s="19">
        <f t="shared" si="102"/>
        <v>0.16726037637336993</v>
      </c>
      <c r="M176" s="19">
        <f t="shared" si="96"/>
        <v>1.3106791024985857E-4</v>
      </c>
      <c r="N176" s="20">
        <f t="shared" si="103"/>
        <v>6.4414949703051226E-3</v>
      </c>
      <c r="O176" s="21">
        <f t="shared" si="104"/>
        <v>-0.11842628658321366</v>
      </c>
      <c r="P176" s="33">
        <f t="shared" si="105"/>
        <v>26.143140163571335</v>
      </c>
      <c r="Q176" s="33">
        <f t="shared" si="106"/>
        <v>-3.0960350091962225</v>
      </c>
      <c r="R176" s="37">
        <v>26.1374</v>
      </c>
      <c r="S176" s="37">
        <v>26.318000000000001</v>
      </c>
      <c r="T176" s="37">
        <v>1483</v>
      </c>
      <c r="U176" s="37">
        <v>34926473.450000003</v>
      </c>
      <c r="V176" s="37">
        <v>35074727</v>
      </c>
    </row>
    <row r="177" spans="1:22" ht="15" customHeight="1">
      <c r="A177" s="122" t="s">
        <v>50</v>
      </c>
      <c r="B177" s="122"/>
      <c r="C177" s="122"/>
      <c r="D177" s="122"/>
      <c r="E177" s="122"/>
      <c r="F177" s="122"/>
      <c r="G177" s="122"/>
      <c r="H177" s="122"/>
      <c r="I177" s="32">
        <f>SUM(I174:I176)</f>
        <v>5392951807.29</v>
      </c>
      <c r="J177" s="29">
        <f>(I177/$I$201)</f>
        <v>1.5252547107379002E-3</v>
      </c>
      <c r="K177" s="32">
        <f>SUM(K174:K176)</f>
        <v>5482251828.21</v>
      </c>
      <c r="L177" s="29">
        <f>(K177/$K$201)</f>
        <v>1.4638093940165841E-3</v>
      </c>
      <c r="M177" s="29">
        <f t="shared" si="96"/>
        <v>1.655865361142065E-2</v>
      </c>
      <c r="N177" s="20"/>
      <c r="O177" s="39"/>
      <c r="P177" s="30"/>
      <c r="Q177" s="30"/>
      <c r="R177" s="32"/>
      <c r="S177" s="32"/>
      <c r="T177" s="32">
        <f>SUM(T174:T176)</f>
        <v>13283</v>
      </c>
      <c r="U177" s="32"/>
      <c r="V177" s="38"/>
    </row>
    <row r="178" spans="1:22" ht="8.1" customHeight="1">
      <c r="A178" s="127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</row>
    <row r="179" spans="1:22">
      <c r="A179" s="124" t="s">
        <v>192</v>
      </c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</row>
    <row r="180" spans="1:22" ht="12.9" customHeight="1">
      <c r="A180" s="130" t="s">
        <v>193</v>
      </c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</row>
    <row r="181" spans="1:22" ht="15" customHeight="1">
      <c r="A181" s="70">
        <v>152</v>
      </c>
      <c r="B181" s="25" t="s">
        <v>194</v>
      </c>
      <c r="C181" s="17" t="s">
        <v>119</v>
      </c>
      <c r="D181" s="97">
        <v>3375344198.6700001</v>
      </c>
      <c r="E181" s="40">
        <v>62743797.229999997</v>
      </c>
      <c r="F181" s="40">
        <v>-6151554.8499999996</v>
      </c>
      <c r="G181" s="46">
        <v>17171750.77</v>
      </c>
      <c r="H181" s="18">
        <f t="shared" ref="H181:H182" si="107">(E181+F181)-G181</f>
        <v>39420491.609999999</v>
      </c>
      <c r="I181" s="77">
        <v>4428798929.2200003</v>
      </c>
      <c r="J181" s="19">
        <f>(I181/$I$200)</f>
        <v>8.5865474603804851E-2</v>
      </c>
      <c r="K181" s="40">
        <v>4542828893.5799999</v>
      </c>
      <c r="L181" s="19">
        <f>(K181/$K$200)</f>
        <v>8.9761304314596432E-2</v>
      </c>
      <c r="M181" s="19">
        <f t="shared" ref="M181" si="108">((K181-I181)/I181)</f>
        <v>2.5747378958132696E-2</v>
      </c>
      <c r="N181" s="20">
        <f t="shared" ref="N181" si="109">(G181/K181)</f>
        <v>3.7799686433859303E-3</v>
      </c>
      <c r="O181" s="21">
        <f t="shared" ref="O181" si="110">H181/K181</f>
        <v>8.6775206668491707E-3</v>
      </c>
      <c r="P181" s="33">
        <f t="shared" ref="P181" si="111">K181/V181</f>
        <v>2.1378272588358302</v>
      </c>
      <c r="Q181" s="33">
        <f t="shared" ref="Q181" si="112">H181/V181</f>
        <v>1.8551040220701431E-2</v>
      </c>
      <c r="R181" s="40">
        <v>2.12</v>
      </c>
      <c r="S181" s="40">
        <v>2.16</v>
      </c>
      <c r="T181" s="40">
        <v>14975</v>
      </c>
      <c r="U181" s="24">
        <v>2115117717.55</v>
      </c>
      <c r="V181" s="24">
        <v>2124974726</v>
      </c>
    </row>
    <row r="182" spans="1:22">
      <c r="A182" s="70">
        <v>153</v>
      </c>
      <c r="B182" s="17" t="s">
        <v>195</v>
      </c>
      <c r="C182" s="17" t="s">
        <v>45</v>
      </c>
      <c r="D182" s="46">
        <v>611482226.25</v>
      </c>
      <c r="E182" s="46">
        <v>2330433.54</v>
      </c>
      <c r="F182" s="46">
        <v>-19765334.609999999</v>
      </c>
      <c r="G182" s="46">
        <v>4274124.41</v>
      </c>
      <c r="H182" s="18">
        <f t="shared" si="107"/>
        <v>-21709025.48</v>
      </c>
      <c r="I182" s="78">
        <v>643925698.5</v>
      </c>
      <c r="J182" s="19">
        <f>(I182/$I$200)</f>
        <v>1.2484419951082966E-2</v>
      </c>
      <c r="K182" s="46">
        <v>606875530.98000002</v>
      </c>
      <c r="L182" s="19">
        <f>(K182/$K$200)</f>
        <v>1.1991193261617565E-2</v>
      </c>
      <c r="M182" s="19">
        <f t="shared" ref="M182" si="113">((K182-I182)/I182)</f>
        <v>-5.7537954466341246E-2</v>
      </c>
      <c r="N182" s="20">
        <f t="shared" ref="N182" si="114">(G182/K182)</f>
        <v>7.0428352962229688E-3</v>
      </c>
      <c r="O182" s="21">
        <f t="shared" ref="O182" si="115">H182/K182</f>
        <v>-3.5771792355746561E-2</v>
      </c>
      <c r="P182" s="33">
        <f t="shared" ref="P182" si="116">K182/V182</f>
        <v>420.77109059729088</v>
      </c>
      <c r="Q182" s="33">
        <f t="shared" ref="Q182" si="117">H182/V182</f>
        <v>-15.051736082147313</v>
      </c>
      <c r="R182" s="24">
        <v>417.56</v>
      </c>
      <c r="S182" s="24">
        <v>422.97</v>
      </c>
      <c r="T182" s="46">
        <v>855</v>
      </c>
      <c r="U182" s="46">
        <v>1486054.73</v>
      </c>
      <c r="V182" s="46">
        <v>1442293.79</v>
      </c>
    </row>
    <row r="183" spans="1:22" ht="6.9" customHeight="1">
      <c r="A183" s="127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</row>
    <row r="184" spans="1:22">
      <c r="A184" s="130" t="s">
        <v>147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</row>
    <row r="185" spans="1:22">
      <c r="A185" s="70">
        <v>154</v>
      </c>
      <c r="B185" s="25" t="s">
        <v>196</v>
      </c>
      <c r="C185" s="17" t="s">
        <v>197</v>
      </c>
      <c r="D185" s="118">
        <v>319183349</v>
      </c>
      <c r="E185" s="24">
        <v>4249876</v>
      </c>
      <c r="F185" s="24"/>
      <c r="G185" s="18">
        <v>1683681</v>
      </c>
      <c r="H185" s="18">
        <f t="shared" ref="H185:H196" si="118">(E185+F185)-G185</f>
        <v>2566195</v>
      </c>
      <c r="I185" s="87">
        <v>370551382</v>
      </c>
      <c r="J185" s="19">
        <f t="shared" ref="J185:J196" si="119">(I185/$I$200)</f>
        <v>7.1842435813922797E-3</v>
      </c>
      <c r="K185" s="24">
        <v>358603604</v>
      </c>
      <c r="L185" s="19">
        <f t="shared" ref="L185:L196" si="120">(K185/$K$200)</f>
        <v>7.0856129475720874E-3</v>
      </c>
      <c r="M185" s="19">
        <f t="shared" ref="M185:M196" si="121">((K185-I185)/I185)</f>
        <v>-3.224324231504283E-2</v>
      </c>
      <c r="N185" s="20">
        <f t="shared" ref="N185" si="122">(G185/K185)</f>
        <v>4.6951033989050487E-3</v>
      </c>
      <c r="O185" s="21">
        <f t="shared" ref="O185" si="123">H185/K185</f>
        <v>7.1560769924665897E-3</v>
      </c>
      <c r="P185" s="33">
        <f t="shared" ref="P185" si="124">K185/V185</f>
        <v>1041.1478757719253</v>
      </c>
      <c r="Q185" s="33">
        <f t="shared" ref="Q185" si="125">H185/V185</f>
        <v>7.4505343595669382</v>
      </c>
      <c r="R185" s="24">
        <v>1041.1500000000001</v>
      </c>
      <c r="S185" s="24">
        <v>1041.1500000000001</v>
      </c>
      <c r="T185" s="24">
        <v>19</v>
      </c>
      <c r="U185" s="24">
        <v>352474</v>
      </c>
      <c r="V185" s="46">
        <v>344431</v>
      </c>
    </row>
    <row r="186" spans="1:22" ht="15" customHeight="1">
      <c r="A186" s="70">
        <v>155</v>
      </c>
      <c r="B186" s="25" t="s">
        <v>198</v>
      </c>
      <c r="C186" s="65" t="s">
        <v>61</v>
      </c>
      <c r="D186" s="24">
        <v>68806175.239999995</v>
      </c>
      <c r="E186" s="24">
        <v>1719692.66</v>
      </c>
      <c r="F186" s="24">
        <v>0</v>
      </c>
      <c r="G186" s="24">
        <v>233464.08</v>
      </c>
      <c r="H186" s="18">
        <f t="shared" si="118"/>
        <v>1486228.5799999998</v>
      </c>
      <c r="I186" s="78">
        <v>127465664.75</v>
      </c>
      <c r="J186" s="19">
        <f t="shared" si="119"/>
        <v>2.471302033433214E-3</v>
      </c>
      <c r="K186" s="46">
        <v>129288971.25</v>
      </c>
      <c r="L186" s="19">
        <f t="shared" si="120"/>
        <v>2.5546079248753881E-3</v>
      </c>
      <c r="M186" s="19">
        <f t="shared" si="121"/>
        <v>1.4304295227864491E-2</v>
      </c>
      <c r="N186" s="20">
        <f t="shared" ref="N186:N196" si="126">(G186/K186)</f>
        <v>1.8057540232767533E-3</v>
      </c>
      <c r="O186" s="21">
        <f t="shared" ref="O186:O196" si="127">H186/K186</f>
        <v>1.1495401082016111E-2</v>
      </c>
      <c r="P186" s="33">
        <f t="shared" ref="P186:P196" si="128">K186/V186</f>
        <v>117.10575674162799</v>
      </c>
      <c r="Q186" s="33">
        <f t="shared" ref="Q186:Q196" si="129">H186/V186</f>
        <v>1.3461776427580259</v>
      </c>
      <c r="R186" s="24">
        <v>117.67</v>
      </c>
      <c r="S186" s="24">
        <v>117.67</v>
      </c>
      <c r="T186" s="24">
        <v>78</v>
      </c>
      <c r="U186" s="24">
        <v>1101382</v>
      </c>
      <c r="V186" s="24">
        <v>1104036</v>
      </c>
    </row>
    <row r="187" spans="1:22" ht="15" customHeight="1">
      <c r="A187" s="70">
        <v>156</v>
      </c>
      <c r="B187" s="25" t="s">
        <v>199</v>
      </c>
      <c r="C187" s="65" t="s">
        <v>172</v>
      </c>
      <c r="D187" s="24">
        <v>33156566.989999998</v>
      </c>
      <c r="E187" s="24">
        <v>712107.69</v>
      </c>
      <c r="F187" s="24">
        <v>0</v>
      </c>
      <c r="G187" s="24">
        <v>250474.89</v>
      </c>
      <c r="H187" s="18">
        <f t="shared" si="118"/>
        <v>461632.79999999993</v>
      </c>
      <c r="I187" s="85">
        <v>58765869.32</v>
      </c>
      <c r="J187" s="19">
        <f t="shared" si="119"/>
        <v>1.1393516256462039E-3</v>
      </c>
      <c r="K187" s="24">
        <v>58704575.399999999</v>
      </c>
      <c r="L187" s="19">
        <f t="shared" si="120"/>
        <v>1.1599378670381737E-3</v>
      </c>
      <c r="M187" s="19">
        <f t="shared" si="121"/>
        <v>-1.0430190297404723E-3</v>
      </c>
      <c r="N187" s="20">
        <f t="shared" si="126"/>
        <v>4.2667013310856861E-3</v>
      </c>
      <c r="O187" s="21">
        <f t="shared" si="127"/>
        <v>7.8636596356337837E-3</v>
      </c>
      <c r="P187" s="33">
        <f t="shared" si="128"/>
        <v>108.04390510545882</v>
      </c>
      <c r="Q187" s="33">
        <f t="shared" si="129"/>
        <v>0.84962049545404339</v>
      </c>
      <c r="R187" s="24">
        <v>104.76</v>
      </c>
      <c r="S187" s="24">
        <v>108.04</v>
      </c>
      <c r="T187" s="24">
        <v>16</v>
      </c>
      <c r="U187" s="24">
        <v>543468</v>
      </c>
      <c r="V187" s="24">
        <v>543340</v>
      </c>
    </row>
    <row r="188" spans="1:22" ht="15" customHeight="1">
      <c r="A188" s="70">
        <v>157</v>
      </c>
      <c r="B188" s="17" t="s">
        <v>265</v>
      </c>
      <c r="C188" s="25" t="s">
        <v>70</v>
      </c>
      <c r="D188" s="37">
        <v>106247882.34</v>
      </c>
      <c r="E188" s="40">
        <v>1507721.6</v>
      </c>
      <c r="F188" s="40">
        <v>0</v>
      </c>
      <c r="G188" s="24">
        <v>481033.82</v>
      </c>
      <c r="H188" s="18">
        <f t="shared" si="118"/>
        <v>1026687.78</v>
      </c>
      <c r="I188" s="78">
        <v>0</v>
      </c>
      <c r="J188" s="19">
        <f t="shared" si="119"/>
        <v>0</v>
      </c>
      <c r="K188" s="46">
        <v>105230666.36</v>
      </c>
      <c r="L188" s="19">
        <f t="shared" si="120"/>
        <v>2.079242271201643E-3</v>
      </c>
      <c r="M188" s="19" t="e">
        <f t="shared" si="121"/>
        <v>#DIV/0!</v>
      </c>
      <c r="N188" s="20">
        <f t="shared" si="126"/>
        <v>4.5712322903511456E-3</v>
      </c>
      <c r="O188" s="21">
        <f t="shared" si="127"/>
        <v>9.7565454587890156E-3</v>
      </c>
      <c r="P188" s="33">
        <f t="shared" si="128"/>
        <v>1.0267756055981552</v>
      </c>
      <c r="Q188" s="33">
        <f t="shared" si="129"/>
        <v>1.0017782871994023E-2</v>
      </c>
      <c r="R188" s="24">
        <v>1.0223</v>
      </c>
      <c r="S188" s="24">
        <v>1.0223</v>
      </c>
      <c r="T188" s="24">
        <v>23</v>
      </c>
      <c r="U188" s="24">
        <v>116458966.65000001</v>
      </c>
      <c r="V188" s="24">
        <v>102486527.52</v>
      </c>
    </row>
    <row r="189" spans="1:22" ht="15" customHeight="1">
      <c r="A189" s="70">
        <v>158</v>
      </c>
      <c r="B189" s="17" t="s">
        <v>200</v>
      </c>
      <c r="C189" s="17" t="s">
        <v>74</v>
      </c>
      <c r="D189" s="46">
        <v>8103404476.21</v>
      </c>
      <c r="E189" s="46">
        <v>123107913.70999999</v>
      </c>
      <c r="F189" s="46"/>
      <c r="G189" s="46">
        <v>13689130.83</v>
      </c>
      <c r="H189" s="18">
        <f t="shared" si="118"/>
        <v>109418782.88</v>
      </c>
      <c r="I189" s="79">
        <v>8537587952.4799995</v>
      </c>
      <c r="J189" s="19">
        <f t="shared" si="119"/>
        <v>0.16552660286172269</v>
      </c>
      <c r="K189" s="37">
        <v>8082340869</v>
      </c>
      <c r="L189" s="19">
        <f t="shared" si="120"/>
        <v>0.15969816942519471</v>
      </c>
      <c r="M189" s="19">
        <f t="shared" si="121"/>
        <v>-5.3322681536505788E-2</v>
      </c>
      <c r="N189" s="20">
        <f t="shared" si="126"/>
        <v>1.6937086732514547E-3</v>
      </c>
      <c r="O189" s="21">
        <f t="shared" si="127"/>
        <v>1.3538006457965438E-2</v>
      </c>
      <c r="P189" s="33">
        <f t="shared" si="128"/>
        <v>139.97236777624235</v>
      </c>
      <c r="Q189" s="33">
        <f t="shared" si="129"/>
        <v>1.8949468188914824</v>
      </c>
      <c r="R189" s="24">
        <v>139.97</v>
      </c>
      <c r="S189" s="24">
        <v>139.97</v>
      </c>
      <c r="T189" s="24">
        <v>685</v>
      </c>
      <c r="U189" s="37">
        <v>57391345</v>
      </c>
      <c r="V189" s="37">
        <v>57742403</v>
      </c>
    </row>
    <row r="190" spans="1:22" ht="15" customHeight="1">
      <c r="A190" s="70">
        <v>159</v>
      </c>
      <c r="B190" s="17" t="s">
        <v>232</v>
      </c>
      <c r="C190" s="17" t="s">
        <v>59</v>
      </c>
      <c r="D190" s="46">
        <v>458270740.97000003</v>
      </c>
      <c r="E190" s="46">
        <v>7302796.1600000001</v>
      </c>
      <c r="F190" s="46"/>
      <c r="G190" s="46">
        <v>1100575.0900000001</v>
      </c>
      <c r="H190" s="18">
        <f t="shared" si="118"/>
        <v>6202221.0700000003</v>
      </c>
      <c r="I190" s="79">
        <v>437878966.74000001</v>
      </c>
      <c r="J190" s="19">
        <f t="shared" si="119"/>
        <v>8.4895895928099076E-3</v>
      </c>
      <c r="K190" s="37">
        <v>461419221.94</v>
      </c>
      <c r="L190" s="19">
        <f t="shared" si="120"/>
        <v>9.1171365172244695E-3</v>
      </c>
      <c r="M190" s="19">
        <f t="shared" si="121"/>
        <v>5.3759730400518457E-2</v>
      </c>
      <c r="N190" s="20">
        <f t="shared" si="126"/>
        <v>2.3851955828210203E-3</v>
      </c>
      <c r="O190" s="21">
        <f t="shared" si="127"/>
        <v>1.3441618326872601E-2</v>
      </c>
      <c r="P190" s="33">
        <f t="shared" si="128"/>
        <v>1152.8981373475237</v>
      </c>
      <c r="Q190" s="33">
        <f t="shared" si="129"/>
        <v>15.496816731987762</v>
      </c>
      <c r="R190" s="24">
        <v>1152.9000000000001</v>
      </c>
      <c r="S190" s="24">
        <v>1152.9000000000001</v>
      </c>
      <c r="T190" s="24">
        <v>95</v>
      </c>
      <c r="U190" s="37">
        <v>385052.35</v>
      </c>
      <c r="V190" s="37">
        <v>400225.49</v>
      </c>
    </row>
    <row r="191" spans="1:22" ht="15" customHeight="1">
      <c r="A191" s="70">
        <v>160</v>
      </c>
      <c r="B191" s="25" t="s">
        <v>118</v>
      </c>
      <c r="C191" s="17" t="s">
        <v>119</v>
      </c>
      <c r="D191" s="24">
        <v>13807996975.1</v>
      </c>
      <c r="E191" s="24">
        <v>363262758.56999999</v>
      </c>
      <c r="F191" s="24"/>
      <c r="G191" s="24">
        <v>45869936.68</v>
      </c>
      <c r="H191" s="18">
        <f>(E191+F191)-G191</f>
        <v>317392821.88999999</v>
      </c>
      <c r="I191" s="11">
        <v>24262482111.98</v>
      </c>
      <c r="J191" s="19">
        <f t="shared" si="119"/>
        <v>0.47040057020118553</v>
      </c>
      <c r="K191" s="24">
        <v>23956996087.209999</v>
      </c>
      <c r="L191" s="19">
        <f t="shared" si="120"/>
        <v>0.47336390311478577</v>
      </c>
      <c r="M191" s="19">
        <f t="shared" si="121"/>
        <v>-1.2590880989013144E-2</v>
      </c>
      <c r="N191" s="20">
        <f t="shared" si="126"/>
        <v>1.914678138820949E-3</v>
      </c>
      <c r="O191" s="21">
        <f t="shared" si="127"/>
        <v>1.3248439860097799E-2</v>
      </c>
      <c r="P191" s="33">
        <f t="shared" si="128"/>
        <v>1228.7785871713841</v>
      </c>
      <c r="Q191" s="33">
        <f t="shared" si="129"/>
        <v>16.279399213516026</v>
      </c>
      <c r="R191" s="18">
        <v>1228.78</v>
      </c>
      <c r="S191" s="18">
        <v>1228.78</v>
      </c>
      <c r="T191" s="24">
        <v>9394</v>
      </c>
      <c r="U191" s="46">
        <v>19490274.379999999</v>
      </c>
      <c r="V191" s="24">
        <v>19496593.07</v>
      </c>
    </row>
    <row r="192" spans="1:22" ht="15" customHeight="1">
      <c r="A192" s="70">
        <v>161</v>
      </c>
      <c r="B192" s="48" t="s">
        <v>233</v>
      </c>
      <c r="C192" s="49" t="s">
        <v>234</v>
      </c>
      <c r="D192" s="46">
        <v>244202669.53999999</v>
      </c>
      <c r="E192" s="46">
        <v>0</v>
      </c>
      <c r="F192" s="46">
        <v>22861872.489999998</v>
      </c>
      <c r="G192" s="46">
        <v>654370.56999999995</v>
      </c>
      <c r="H192" s="18">
        <f t="shared" si="118"/>
        <v>22207501.919999998</v>
      </c>
      <c r="I192" s="79">
        <v>392465738.47000003</v>
      </c>
      <c r="J192" s="19">
        <f t="shared" si="119"/>
        <v>7.6091187335511788E-3</v>
      </c>
      <c r="K192" s="37">
        <v>379626675.37</v>
      </c>
      <c r="L192" s="19">
        <f t="shared" si="120"/>
        <v>7.5010057239843515E-3</v>
      </c>
      <c r="M192" s="19">
        <f t="shared" si="121"/>
        <v>-3.2713844398372723E-2</v>
      </c>
      <c r="N192" s="20">
        <f t="shared" si="126"/>
        <v>1.7237212568432475E-3</v>
      </c>
      <c r="O192" s="21">
        <f t="shared" si="127"/>
        <v>5.849826516631277E-2</v>
      </c>
      <c r="P192" s="33">
        <f t="shared" si="128"/>
        <v>123.85425907477661</v>
      </c>
      <c r="Q192" s="33">
        <f t="shared" si="129"/>
        <v>7.2452592893334815</v>
      </c>
      <c r="R192" s="24">
        <v>123.68</v>
      </c>
      <c r="S192" s="24">
        <v>123.95</v>
      </c>
      <c r="T192" s="24">
        <v>168</v>
      </c>
      <c r="U192" s="37">
        <v>3180367.3</v>
      </c>
      <c r="V192" s="37">
        <v>3065107.96</v>
      </c>
    </row>
    <row r="193" spans="1:22" ht="15" customHeight="1">
      <c r="A193" s="70">
        <v>162</v>
      </c>
      <c r="B193" s="48" t="s">
        <v>235</v>
      </c>
      <c r="C193" s="49" t="s">
        <v>234</v>
      </c>
      <c r="D193" s="46">
        <v>100811873.61</v>
      </c>
      <c r="E193" s="46">
        <v>0</v>
      </c>
      <c r="F193" s="46">
        <v>3811881.7</v>
      </c>
      <c r="G193" s="46">
        <v>179101.17</v>
      </c>
      <c r="H193" s="18">
        <f t="shared" si="118"/>
        <v>3632780.5300000003</v>
      </c>
      <c r="I193" s="79">
        <v>103322172.06999999</v>
      </c>
      <c r="J193" s="19">
        <f t="shared" si="119"/>
        <v>2.003208428215783E-3</v>
      </c>
      <c r="K193" s="37">
        <v>105867075</v>
      </c>
      <c r="L193" s="19">
        <f t="shared" si="120"/>
        <v>2.0918170062272584E-3</v>
      </c>
      <c r="M193" s="19">
        <f t="shared" si="121"/>
        <v>2.4630753293454329E-2</v>
      </c>
      <c r="N193" s="20">
        <f t="shared" si="126"/>
        <v>1.6917551561710759E-3</v>
      </c>
      <c r="O193" s="21">
        <f t="shared" si="127"/>
        <v>3.4314545197361886E-2</v>
      </c>
      <c r="P193" s="33">
        <f t="shared" si="128"/>
        <v>109.53129439614987</v>
      </c>
      <c r="Q193" s="33">
        <f t="shared" si="129"/>
        <v>3.7585165520822352</v>
      </c>
      <c r="R193" s="24">
        <v>109.53</v>
      </c>
      <c r="S193" s="24">
        <v>109.53</v>
      </c>
      <c r="T193" s="24">
        <v>73</v>
      </c>
      <c r="U193" s="37">
        <v>961372.4</v>
      </c>
      <c r="V193" s="37">
        <v>966546.37</v>
      </c>
    </row>
    <row r="194" spans="1:22" ht="15.6" customHeight="1">
      <c r="A194" s="70">
        <v>163</v>
      </c>
      <c r="B194" s="17" t="s">
        <v>201</v>
      </c>
      <c r="C194" s="17" t="s">
        <v>145</v>
      </c>
      <c r="D194" s="24">
        <v>725223099.44000006</v>
      </c>
      <c r="E194" s="46">
        <v>13519173.9</v>
      </c>
      <c r="F194" s="46"/>
      <c r="G194" s="24">
        <v>2173300.2799999998</v>
      </c>
      <c r="H194" s="18">
        <f t="shared" si="118"/>
        <v>11345873.620000001</v>
      </c>
      <c r="I194" s="11">
        <v>1071576662.67</v>
      </c>
      <c r="J194" s="19">
        <f t="shared" si="119"/>
        <v>2.0775709212593647E-2</v>
      </c>
      <c r="K194" s="24">
        <v>1042607938.33</v>
      </c>
      <c r="L194" s="19">
        <f t="shared" si="120"/>
        <v>2.0600786563964617E-2</v>
      </c>
      <c r="M194" s="19">
        <f t="shared" si="121"/>
        <v>-2.703373948796144E-2</v>
      </c>
      <c r="N194" s="20">
        <f t="shared" si="126"/>
        <v>2.0844846850879431E-3</v>
      </c>
      <c r="O194" s="21">
        <f t="shared" si="127"/>
        <v>1.0882205288186548E-2</v>
      </c>
      <c r="P194" s="33">
        <f t="shared" si="128"/>
        <v>103.68697971853963</v>
      </c>
      <c r="Q194" s="33">
        <f t="shared" si="129"/>
        <v>1.1283429990091833</v>
      </c>
      <c r="R194" s="24">
        <v>103.69</v>
      </c>
      <c r="S194" s="24">
        <v>103.69</v>
      </c>
      <c r="T194" s="46">
        <v>583</v>
      </c>
      <c r="U194" s="24">
        <v>10130241</v>
      </c>
      <c r="V194" s="24">
        <v>10055341</v>
      </c>
    </row>
    <row r="195" spans="1:22">
      <c r="A195" s="70">
        <v>164</v>
      </c>
      <c r="B195" s="25" t="s">
        <v>202</v>
      </c>
      <c r="C195" s="25" t="s">
        <v>45</v>
      </c>
      <c r="D195" s="46">
        <v>7023577447.7299995</v>
      </c>
      <c r="E195" s="46">
        <v>63648079.640000001</v>
      </c>
      <c r="F195" s="46"/>
      <c r="G195" s="46">
        <v>11620600.470000001</v>
      </c>
      <c r="H195" s="18">
        <f t="shared" si="118"/>
        <v>52027479.170000002</v>
      </c>
      <c r="I195" s="78">
        <v>7030582560.1700001</v>
      </c>
      <c r="J195" s="19">
        <f t="shared" si="119"/>
        <v>0.13630880920948724</v>
      </c>
      <c r="K195" s="46">
        <v>6999196452.6000004</v>
      </c>
      <c r="L195" s="19">
        <f t="shared" si="120"/>
        <v>0.13829642662248087</v>
      </c>
      <c r="M195" s="19">
        <f t="shared" si="121"/>
        <v>-4.4642257311378157E-3</v>
      </c>
      <c r="N195" s="20">
        <f t="shared" si="126"/>
        <v>1.660276368679905E-3</v>
      </c>
      <c r="O195" s="21">
        <f t="shared" si="127"/>
        <v>7.4333503170457933E-3</v>
      </c>
      <c r="P195" s="33">
        <f t="shared" si="128"/>
        <v>133.27308836395537</v>
      </c>
      <c r="Q195" s="33">
        <f t="shared" si="129"/>
        <v>0.99066555364387954</v>
      </c>
      <c r="R195" s="46">
        <v>133.27000000000001</v>
      </c>
      <c r="S195" s="46">
        <v>133.27000000000001</v>
      </c>
      <c r="T195" s="24">
        <v>1254</v>
      </c>
      <c r="U195" s="24">
        <v>52969590.299999997</v>
      </c>
      <c r="V195" s="24">
        <v>52517702.850000001</v>
      </c>
    </row>
    <row r="196" spans="1:22" ht="15" customHeight="1">
      <c r="A196" s="70">
        <v>165</v>
      </c>
      <c r="B196" s="17" t="s">
        <v>203</v>
      </c>
      <c r="C196" s="17" t="s">
        <v>49</v>
      </c>
      <c r="D196" s="37">
        <v>3080921555</v>
      </c>
      <c r="E196" s="37">
        <v>41851985</v>
      </c>
      <c r="F196" s="37"/>
      <c r="G196" s="24">
        <v>6106501</v>
      </c>
      <c r="H196" s="18">
        <f t="shared" si="118"/>
        <v>35745484</v>
      </c>
      <c r="I196" s="87">
        <v>3901352888</v>
      </c>
      <c r="J196" s="19">
        <f t="shared" si="119"/>
        <v>7.5639360169381942E-2</v>
      </c>
      <c r="K196" s="46">
        <v>3780516849</v>
      </c>
      <c r="L196" s="19">
        <f t="shared" si="120"/>
        <v>7.4698856439236544E-2</v>
      </c>
      <c r="M196" s="19">
        <f t="shared" si="121"/>
        <v>-3.0972855434758098E-2</v>
      </c>
      <c r="N196" s="20">
        <f t="shared" si="126"/>
        <v>1.6152555970264371E-3</v>
      </c>
      <c r="O196" s="21">
        <f t="shared" si="127"/>
        <v>9.4551844172987044E-3</v>
      </c>
      <c r="P196" s="33">
        <f t="shared" si="128"/>
        <v>1.1840811747010358</v>
      </c>
      <c r="Q196" s="33">
        <f t="shared" si="129"/>
        <v>1.1195705871849978E-2</v>
      </c>
      <c r="R196" s="18">
        <v>1.18</v>
      </c>
      <c r="S196" s="18">
        <v>1.18</v>
      </c>
      <c r="T196" s="24">
        <v>170</v>
      </c>
      <c r="U196" s="24">
        <v>3230651209</v>
      </c>
      <c r="V196" s="24">
        <v>3192785199</v>
      </c>
    </row>
    <row r="197" spans="1:22" ht="5.4" customHeight="1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</row>
    <row r="198" spans="1:22" ht="15" customHeight="1">
      <c r="A198" s="130" t="s">
        <v>248</v>
      </c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</row>
    <row r="199" spans="1:22" ht="15" customHeight="1">
      <c r="A199" s="70">
        <v>166</v>
      </c>
      <c r="B199" s="25" t="s">
        <v>249</v>
      </c>
      <c r="C199" s="17" t="s">
        <v>119</v>
      </c>
      <c r="D199" s="37">
        <v>61952383.920000002</v>
      </c>
      <c r="E199" s="37">
        <v>2066077.12</v>
      </c>
      <c r="F199" s="37">
        <v>4400000</v>
      </c>
      <c r="G199" s="24">
        <v>1633964.76</v>
      </c>
      <c r="H199" s="18">
        <f t="shared" ref="H199" si="130">(E199+F199)-G199</f>
        <v>4832112.3600000003</v>
      </c>
      <c r="I199" s="87">
        <v>211586732.59999999</v>
      </c>
      <c r="J199" s="19">
        <f t="shared" ref="J199" si="131">(I199/$I$200)</f>
        <v>4.1022397956926651E-3</v>
      </c>
      <c r="K199" s="46">
        <v>209729917.52000001</v>
      </c>
      <c r="L199" s="19">
        <f t="shared" ref="L199" si="132">(K199/$K$200)</f>
        <v>4.1440325822072275E-3</v>
      </c>
      <c r="M199" s="19">
        <f t="shared" ref="M199" si="133">((K199-I199)/I199)</f>
        <v>-8.7756687632690612E-3</v>
      </c>
      <c r="N199" s="20">
        <f t="shared" ref="N199" si="134">(G199/K199)</f>
        <v>7.7908043798481149E-3</v>
      </c>
      <c r="O199" s="21">
        <f t="shared" ref="O199" si="135">H199/K199</f>
        <v>2.3039690365296628E-2</v>
      </c>
      <c r="P199" s="33">
        <f t="shared" ref="P199" si="136">K199/V199</f>
        <v>1123.5029731886971</v>
      </c>
      <c r="Q199" s="33">
        <f t="shared" ref="Q199" si="137">H199/V199</f>
        <v>25.885160626757735</v>
      </c>
      <c r="R199" s="18">
        <v>1123.5</v>
      </c>
      <c r="S199" s="18">
        <v>1123.5</v>
      </c>
      <c r="T199" s="24">
        <v>69</v>
      </c>
      <c r="U199" s="24">
        <v>186305</v>
      </c>
      <c r="V199" s="24">
        <v>186675</v>
      </c>
    </row>
    <row r="200" spans="1:22" ht="15" customHeight="1">
      <c r="A200" s="122" t="s">
        <v>50</v>
      </c>
      <c r="B200" s="122"/>
      <c r="C200" s="122"/>
      <c r="D200" s="122"/>
      <c r="E200" s="122"/>
      <c r="F200" s="122"/>
      <c r="G200" s="122"/>
      <c r="H200" s="122"/>
      <c r="I200" s="32">
        <f>SUM(I181:I199)</f>
        <v>51578343328.969994</v>
      </c>
      <c r="J200" s="29">
        <f>(I200/$I$201)</f>
        <v>1.4587579111725934E-2</v>
      </c>
      <c r="K200" s="32">
        <f>SUM(K181:K196)</f>
        <v>50610103410.020004</v>
      </c>
      <c r="L200" s="29">
        <f>(K200/$K$201)</f>
        <v>1.3513342167633864E-2</v>
      </c>
      <c r="M200" s="29">
        <f t="shared" ref="M200" si="138">((K200-I200)/I200)</f>
        <v>-1.8772218269487502E-2</v>
      </c>
      <c r="N200" s="20"/>
      <c r="O200" s="20"/>
      <c r="P200" s="30"/>
      <c r="Q200" s="30"/>
      <c r="R200" s="31"/>
      <c r="S200" s="31"/>
      <c r="T200" s="32">
        <f>SUM(T181:T196)</f>
        <v>28388</v>
      </c>
      <c r="U200" s="32"/>
      <c r="V200" s="32"/>
    </row>
    <row r="201" spans="1:22" ht="15" customHeight="1">
      <c r="A201" s="129" t="s">
        <v>204</v>
      </c>
      <c r="B201" s="129"/>
      <c r="C201" s="129"/>
      <c r="D201" s="129"/>
      <c r="E201" s="129"/>
      <c r="F201" s="129"/>
      <c r="G201" s="129"/>
      <c r="H201" s="129"/>
      <c r="I201" s="16">
        <f>SUM(I24,I61,I98,I132,I140,I171,I177,I200)</f>
        <v>3535771284181.7441</v>
      </c>
      <c r="J201" s="13"/>
      <c r="K201" s="16">
        <f>SUM(K24,K61,K98,K132,K140,K171,K177,K200)</f>
        <v>3745195139899.4023</v>
      </c>
      <c r="L201" s="13"/>
      <c r="M201" s="13"/>
      <c r="N201" s="14"/>
      <c r="O201" s="14"/>
      <c r="P201" s="15"/>
      <c r="Q201" s="15"/>
      <c r="R201" s="12"/>
      <c r="S201" s="12"/>
      <c r="T201" s="16">
        <f>SUM(T24,T61,T98,T132,T140,T171,T177,T200)</f>
        <v>764871</v>
      </c>
      <c r="U201" s="16"/>
      <c r="V201" s="16"/>
    </row>
    <row r="202" spans="1:22" ht="5.0999999999999996" customHeight="1">
      <c r="A202" s="6"/>
      <c r="B202" s="57"/>
      <c r="C202" s="57"/>
      <c r="D202" s="5"/>
      <c r="E202" s="5"/>
      <c r="F202" s="5"/>
      <c r="G202" s="5"/>
      <c r="H202" s="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>
      <c r="A203" s="56" t="s">
        <v>205</v>
      </c>
      <c r="B203" s="119" t="s">
        <v>274</v>
      </c>
      <c r="C203" s="60"/>
      <c r="D203" s="5"/>
      <c r="E203" s="5"/>
      <c r="F203" s="5"/>
      <c r="G203" s="5"/>
      <c r="H203" s="7"/>
      <c r="I203" s="8"/>
      <c r="J203" s="5"/>
      <c r="K203" s="8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9"/>
    </row>
  </sheetData>
  <sheetProtection algorithmName="SHA-512" hashValue="n0liITdLehGBLeUP8sCiJKq+6TYwmRW8gis6d8/j6SyHDS8I1filCDQrRXkOSuJn2rVfnkiFqZvgxauOIaegDg==" saltValue="nXwgwlCfdduGVVw+wVfD8g==" spinCount="100000" sheet="1" objects="1" scenarios="1"/>
  <mergeCells count="34">
    <mergeCell ref="A200:H200"/>
    <mergeCell ref="A201:H201"/>
    <mergeCell ref="A178:V178"/>
    <mergeCell ref="A179:V179"/>
    <mergeCell ref="A180:V180"/>
    <mergeCell ref="A183:V183"/>
    <mergeCell ref="A184:V184"/>
    <mergeCell ref="A197:V197"/>
    <mergeCell ref="A198:V198"/>
    <mergeCell ref="A142:V142"/>
    <mergeCell ref="A171:H171"/>
    <mergeCell ref="A172:V172"/>
    <mergeCell ref="A173:V173"/>
    <mergeCell ref="A177:H177"/>
    <mergeCell ref="A132:H132"/>
    <mergeCell ref="A133:V133"/>
    <mergeCell ref="A134:V134"/>
    <mergeCell ref="A140:H140"/>
    <mergeCell ref="A141:V141"/>
    <mergeCell ref="A99:V99"/>
    <mergeCell ref="A100:V100"/>
    <mergeCell ref="A101:V101"/>
    <mergeCell ref="A117:V117"/>
    <mergeCell ref="A118:V118"/>
    <mergeCell ref="A26:V26"/>
    <mergeCell ref="A61:H61"/>
    <mergeCell ref="A62:V62"/>
    <mergeCell ref="A63:V63"/>
    <mergeCell ref="A98:H98"/>
    <mergeCell ref="A1:V1"/>
    <mergeCell ref="A3:V3"/>
    <mergeCell ref="A4:V4"/>
    <mergeCell ref="A24:H24"/>
    <mergeCell ref="A25:V25"/>
  </mergeCells>
  <pageMargins left="0.7" right="0.7" top="0.75" bottom="0.75" header="0.3" footer="0.3"/>
  <pageSetup scale="42" orientation="portrait" r:id="rId1"/>
  <colBreaks count="2" manualBreakCount="2">
    <brk id="2" max="195" man="1"/>
    <brk id="12" max="1048575" man="1"/>
  </colBreaks>
  <ignoredErrors>
    <ignoredError sqref="J177 J171 J140 J132 J98 J61 J24" formula="1"/>
    <ignoredError sqref="G1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9" sqref="E9"/>
    </sheetView>
  </sheetViews>
  <sheetFormatPr defaultColWidth="9" defaultRowHeight="14.4"/>
  <cols>
    <col min="1" max="1" width="29.5546875" customWidth="1"/>
    <col min="2" max="2" width="12" customWidth="1"/>
    <col min="3" max="3" width="11.6640625" customWidth="1"/>
  </cols>
  <sheetData>
    <row r="1" spans="1:5">
      <c r="A1" s="2"/>
      <c r="B1" s="2"/>
      <c r="C1" s="2"/>
      <c r="D1" s="2"/>
      <c r="E1" s="2"/>
    </row>
    <row r="2" spans="1:5">
      <c r="A2" s="134"/>
      <c r="B2" s="134"/>
      <c r="C2" s="134"/>
      <c r="D2" s="134"/>
      <c r="E2" s="2"/>
    </row>
    <row r="3" spans="1:5">
      <c r="A3" s="134"/>
      <c r="B3" s="134"/>
      <c r="C3" s="134"/>
      <c r="D3" s="134"/>
      <c r="E3" s="2"/>
    </row>
    <row r="4" spans="1:5" ht="33" customHeight="1">
      <c r="A4" s="135" t="s">
        <v>206</v>
      </c>
      <c r="B4" s="136" t="s">
        <v>272</v>
      </c>
      <c r="C4" s="136" t="s">
        <v>273</v>
      </c>
      <c r="D4" s="134"/>
      <c r="E4" s="2"/>
    </row>
    <row r="5" spans="1:5" ht="18.899999999999999" customHeight="1">
      <c r="A5" s="137" t="s">
        <v>19</v>
      </c>
      <c r="B5" s="138">
        <v>28.80823164589</v>
      </c>
      <c r="C5" s="138">
        <f>'October 2024'!K24/1000000000</f>
        <v>30.628950018609999</v>
      </c>
      <c r="D5" s="134"/>
      <c r="E5" s="2"/>
    </row>
    <row r="6" spans="1:5">
      <c r="A6" s="135" t="s">
        <v>51</v>
      </c>
      <c r="B6" s="138">
        <v>1410.2054391726499</v>
      </c>
      <c r="C6" s="138">
        <f>'October 2024'!K61/1000000000</f>
        <v>1510.5252124151007</v>
      </c>
      <c r="D6" s="134"/>
      <c r="E6" s="2"/>
    </row>
    <row r="7" spans="1:5">
      <c r="A7" s="135" t="s">
        <v>207</v>
      </c>
      <c r="B7" s="138">
        <v>217.10788830172001</v>
      </c>
      <c r="C7" s="138">
        <f>'October 2024'!K98/1000000000</f>
        <v>209.49459869465005</v>
      </c>
      <c r="D7" s="134"/>
      <c r="E7" s="2"/>
    </row>
    <row r="8" spans="1:5">
      <c r="A8" s="135" t="s">
        <v>208</v>
      </c>
      <c r="B8" s="138">
        <v>1665.3592104144541</v>
      </c>
      <c r="C8" s="138">
        <f>'October 2024'!K132/1000000000</f>
        <v>1786.413448419692</v>
      </c>
      <c r="D8" s="134"/>
      <c r="E8" s="2"/>
    </row>
    <row r="9" spans="1:5">
      <c r="A9" s="135" t="s">
        <v>209</v>
      </c>
      <c r="B9" s="138">
        <v>106.43126073017999</v>
      </c>
      <c r="C9" s="138">
        <f>'October 2024'!K140/1000000000</f>
        <v>99.346313362030003</v>
      </c>
      <c r="D9" s="134"/>
      <c r="E9" s="2"/>
    </row>
    <row r="10" spans="1:5">
      <c r="A10" s="135" t="s">
        <v>163</v>
      </c>
      <c r="B10" s="138">
        <v>50.887958780590004</v>
      </c>
      <c r="C10" s="138">
        <f>'October 2024'!K171/1000000000</f>
        <v>52.694261751090004</v>
      </c>
      <c r="D10" s="134"/>
      <c r="E10" s="2"/>
    </row>
    <row r="11" spans="1:5">
      <c r="A11" s="135" t="s">
        <v>188</v>
      </c>
      <c r="B11" s="138">
        <v>5.3929518072900002</v>
      </c>
      <c r="C11" s="138">
        <f>'October 2024'!K177/1000000000</f>
        <v>5.4822518282099999</v>
      </c>
      <c r="D11" s="134"/>
      <c r="E11" s="2"/>
    </row>
    <row r="12" spans="1:5">
      <c r="A12" s="135" t="s">
        <v>210</v>
      </c>
      <c r="B12" s="138">
        <v>51.578343328969993</v>
      </c>
      <c r="C12" s="138">
        <f>'October 2024'!K200/1000000000</f>
        <v>50.610103410020002</v>
      </c>
      <c r="D12" s="134"/>
      <c r="E12" s="2"/>
    </row>
    <row r="13" spans="1:5">
      <c r="A13" s="139"/>
      <c r="B13" s="139"/>
      <c r="C13" s="139"/>
      <c r="D13" s="134"/>
      <c r="E13" s="2"/>
    </row>
    <row r="14" spans="1:5">
      <c r="A14" s="134"/>
      <c r="B14" s="134"/>
      <c r="C14" s="134"/>
      <c r="D14" s="134"/>
      <c r="E14" s="2"/>
    </row>
    <row r="15" spans="1:5">
      <c r="A15" s="134"/>
      <c r="B15" s="134"/>
      <c r="C15" s="134"/>
      <c r="D15" s="134"/>
      <c r="E15" s="2"/>
    </row>
    <row r="16" spans="1:5">
      <c r="A16" s="134"/>
      <c r="B16" s="140"/>
      <c r="C16" s="141"/>
      <c r="D16" s="134"/>
      <c r="E16" s="2"/>
    </row>
    <row r="17" spans="1:5">
      <c r="A17" s="142"/>
      <c r="B17" s="143"/>
      <c r="C17" s="144"/>
      <c r="D17" s="134"/>
      <c r="E17" s="2"/>
    </row>
    <row r="18" spans="1:5" ht="15.6">
      <c r="A18" s="99"/>
      <c r="B18" s="101"/>
      <c r="C18" s="102"/>
      <c r="D18" s="2"/>
      <c r="E18" s="2"/>
    </row>
    <row r="19" spans="1:5">
      <c r="A19" s="103"/>
      <c r="B19" s="100"/>
      <c r="C19" s="104"/>
      <c r="D19" s="2"/>
      <c r="E19" s="2"/>
    </row>
    <row r="20" spans="1:5">
      <c r="A20" s="103"/>
      <c r="B20" s="101"/>
      <c r="C20" s="102"/>
      <c r="D20" s="2"/>
      <c r="E20" s="2"/>
    </row>
    <row r="21" spans="1:5">
      <c r="A21" s="103"/>
      <c r="B21" s="100"/>
      <c r="C21" s="104"/>
      <c r="D21" s="2"/>
      <c r="E21" s="2"/>
    </row>
    <row r="22" spans="1:5">
      <c r="A22" s="103"/>
      <c r="B22" s="105"/>
      <c r="C22" s="106"/>
      <c r="D22" s="2"/>
      <c r="E22" s="2"/>
    </row>
    <row r="23" spans="1:5">
      <c r="A23" s="103"/>
      <c r="B23" s="100"/>
      <c r="C23" s="104"/>
      <c r="D23" s="2"/>
      <c r="E23" s="2"/>
    </row>
    <row r="24" spans="1:5">
      <c r="A24" s="103"/>
      <c r="B24" s="100"/>
      <c r="C24" s="100"/>
      <c r="D24" s="2"/>
      <c r="E24" s="2"/>
    </row>
    <row r="25" spans="1:5">
      <c r="A25" s="103"/>
      <c r="B25" s="100"/>
      <c r="C25" s="100"/>
      <c r="D25" s="2"/>
      <c r="E25" s="2"/>
    </row>
    <row r="26" spans="1:5">
      <c r="A26" s="103"/>
      <c r="B26" s="100"/>
      <c r="C26" s="100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</sheetData>
  <sheetProtection algorithmName="SHA-512" hashValue="waZfGGi8pYCjpiRD8T8e9RyaU9wEzhIC6oT6qY2axP+mOfXinBTnhh5sEHZLq5GSFz+zIW0ivvs5U1lXdAjVFQ==" saltValue="fSALs/nhJ2d1k5iiJ3oFM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K11" sqref="K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3">
      <c r="A1" s="145" t="s">
        <v>206</v>
      </c>
      <c r="B1" s="146" t="s">
        <v>273</v>
      </c>
      <c r="C1" s="134"/>
    </row>
    <row r="2" spans="1:3">
      <c r="A2" s="145" t="s">
        <v>188</v>
      </c>
      <c r="B2" s="147">
        <f>'October 2024'!K177</f>
        <v>5482251828.21</v>
      </c>
      <c r="C2" s="134"/>
    </row>
    <row r="3" spans="1:3">
      <c r="A3" s="145" t="s">
        <v>19</v>
      </c>
      <c r="B3" s="148">
        <f>'October 2024'!K24</f>
        <v>30628950018.609997</v>
      </c>
      <c r="C3" s="134"/>
    </row>
    <row r="4" spans="1:3">
      <c r="A4" s="145" t="s">
        <v>210</v>
      </c>
      <c r="B4" s="149">
        <f>'October 2024'!K200</f>
        <v>50610103410.020004</v>
      </c>
      <c r="C4" s="134"/>
    </row>
    <row r="5" spans="1:3">
      <c r="A5" s="145" t="s">
        <v>163</v>
      </c>
      <c r="B5" s="149">
        <f>'October 2024'!K171</f>
        <v>52694261751.090004</v>
      </c>
      <c r="C5" s="134"/>
    </row>
    <row r="6" spans="1:3">
      <c r="A6" s="145" t="s">
        <v>209</v>
      </c>
      <c r="B6" s="150">
        <f>'October 2024'!K140</f>
        <v>99346313362.029999</v>
      </c>
      <c r="C6" s="134"/>
    </row>
    <row r="7" spans="1:3">
      <c r="A7" s="145" t="s">
        <v>207</v>
      </c>
      <c r="B7" s="150">
        <f>'October 2024'!K98</f>
        <v>209494598694.65005</v>
      </c>
      <c r="C7" s="134"/>
    </row>
    <row r="8" spans="1:3">
      <c r="A8" s="145" t="s">
        <v>51</v>
      </c>
      <c r="B8" s="149">
        <f>'October 2024'!K61</f>
        <v>1510525212415.1006</v>
      </c>
      <c r="C8" s="134"/>
    </row>
    <row r="9" spans="1:3">
      <c r="A9" s="145" t="s">
        <v>208</v>
      </c>
      <c r="B9" s="150">
        <f>'October 2024'!K132</f>
        <v>1786413448419.6921</v>
      </c>
      <c r="C9" s="134"/>
    </row>
    <row r="10" spans="1:3">
      <c r="A10" s="134"/>
      <c r="B10" s="134"/>
      <c r="C10" s="134"/>
    </row>
    <row r="11" spans="1:3">
      <c r="A11" s="151"/>
      <c r="B11" s="134"/>
      <c r="C11" s="134"/>
    </row>
    <row r="12" spans="1:3">
      <c r="A12" s="152"/>
      <c r="B12" s="134"/>
      <c r="C12" s="134"/>
    </row>
    <row r="13" spans="1:3" ht="15" customHeight="1">
      <c r="A13" s="108"/>
      <c r="B13" s="109"/>
      <c r="C13" s="2"/>
    </row>
    <row r="14" spans="1:3">
      <c r="A14" s="110"/>
      <c r="B14" s="109"/>
      <c r="C14" s="2"/>
    </row>
    <row r="15" spans="1:3">
      <c r="A15" s="110"/>
      <c r="B15" s="109"/>
      <c r="C15" s="2"/>
    </row>
    <row r="16" spans="1:3">
      <c r="A16" s="107"/>
      <c r="B16" s="109"/>
      <c r="C16" s="2"/>
    </row>
    <row r="17" spans="1:17">
      <c r="A17" s="111"/>
      <c r="B17" s="109"/>
      <c r="C17" s="2"/>
    </row>
    <row r="18" spans="1:17">
      <c r="A18" s="110"/>
      <c r="B18" s="109"/>
      <c r="C18" s="2"/>
    </row>
    <row r="19" spans="1:17">
      <c r="A19" s="23"/>
      <c r="B19" s="109"/>
      <c r="C19" s="2"/>
    </row>
    <row r="20" spans="1:17">
      <c r="A20" s="112"/>
      <c r="B20" s="109"/>
      <c r="C20" s="2"/>
    </row>
    <row r="21" spans="1:17">
      <c r="A21" s="103"/>
      <c r="B21" s="113"/>
      <c r="C21" s="2"/>
    </row>
    <row r="22" spans="1:17">
      <c r="A22" s="2"/>
      <c r="B22" s="101"/>
      <c r="C22" s="2"/>
    </row>
    <row r="23" spans="1:17">
      <c r="A23" s="2"/>
      <c r="B23" s="2"/>
      <c r="C23" s="2"/>
    </row>
    <row r="24" spans="1:17">
      <c r="A24" s="2"/>
      <c r="B24" s="2"/>
      <c r="C24" s="2"/>
    </row>
    <row r="32" spans="1:17" ht="15.9" customHeight="1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"/>
    </row>
    <row r="33" spans="1:17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"/>
    </row>
  </sheetData>
  <sheetProtection algorithmName="SHA-512" hashValue="xt7ziuTv5F/qTS3wITbp7uHJHBM00Mb0vIiI6pBoKvpA5fQXgj7fZcdO9c75EeY/4oaFTg45R8mMt42n/hJAwg==" saltValue="/2aFzZlW+CYXSNi2F9NMMw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7" sqref="E7"/>
    </sheetView>
  </sheetViews>
  <sheetFormatPr defaultColWidth="9" defaultRowHeight="14.4"/>
  <cols>
    <col min="1" max="1" width="34.6640625" customWidth="1"/>
    <col min="2" max="2" width="15" customWidth="1"/>
  </cols>
  <sheetData>
    <row r="1" spans="1:4">
      <c r="A1" s="2"/>
      <c r="B1" s="2"/>
      <c r="C1" s="2"/>
      <c r="D1" s="2"/>
    </row>
    <row r="2" spans="1:4">
      <c r="A2" s="2"/>
      <c r="B2" s="2"/>
      <c r="C2" s="2"/>
      <c r="D2" s="2"/>
    </row>
    <row r="3" spans="1:4">
      <c r="A3" s="134"/>
      <c r="B3" s="134"/>
      <c r="C3" s="134"/>
      <c r="D3" s="2"/>
    </row>
    <row r="4" spans="1:4">
      <c r="A4" s="134"/>
      <c r="B4" s="134"/>
      <c r="C4" s="134"/>
      <c r="D4" s="2"/>
    </row>
    <row r="5" spans="1:4">
      <c r="A5" s="153" t="s">
        <v>206</v>
      </c>
      <c r="B5" s="135" t="s">
        <v>211</v>
      </c>
      <c r="C5" s="134"/>
      <c r="D5" s="2"/>
    </row>
    <row r="6" spans="1:4">
      <c r="A6" s="153" t="s">
        <v>19</v>
      </c>
      <c r="B6" s="154">
        <f>'October 2024'!T24</f>
        <v>49119</v>
      </c>
      <c r="C6" s="134"/>
      <c r="D6" s="2"/>
    </row>
    <row r="7" spans="1:4">
      <c r="A7" s="153" t="s">
        <v>51</v>
      </c>
      <c r="B7" s="154">
        <f>'October 2024'!T61</f>
        <v>325263</v>
      </c>
      <c r="C7" s="134"/>
      <c r="D7" s="2"/>
    </row>
    <row r="8" spans="1:4">
      <c r="A8" s="153" t="s">
        <v>207</v>
      </c>
      <c r="B8" s="154">
        <f>'October 2024'!T98</f>
        <v>44991</v>
      </c>
      <c r="C8" s="134"/>
      <c r="D8" s="2"/>
    </row>
    <row r="9" spans="1:4">
      <c r="A9" s="153" t="s">
        <v>208</v>
      </c>
      <c r="B9" s="154">
        <f>'October 2024'!T132</f>
        <v>18037</v>
      </c>
      <c r="C9" s="134"/>
      <c r="D9" s="2"/>
    </row>
    <row r="10" spans="1:4">
      <c r="A10" s="153" t="s">
        <v>209</v>
      </c>
      <c r="B10" s="154">
        <f>'October 2024'!T140</f>
        <v>216864</v>
      </c>
      <c r="C10" s="134"/>
      <c r="D10" s="2"/>
    </row>
    <row r="11" spans="1:4">
      <c r="A11" s="153" t="s">
        <v>163</v>
      </c>
      <c r="B11" s="154">
        <f>'October 2024'!T171</f>
        <v>68926</v>
      </c>
      <c r="C11" s="134"/>
      <c r="D11" s="2"/>
    </row>
    <row r="12" spans="1:4">
      <c r="A12" s="153" t="s">
        <v>188</v>
      </c>
      <c r="B12" s="154">
        <f>'October 2024'!T177</f>
        <v>13283</v>
      </c>
      <c r="C12" s="134"/>
      <c r="D12" s="2"/>
    </row>
    <row r="13" spans="1:4">
      <c r="A13" s="153" t="s">
        <v>210</v>
      </c>
      <c r="B13" s="154">
        <f>'October 2024'!T200</f>
        <v>28388</v>
      </c>
      <c r="C13" s="134"/>
      <c r="D13" s="2"/>
    </row>
    <row r="14" spans="1:4">
      <c r="A14" s="134"/>
      <c r="B14" s="134"/>
      <c r="C14" s="134"/>
      <c r="D14" s="2"/>
    </row>
    <row r="15" spans="1:4">
      <c r="A15" s="134"/>
      <c r="B15" s="134"/>
      <c r="C15" s="134"/>
      <c r="D15" s="2"/>
    </row>
    <row r="16" spans="1:4">
      <c r="A16" s="134"/>
      <c r="B16" s="134"/>
      <c r="C16" s="134"/>
      <c r="D16" s="2"/>
    </row>
    <row r="17" spans="1:4">
      <c r="A17" s="134"/>
      <c r="B17" s="134"/>
      <c r="C17" s="134"/>
      <c r="D17" s="2"/>
    </row>
    <row r="18" spans="1:4">
      <c r="A18" s="134"/>
      <c r="B18" s="134"/>
      <c r="C18" s="134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  <row r="25" spans="1:4">
      <c r="A25" s="2"/>
      <c r="B25" s="2"/>
      <c r="C25" s="2"/>
      <c r="D25" s="2"/>
    </row>
    <row r="26" spans="1:4">
      <c r="A26" s="2"/>
      <c r="B26" s="2"/>
      <c r="C26" s="2"/>
      <c r="D26" s="2"/>
    </row>
    <row r="27" spans="1:4">
      <c r="A27" s="2"/>
      <c r="B27" s="2"/>
      <c r="C27" s="2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2"/>
      <c r="B30" s="2"/>
      <c r="C30" s="2"/>
      <c r="D30" s="2"/>
    </row>
    <row r="31" spans="1:4">
      <c r="A31" s="2"/>
      <c r="B31" s="2"/>
      <c r="C31" s="2"/>
      <c r="D31" s="2"/>
    </row>
    <row r="32" spans="1:4">
      <c r="A32" s="2"/>
      <c r="B32" s="2"/>
      <c r="C32" s="2"/>
      <c r="D32" s="2"/>
    </row>
    <row r="33" spans="1:4">
      <c r="A33" s="2"/>
      <c r="B33" s="2"/>
      <c r="C33" s="2"/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2"/>
      <c r="B36" s="2"/>
      <c r="C36" s="2"/>
      <c r="D36" s="2"/>
    </row>
    <row r="37" spans="1:4">
      <c r="A37" s="2"/>
      <c r="B37" s="2"/>
      <c r="C37" s="2"/>
      <c r="D37" s="2"/>
    </row>
    <row r="38" spans="1:4">
      <c r="A38" s="2"/>
      <c r="B38" s="2"/>
      <c r="C38" s="2"/>
      <c r="D38" s="2"/>
    </row>
    <row r="39" spans="1:4">
      <c r="A39" s="2"/>
      <c r="B39" s="2"/>
      <c r="C39" s="2"/>
      <c r="D39" s="2"/>
    </row>
    <row r="40" spans="1:4">
      <c r="A40" s="2"/>
      <c r="B40" s="2"/>
      <c r="C40" s="2"/>
      <c r="D40" s="2"/>
    </row>
    <row r="41" spans="1:4">
      <c r="A41" s="2"/>
      <c r="B41" s="2"/>
      <c r="C41" s="2"/>
      <c r="D41" s="2"/>
    </row>
  </sheetData>
  <sheetProtection algorithmName="SHA-512" hashValue="WnKgHkmPregMPAj/UcazzrJgoWmkDlHEco7ERY23eHWd8z6vMrEAaPjGPnNCgosGH4DKQRCpaWd4ulqwW+TjWQ==" saltValue="GVN/lL/jlEOnxFKsOMUWu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October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2025-03-01T23:03:38Z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