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Mutual Funds Update 2024\"/>
    </mc:Choice>
  </mc:AlternateContent>
  <bookViews>
    <workbookView xWindow="0" yWindow="0" windowWidth="12000" windowHeight="10236" tabRatio="604"/>
  </bookViews>
  <sheets>
    <sheet name="August 2024" sheetId="7" r:id="rId1"/>
    <sheet name="NAV Comparison" sheetId="2" r:id="rId2"/>
    <sheet name="Market Share" sheetId="3" r:id="rId3"/>
    <sheet name="Unitholders" sheetId="6" r:id="rId4"/>
  </sheets>
  <definedNames>
    <definedName name="Component">"Group"</definedName>
    <definedName name="pbCountingPages">FALSE</definedName>
  </definedNames>
  <calcPr calcId="162913"/>
</workbook>
</file>

<file path=xl/calcChain.xml><?xml version="1.0" encoding="utf-8"?>
<calcChain xmlns="http://schemas.openxmlformats.org/spreadsheetml/2006/main">
  <c r="H42" i="7" l="1"/>
  <c r="O42" i="7" s="1"/>
  <c r="B13" i="6" l="1"/>
  <c r="B12" i="6"/>
  <c r="B11" i="6"/>
  <c r="B10" i="6"/>
  <c r="B9" i="6"/>
  <c r="B8" i="6"/>
  <c r="B7" i="6"/>
  <c r="B6" i="6"/>
  <c r="B9" i="3"/>
  <c r="B8" i="3"/>
  <c r="B7" i="3"/>
  <c r="B6" i="3"/>
  <c r="B5" i="3"/>
  <c r="B4" i="3"/>
  <c r="B3" i="3"/>
  <c r="B2" i="3"/>
  <c r="C12" i="2"/>
  <c r="C11" i="2"/>
  <c r="C10" i="2"/>
  <c r="C9" i="2"/>
  <c r="C8" i="2"/>
  <c r="C7" i="2"/>
  <c r="C6" i="2"/>
  <c r="C5" i="2"/>
  <c r="T194" i="7" l="1"/>
  <c r="T136" i="7"/>
  <c r="K194" i="7"/>
  <c r="L193" i="7" s="1"/>
  <c r="I194" i="7"/>
  <c r="J193" i="7" s="1"/>
  <c r="K136" i="7"/>
  <c r="H57" i="7"/>
  <c r="Q57" i="7" s="1"/>
  <c r="H58" i="7"/>
  <c r="O58" i="7" s="1"/>
  <c r="M57" i="7"/>
  <c r="J160" i="7"/>
  <c r="J154" i="7"/>
  <c r="H154" i="7"/>
  <c r="O154" i="7" s="1"/>
  <c r="I136" i="7"/>
  <c r="I127" i="7"/>
  <c r="I126" i="7"/>
  <c r="I125" i="7"/>
  <c r="I124" i="7"/>
  <c r="I123" i="7"/>
  <c r="I122" i="7"/>
  <c r="I121" i="7"/>
  <c r="M121" i="7" s="1"/>
  <c r="I120" i="7"/>
  <c r="M120" i="7" s="1"/>
  <c r="I119" i="7"/>
  <c r="M119" i="7" s="1"/>
  <c r="I118" i="7"/>
  <c r="M118" i="7" s="1"/>
  <c r="I117" i="7"/>
  <c r="I113" i="7"/>
  <c r="I111" i="7"/>
  <c r="M111" i="7" s="1"/>
  <c r="I110" i="7"/>
  <c r="M110" i="7" s="1"/>
  <c r="I109" i="7"/>
  <c r="I106" i="7"/>
  <c r="I105" i="7"/>
  <c r="M105" i="7" s="1"/>
  <c r="I104" i="7"/>
  <c r="I103" i="7"/>
  <c r="M103" i="7" s="1"/>
  <c r="I102" i="7"/>
  <c r="I101" i="7"/>
  <c r="I100" i="7"/>
  <c r="M181" i="7"/>
  <c r="N181" i="7"/>
  <c r="O181" i="7"/>
  <c r="P181" i="7"/>
  <c r="Q181" i="7"/>
  <c r="M182" i="7"/>
  <c r="N182" i="7"/>
  <c r="O182" i="7"/>
  <c r="P182" i="7"/>
  <c r="Q182" i="7"/>
  <c r="M183" i="7"/>
  <c r="N183" i="7"/>
  <c r="O183" i="7"/>
  <c r="P183" i="7"/>
  <c r="Q183" i="7"/>
  <c r="M184" i="7"/>
  <c r="N184" i="7"/>
  <c r="O184" i="7"/>
  <c r="P184" i="7"/>
  <c r="Q184" i="7"/>
  <c r="M185" i="7"/>
  <c r="N185" i="7"/>
  <c r="O185" i="7"/>
  <c r="P185" i="7"/>
  <c r="Q185" i="7"/>
  <c r="M186" i="7"/>
  <c r="N186" i="7"/>
  <c r="O186" i="7"/>
  <c r="P186" i="7"/>
  <c r="Q186" i="7"/>
  <c r="M187" i="7"/>
  <c r="N187" i="7"/>
  <c r="O187" i="7"/>
  <c r="P187" i="7"/>
  <c r="Q187" i="7"/>
  <c r="M188" i="7"/>
  <c r="N188" i="7"/>
  <c r="O188" i="7"/>
  <c r="P188" i="7"/>
  <c r="Q188" i="7"/>
  <c r="M189" i="7"/>
  <c r="N189" i="7"/>
  <c r="O189" i="7"/>
  <c r="P189" i="7"/>
  <c r="Q189" i="7"/>
  <c r="M190" i="7"/>
  <c r="N190" i="7"/>
  <c r="O190" i="7"/>
  <c r="P190" i="7"/>
  <c r="Q190" i="7"/>
  <c r="M177" i="7"/>
  <c r="N177" i="7"/>
  <c r="O177" i="7"/>
  <c r="P177" i="7"/>
  <c r="Q177" i="7"/>
  <c r="M170" i="7"/>
  <c r="N170" i="7"/>
  <c r="O170" i="7"/>
  <c r="P170" i="7"/>
  <c r="Q170" i="7"/>
  <c r="M171" i="7"/>
  <c r="N171" i="7"/>
  <c r="O171" i="7"/>
  <c r="P171" i="7"/>
  <c r="Q171" i="7"/>
  <c r="M140" i="7"/>
  <c r="N140" i="7"/>
  <c r="O140" i="7"/>
  <c r="P140" i="7"/>
  <c r="Q140" i="7"/>
  <c r="M141" i="7"/>
  <c r="N141" i="7"/>
  <c r="O141" i="7"/>
  <c r="P141" i="7"/>
  <c r="Q141" i="7"/>
  <c r="M142" i="7"/>
  <c r="N142" i="7"/>
  <c r="O142" i="7"/>
  <c r="P142" i="7"/>
  <c r="Q142" i="7"/>
  <c r="M143" i="7"/>
  <c r="N143" i="7"/>
  <c r="O143" i="7"/>
  <c r="P143" i="7"/>
  <c r="Q143" i="7"/>
  <c r="M144" i="7"/>
  <c r="N144" i="7"/>
  <c r="O144" i="7"/>
  <c r="P144" i="7"/>
  <c r="Q144" i="7"/>
  <c r="M145" i="7"/>
  <c r="N145" i="7"/>
  <c r="O145" i="7"/>
  <c r="P145" i="7"/>
  <c r="Q145" i="7"/>
  <c r="M146" i="7"/>
  <c r="N146" i="7"/>
  <c r="O146" i="7"/>
  <c r="P146" i="7"/>
  <c r="Q146" i="7"/>
  <c r="M147" i="7"/>
  <c r="N147" i="7"/>
  <c r="O147" i="7"/>
  <c r="P147" i="7"/>
  <c r="Q147" i="7"/>
  <c r="M148" i="7"/>
  <c r="N148" i="7"/>
  <c r="O148" i="7"/>
  <c r="P148" i="7"/>
  <c r="Q148" i="7"/>
  <c r="M149" i="7"/>
  <c r="N149" i="7"/>
  <c r="O149" i="7"/>
  <c r="P149" i="7"/>
  <c r="Q149" i="7"/>
  <c r="M150" i="7"/>
  <c r="N150" i="7"/>
  <c r="O150" i="7"/>
  <c r="P150" i="7"/>
  <c r="Q150" i="7"/>
  <c r="M151" i="7"/>
  <c r="N151" i="7"/>
  <c r="O151" i="7"/>
  <c r="P151" i="7"/>
  <c r="Q151" i="7"/>
  <c r="M152" i="7"/>
  <c r="N152" i="7"/>
  <c r="O152" i="7"/>
  <c r="P152" i="7"/>
  <c r="Q152" i="7"/>
  <c r="M153" i="7"/>
  <c r="N153" i="7"/>
  <c r="O153" i="7"/>
  <c r="P153" i="7"/>
  <c r="Q153" i="7"/>
  <c r="M154" i="7"/>
  <c r="N154" i="7"/>
  <c r="P154" i="7"/>
  <c r="M155" i="7"/>
  <c r="N155" i="7"/>
  <c r="O155" i="7"/>
  <c r="P155" i="7"/>
  <c r="Q155" i="7"/>
  <c r="M156" i="7"/>
  <c r="N156" i="7"/>
  <c r="O156" i="7"/>
  <c r="P156" i="7"/>
  <c r="Q156" i="7"/>
  <c r="M157" i="7"/>
  <c r="N157" i="7"/>
  <c r="O157" i="7"/>
  <c r="P157" i="7"/>
  <c r="Q157" i="7"/>
  <c r="M158" i="7"/>
  <c r="N158" i="7"/>
  <c r="O158" i="7"/>
  <c r="P158" i="7"/>
  <c r="Q158" i="7"/>
  <c r="M159" i="7"/>
  <c r="N159" i="7"/>
  <c r="O159" i="7"/>
  <c r="P159" i="7"/>
  <c r="Q159" i="7"/>
  <c r="M160" i="7"/>
  <c r="N160" i="7"/>
  <c r="O160" i="7"/>
  <c r="P160" i="7"/>
  <c r="Q160" i="7"/>
  <c r="M161" i="7"/>
  <c r="N161" i="7"/>
  <c r="O161" i="7"/>
  <c r="P161" i="7"/>
  <c r="Q161" i="7"/>
  <c r="M162" i="7"/>
  <c r="N162" i="7"/>
  <c r="O162" i="7"/>
  <c r="P162" i="7"/>
  <c r="Q162" i="7"/>
  <c r="M163" i="7"/>
  <c r="N163" i="7"/>
  <c r="O163" i="7"/>
  <c r="P163" i="7"/>
  <c r="Q163" i="7"/>
  <c r="M164" i="7"/>
  <c r="N164" i="7"/>
  <c r="O164" i="7"/>
  <c r="P164" i="7"/>
  <c r="Q164" i="7"/>
  <c r="M165" i="7"/>
  <c r="N165" i="7"/>
  <c r="O165" i="7"/>
  <c r="P165" i="7"/>
  <c r="Q165" i="7"/>
  <c r="M132" i="7"/>
  <c r="N132" i="7"/>
  <c r="O132" i="7"/>
  <c r="P132" i="7"/>
  <c r="Q132" i="7"/>
  <c r="M133" i="7"/>
  <c r="N133" i="7"/>
  <c r="O133" i="7"/>
  <c r="P133" i="7"/>
  <c r="Q133" i="7"/>
  <c r="M134" i="7"/>
  <c r="N134" i="7"/>
  <c r="O134" i="7"/>
  <c r="P134" i="7"/>
  <c r="Q134" i="7"/>
  <c r="M135" i="7"/>
  <c r="N135" i="7"/>
  <c r="O135" i="7"/>
  <c r="P135" i="7"/>
  <c r="Q135" i="7"/>
  <c r="M117" i="7"/>
  <c r="N117" i="7"/>
  <c r="O117" i="7"/>
  <c r="P117" i="7"/>
  <c r="Q117" i="7"/>
  <c r="N118" i="7"/>
  <c r="O118" i="7"/>
  <c r="P118" i="7"/>
  <c r="Q118" i="7"/>
  <c r="N119" i="7"/>
  <c r="O119" i="7"/>
  <c r="P119" i="7"/>
  <c r="Q119" i="7"/>
  <c r="N120" i="7"/>
  <c r="O120" i="7"/>
  <c r="P120" i="7"/>
  <c r="Q120" i="7"/>
  <c r="N121" i="7"/>
  <c r="O121" i="7"/>
  <c r="P121" i="7"/>
  <c r="Q121" i="7"/>
  <c r="M122" i="7"/>
  <c r="N122" i="7"/>
  <c r="O122" i="7"/>
  <c r="P122" i="7"/>
  <c r="Q122" i="7"/>
  <c r="M123" i="7"/>
  <c r="N123" i="7"/>
  <c r="O123" i="7"/>
  <c r="P123" i="7"/>
  <c r="Q123" i="7"/>
  <c r="M124" i="7"/>
  <c r="N124" i="7"/>
  <c r="O124" i="7"/>
  <c r="P124" i="7"/>
  <c r="Q124" i="7"/>
  <c r="M125" i="7"/>
  <c r="N125" i="7"/>
  <c r="O125" i="7"/>
  <c r="P125" i="7"/>
  <c r="Q125" i="7"/>
  <c r="M126" i="7"/>
  <c r="N126" i="7"/>
  <c r="O126" i="7"/>
  <c r="P126" i="7"/>
  <c r="Q126" i="7"/>
  <c r="M127" i="7"/>
  <c r="N127" i="7"/>
  <c r="O127" i="7"/>
  <c r="P127" i="7"/>
  <c r="Q127" i="7"/>
  <c r="M100" i="7"/>
  <c r="N100" i="7"/>
  <c r="O100" i="7"/>
  <c r="P100" i="7"/>
  <c r="Q100" i="7"/>
  <c r="M101" i="7"/>
  <c r="N101" i="7"/>
  <c r="O101" i="7"/>
  <c r="P101" i="7"/>
  <c r="Q101" i="7"/>
  <c r="M102" i="7"/>
  <c r="N102" i="7"/>
  <c r="O102" i="7"/>
  <c r="P102" i="7"/>
  <c r="Q102" i="7"/>
  <c r="N103" i="7"/>
  <c r="O103" i="7"/>
  <c r="P103" i="7"/>
  <c r="Q103" i="7"/>
  <c r="M104" i="7"/>
  <c r="N104" i="7"/>
  <c r="O104" i="7"/>
  <c r="P104" i="7"/>
  <c r="Q104" i="7"/>
  <c r="N105" i="7"/>
  <c r="O105" i="7"/>
  <c r="P105" i="7"/>
  <c r="Q105" i="7"/>
  <c r="M106" i="7"/>
  <c r="N106" i="7"/>
  <c r="O106" i="7"/>
  <c r="P106" i="7"/>
  <c r="Q106" i="7"/>
  <c r="M107" i="7"/>
  <c r="N107" i="7"/>
  <c r="O107" i="7"/>
  <c r="P107" i="7"/>
  <c r="Q107" i="7"/>
  <c r="M108" i="7"/>
  <c r="N108" i="7"/>
  <c r="O108" i="7"/>
  <c r="P108" i="7"/>
  <c r="Q108" i="7"/>
  <c r="M109" i="7"/>
  <c r="N109" i="7"/>
  <c r="O109" i="7"/>
  <c r="P109" i="7"/>
  <c r="Q109" i="7"/>
  <c r="N110" i="7"/>
  <c r="O110" i="7"/>
  <c r="P110" i="7"/>
  <c r="Q110" i="7"/>
  <c r="N111" i="7"/>
  <c r="O111" i="7"/>
  <c r="P111" i="7"/>
  <c r="Q111" i="7"/>
  <c r="M112" i="7"/>
  <c r="N112" i="7"/>
  <c r="O112" i="7"/>
  <c r="P112" i="7"/>
  <c r="Q112" i="7"/>
  <c r="M113" i="7"/>
  <c r="N113" i="7"/>
  <c r="O113" i="7"/>
  <c r="P113" i="7"/>
  <c r="Q113" i="7"/>
  <c r="M63" i="7"/>
  <c r="N63" i="7"/>
  <c r="O63" i="7"/>
  <c r="P63" i="7"/>
  <c r="Q63" i="7"/>
  <c r="M64" i="7"/>
  <c r="N64" i="7"/>
  <c r="O64" i="7"/>
  <c r="P64" i="7"/>
  <c r="Q64" i="7"/>
  <c r="M65" i="7"/>
  <c r="N65" i="7"/>
  <c r="O65" i="7"/>
  <c r="P65" i="7"/>
  <c r="Q65" i="7"/>
  <c r="M66" i="7"/>
  <c r="N66" i="7"/>
  <c r="O66" i="7"/>
  <c r="P66" i="7"/>
  <c r="Q66" i="7"/>
  <c r="M67" i="7"/>
  <c r="N67" i="7"/>
  <c r="O67" i="7"/>
  <c r="P67" i="7"/>
  <c r="Q67" i="7"/>
  <c r="M68" i="7"/>
  <c r="N68" i="7"/>
  <c r="O68" i="7"/>
  <c r="P68" i="7"/>
  <c r="Q68" i="7"/>
  <c r="M69" i="7"/>
  <c r="N69" i="7"/>
  <c r="O69" i="7"/>
  <c r="P69" i="7"/>
  <c r="Q69" i="7"/>
  <c r="M70" i="7"/>
  <c r="N70" i="7"/>
  <c r="O70" i="7"/>
  <c r="P70" i="7"/>
  <c r="Q70" i="7"/>
  <c r="M71" i="7"/>
  <c r="N71" i="7"/>
  <c r="O71" i="7"/>
  <c r="P71" i="7"/>
  <c r="Q71" i="7"/>
  <c r="M72" i="7"/>
  <c r="N72" i="7"/>
  <c r="O72" i="7"/>
  <c r="P72" i="7"/>
  <c r="Q72" i="7"/>
  <c r="M73" i="7"/>
  <c r="N73" i="7"/>
  <c r="O73" i="7"/>
  <c r="P73" i="7"/>
  <c r="Q73" i="7"/>
  <c r="M74" i="7"/>
  <c r="N74" i="7"/>
  <c r="O74" i="7"/>
  <c r="P74" i="7"/>
  <c r="Q74" i="7"/>
  <c r="M75" i="7"/>
  <c r="N75" i="7"/>
  <c r="O75" i="7"/>
  <c r="P75" i="7"/>
  <c r="Q75" i="7"/>
  <c r="M76" i="7"/>
  <c r="N76" i="7"/>
  <c r="O76" i="7"/>
  <c r="P76" i="7"/>
  <c r="Q76" i="7"/>
  <c r="M77" i="7"/>
  <c r="N77" i="7"/>
  <c r="O77" i="7"/>
  <c r="P77" i="7"/>
  <c r="Q77" i="7"/>
  <c r="M78" i="7"/>
  <c r="N78" i="7"/>
  <c r="O78" i="7"/>
  <c r="P78" i="7"/>
  <c r="Q78" i="7"/>
  <c r="M79" i="7"/>
  <c r="N79" i="7"/>
  <c r="O79" i="7"/>
  <c r="P79" i="7"/>
  <c r="Q79" i="7"/>
  <c r="M80" i="7"/>
  <c r="N80" i="7"/>
  <c r="O80" i="7"/>
  <c r="P80" i="7"/>
  <c r="Q80" i="7"/>
  <c r="M81" i="7"/>
  <c r="N81" i="7"/>
  <c r="O81" i="7"/>
  <c r="P81" i="7"/>
  <c r="Q81" i="7"/>
  <c r="M82" i="7"/>
  <c r="N82" i="7"/>
  <c r="O82" i="7"/>
  <c r="P82" i="7"/>
  <c r="Q82" i="7"/>
  <c r="M83" i="7"/>
  <c r="N83" i="7"/>
  <c r="O83" i="7"/>
  <c r="P83" i="7"/>
  <c r="Q83" i="7"/>
  <c r="M84" i="7"/>
  <c r="N84" i="7"/>
  <c r="O84" i="7"/>
  <c r="P84" i="7"/>
  <c r="Q84" i="7"/>
  <c r="M85" i="7"/>
  <c r="N85" i="7"/>
  <c r="O85" i="7"/>
  <c r="P85" i="7"/>
  <c r="Q85" i="7"/>
  <c r="M86" i="7"/>
  <c r="N86" i="7"/>
  <c r="O86" i="7"/>
  <c r="P86" i="7"/>
  <c r="Q86" i="7"/>
  <c r="M87" i="7"/>
  <c r="N87" i="7"/>
  <c r="O87" i="7"/>
  <c r="P87" i="7"/>
  <c r="Q87" i="7"/>
  <c r="M88" i="7"/>
  <c r="N88" i="7"/>
  <c r="O88" i="7"/>
  <c r="P88" i="7"/>
  <c r="Q88" i="7"/>
  <c r="M89" i="7"/>
  <c r="N89" i="7"/>
  <c r="O89" i="7"/>
  <c r="P89" i="7"/>
  <c r="Q89" i="7"/>
  <c r="M90" i="7"/>
  <c r="N90" i="7"/>
  <c r="O90" i="7"/>
  <c r="P90" i="7"/>
  <c r="Q90" i="7"/>
  <c r="M91" i="7"/>
  <c r="N91" i="7"/>
  <c r="O91" i="7"/>
  <c r="P91" i="7"/>
  <c r="Q91" i="7"/>
  <c r="M92" i="7"/>
  <c r="N92" i="7"/>
  <c r="O92" i="7"/>
  <c r="P92" i="7"/>
  <c r="Q92" i="7"/>
  <c r="M93" i="7"/>
  <c r="N93" i="7"/>
  <c r="O93" i="7"/>
  <c r="P93" i="7"/>
  <c r="Q93" i="7"/>
  <c r="M94" i="7"/>
  <c r="N94" i="7"/>
  <c r="O94" i="7"/>
  <c r="P94" i="7"/>
  <c r="Q94" i="7"/>
  <c r="M26" i="7"/>
  <c r="N26" i="7"/>
  <c r="O26" i="7"/>
  <c r="P26" i="7"/>
  <c r="Q26" i="7"/>
  <c r="M27" i="7"/>
  <c r="N27" i="7"/>
  <c r="O27" i="7"/>
  <c r="P27" i="7"/>
  <c r="Q27" i="7"/>
  <c r="M28" i="7"/>
  <c r="N28" i="7"/>
  <c r="O28" i="7"/>
  <c r="P28" i="7"/>
  <c r="Q28" i="7"/>
  <c r="M29" i="7"/>
  <c r="N29" i="7"/>
  <c r="O29" i="7"/>
  <c r="P29" i="7"/>
  <c r="Q29" i="7"/>
  <c r="M30" i="7"/>
  <c r="N30" i="7"/>
  <c r="O30" i="7"/>
  <c r="P30" i="7"/>
  <c r="Q30" i="7"/>
  <c r="M31" i="7"/>
  <c r="N31" i="7"/>
  <c r="O31" i="7"/>
  <c r="P31" i="7"/>
  <c r="Q31" i="7"/>
  <c r="M32" i="7"/>
  <c r="N32" i="7"/>
  <c r="O32" i="7"/>
  <c r="P32" i="7"/>
  <c r="Q32" i="7"/>
  <c r="M33" i="7"/>
  <c r="N33" i="7"/>
  <c r="O33" i="7"/>
  <c r="P33" i="7"/>
  <c r="Q33" i="7"/>
  <c r="M34" i="7"/>
  <c r="N34" i="7"/>
  <c r="O34" i="7"/>
  <c r="P34" i="7"/>
  <c r="Q34" i="7"/>
  <c r="M35" i="7"/>
  <c r="N35" i="7"/>
  <c r="O35" i="7"/>
  <c r="P35" i="7"/>
  <c r="Q35" i="7"/>
  <c r="M36" i="7"/>
  <c r="N36" i="7"/>
  <c r="O36" i="7"/>
  <c r="P36" i="7"/>
  <c r="Q36" i="7"/>
  <c r="M37" i="7"/>
  <c r="N37" i="7"/>
  <c r="O37" i="7"/>
  <c r="P37" i="7"/>
  <c r="Q37" i="7"/>
  <c r="M38" i="7"/>
  <c r="N38" i="7"/>
  <c r="O38" i="7"/>
  <c r="P38" i="7"/>
  <c r="Q38" i="7"/>
  <c r="M39" i="7"/>
  <c r="N39" i="7"/>
  <c r="O39" i="7"/>
  <c r="P39" i="7"/>
  <c r="Q39" i="7"/>
  <c r="M40" i="7"/>
  <c r="N40" i="7"/>
  <c r="O40" i="7"/>
  <c r="P40" i="7"/>
  <c r="Q40" i="7"/>
  <c r="M41" i="7"/>
  <c r="N41" i="7"/>
  <c r="O41" i="7"/>
  <c r="P41" i="7"/>
  <c r="Q41" i="7"/>
  <c r="M42" i="7"/>
  <c r="N42" i="7"/>
  <c r="P42" i="7"/>
  <c r="Q42" i="7"/>
  <c r="M43" i="7"/>
  <c r="N43" i="7"/>
  <c r="O43" i="7"/>
  <c r="P43" i="7"/>
  <c r="Q43" i="7"/>
  <c r="M44" i="7"/>
  <c r="N44" i="7"/>
  <c r="O44" i="7"/>
  <c r="P44" i="7"/>
  <c r="Q44" i="7"/>
  <c r="M45" i="7"/>
  <c r="N45" i="7"/>
  <c r="O45" i="7"/>
  <c r="P45" i="7"/>
  <c r="Q45" i="7"/>
  <c r="M46" i="7"/>
  <c r="N46" i="7"/>
  <c r="O46" i="7"/>
  <c r="P46" i="7"/>
  <c r="Q46" i="7"/>
  <c r="M47" i="7"/>
  <c r="N47" i="7"/>
  <c r="O47" i="7"/>
  <c r="P47" i="7"/>
  <c r="Q47" i="7"/>
  <c r="M48" i="7"/>
  <c r="N48" i="7"/>
  <c r="O48" i="7"/>
  <c r="P48" i="7"/>
  <c r="Q48" i="7"/>
  <c r="M49" i="7"/>
  <c r="N49" i="7"/>
  <c r="O49" i="7"/>
  <c r="P49" i="7"/>
  <c r="Q49" i="7"/>
  <c r="M50" i="7"/>
  <c r="N50" i="7"/>
  <c r="O50" i="7"/>
  <c r="P50" i="7"/>
  <c r="Q50" i="7"/>
  <c r="M51" i="7"/>
  <c r="N51" i="7"/>
  <c r="O51" i="7"/>
  <c r="P51" i="7"/>
  <c r="Q51" i="7"/>
  <c r="M52" i="7"/>
  <c r="N52" i="7"/>
  <c r="O52" i="7"/>
  <c r="P52" i="7"/>
  <c r="Q52" i="7"/>
  <c r="M53" i="7"/>
  <c r="N53" i="7"/>
  <c r="O53" i="7"/>
  <c r="P53" i="7"/>
  <c r="Q53" i="7"/>
  <c r="M54" i="7"/>
  <c r="N54" i="7"/>
  <c r="O54" i="7"/>
  <c r="P54" i="7"/>
  <c r="Q54" i="7"/>
  <c r="M55" i="7"/>
  <c r="N55" i="7"/>
  <c r="O55" i="7"/>
  <c r="P55" i="7"/>
  <c r="Q55" i="7"/>
  <c r="M56" i="7"/>
  <c r="N56" i="7"/>
  <c r="O56" i="7"/>
  <c r="P56" i="7"/>
  <c r="Q56" i="7"/>
  <c r="N57" i="7"/>
  <c r="O57" i="7"/>
  <c r="P57" i="7"/>
  <c r="M58" i="7"/>
  <c r="N58" i="7"/>
  <c r="P58" i="7"/>
  <c r="M6" i="7"/>
  <c r="N6" i="7"/>
  <c r="O6" i="7"/>
  <c r="P6" i="7"/>
  <c r="Q6" i="7"/>
  <c r="M7" i="7"/>
  <c r="N7" i="7"/>
  <c r="O7" i="7"/>
  <c r="P7" i="7"/>
  <c r="Q7" i="7"/>
  <c r="M8" i="7"/>
  <c r="N8" i="7"/>
  <c r="O8" i="7"/>
  <c r="P8" i="7"/>
  <c r="Q8" i="7"/>
  <c r="M9" i="7"/>
  <c r="N9" i="7"/>
  <c r="O9" i="7"/>
  <c r="P9" i="7"/>
  <c r="Q9" i="7"/>
  <c r="M10" i="7"/>
  <c r="N10" i="7"/>
  <c r="O10" i="7"/>
  <c r="P10" i="7"/>
  <c r="Q10" i="7"/>
  <c r="M11" i="7"/>
  <c r="N11" i="7"/>
  <c r="O11" i="7"/>
  <c r="P11" i="7"/>
  <c r="Q11" i="7"/>
  <c r="M12" i="7"/>
  <c r="N12" i="7"/>
  <c r="O12" i="7"/>
  <c r="P12" i="7"/>
  <c r="Q12" i="7"/>
  <c r="M13" i="7"/>
  <c r="N13" i="7"/>
  <c r="O13" i="7"/>
  <c r="P13" i="7"/>
  <c r="Q13" i="7"/>
  <c r="M14" i="7"/>
  <c r="N14" i="7"/>
  <c r="O14" i="7"/>
  <c r="P14" i="7"/>
  <c r="Q14" i="7"/>
  <c r="M15" i="7"/>
  <c r="N15" i="7"/>
  <c r="O15" i="7"/>
  <c r="P15" i="7"/>
  <c r="Q15" i="7"/>
  <c r="M16" i="7"/>
  <c r="N16" i="7"/>
  <c r="O16" i="7"/>
  <c r="P16" i="7"/>
  <c r="Q16" i="7"/>
  <c r="M17" i="7"/>
  <c r="N17" i="7"/>
  <c r="O17" i="7"/>
  <c r="P17" i="7"/>
  <c r="Q17" i="7"/>
  <c r="M18" i="7"/>
  <c r="N18" i="7"/>
  <c r="O18" i="7"/>
  <c r="P18" i="7"/>
  <c r="Q18" i="7"/>
  <c r="M19" i="7"/>
  <c r="N19" i="7"/>
  <c r="O19" i="7"/>
  <c r="P19" i="7"/>
  <c r="Q19" i="7"/>
  <c r="M20" i="7"/>
  <c r="N20" i="7"/>
  <c r="O20" i="7"/>
  <c r="P20" i="7"/>
  <c r="Q20" i="7"/>
  <c r="M21" i="7"/>
  <c r="N21" i="7"/>
  <c r="O21" i="7"/>
  <c r="P21" i="7"/>
  <c r="Q21" i="7"/>
  <c r="Q58" i="7" l="1"/>
  <c r="Q154" i="7"/>
  <c r="P131" i="7" l="1"/>
  <c r="N131" i="7"/>
  <c r="M131" i="7"/>
  <c r="S121" i="7"/>
  <c r="R121" i="7"/>
  <c r="K121" i="7"/>
  <c r="G121" i="7"/>
  <c r="F121" i="7"/>
  <c r="E121" i="7"/>
  <c r="D121" i="7"/>
  <c r="S100" i="7"/>
  <c r="R100" i="7"/>
  <c r="K100" i="7"/>
  <c r="H100" i="7"/>
  <c r="G100" i="7"/>
  <c r="E100" i="7"/>
  <c r="D100" i="7"/>
  <c r="T70" i="7"/>
  <c r="T95" i="7" s="1"/>
  <c r="T84" i="7"/>
  <c r="H81" i="7"/>
  <c r="H65" i="7"/>
  <c r="H34" i="7"/>
  <c r="D73" i="7" l="1"/>
  <c r="S105" i="7"/>
  <c r="R105" i="7"/>
  <c r="K105" i="7"/>
  <c r="G105" i="7"/>
  <c r="E105" i="7"/>
  <c r="D105" i="7"/>
  <c r="H84" i="7" l="1"/>
  <c r="S126" i="7" l="1"/>
  <c r="R126" i="7"/>
  <c r="K126" i="7"/>
  <c r="G126" i="7"/>
  <c r="E126" i="7"/>
  <c r="H126" i="7" s="1"/>
  <c r="D126" i="7"/>
  <c r="H155" i="7" l="1"/>
  <c r="S120" i="7"/>
  <c r="R120" i="7"/>
  <c r="K120" i="7"/>
  <c r="H121" i="7"/>
  <c r="G120" i="7"/>
  <c r="E120" i="7"/>
  <c r="H120" i="7" s="1"/>
  <c r="D120" i="7"/>
  <c r="K103" i="7"/>
  <c r="G103" i="7"/>
  <c r="E103" i="7"/>
  <c r="D103" i="7"/>
  <c r="H68" i="7"/>
  <c r="U31" i="7"/>
  <c r="H31" i="7"/>
  <c r="H160" i="7"/>
  <c r="H43" i="7"/>
  <c r="H44" i="7"/>
  <c r="H93" i="7" l="1"/>
  <c r="H94" i="7"/>
  <c r="H50" i="7"/>
  <c r="H51" i="7"/>
  <c r="H52" i="7"/>
  <c r="H53" i="7"/>
  <c r="D147" i="7" l="1"/>
  <c r="K104" i="7"/>
  <c r="G104" i="7"/>
  <c r="E104" i="7" l="1"/>
  <c r="D104" i="7"/>
  <c r="S113" i="7" l="1"/>
  <c r="R113" i="7"/>
  <c r="K113" i="7"/>
  <c r="G113" i="7"/>
  <c r="E113" i="7"/>
  <c r="D113" i="7"/>
  <c r="H140" i="7" l="1"/>
  <c r="S102" i="7" l="1"/>
  <c r="R102" i="7"/>
  <c r="K102" i="7"/>
  <c r="H103" i="7"/>
  <c r="H104" i="7"/>
  <c r="H105" i="7"/>
  <c r="G102" i="7"/>
  <c r="E102" i="7"/>
  <c r="H102" i="7" s="1"/>
  <c r="D102" i="7"/>
  <c r="U9" i="7"/>
  <c r="H9" i="7"/>
  <c r="H184" i="7"/>
  <c r="S119" i="7"/>
  <c r="R119" i="7"/>
  <c r="K119" i="7"/>
  <c r="G119" i="7"/>
  <c r="E119" i="7"/>
  <c r="D119" i="7"/>
  <c r="H131" i="7"/>
  <c r="T144" i="7"/>
  <c r="H186" i="7"/>
  <c r="H187" i="7"/>
  <c r="H148" i="7"/>
  <c r="P193" i="7"/>
  <c r="N193" i="7"/>
  <c r="M193" i="7"/>
  <c r="H193" i="7"/>
  <c r="Q193" i="7" s="1"/>
  <c r="O131" i="7" l="1"/>
  <c r="Q131" i="7"/>
  <c r="O193" i="7"/>
  <c r="H190" i="7"/>
  <c r="H188" i="7"/>
  <c r="H182" i="7"/>
  <c r="H181" i="7"/>
  <c r="Q180" i="7"/>
  <c r="P180" i="7"/>
  <c r="O180" i="7"/>
  <c r="N180" i="7"/>
  <c r="M180" i="7"/>
  <c r="Q176" i="7"/>
  <c r="P176" i="7"/>
  <c r="O176" i="7"/>
  <c r="N176" i="7"/>
  <c r="M176" i="7"/>
  <c r="T172" i="7"/>
  <c r="K172" i="7"/>
  <c r="I172" i="7"/>
  <c r="J170" i="7" s="1"/>
  <c r="P169" i="7"/>
  <c r="N169" i="7"/>
  <c r="M169" i="7"/>
  <c r="H169" i="7"/>
  <c r="K166" i="7"/>
  <c r="I166" i="7"/>
  <c r="H164" i="7"/>
  <c r="H163" i="7"/>
  <c r="H162" i="7"/>
  <c r="H161" i="7"/>
  <c r="H147" i="7"/>
  <c r="H158" i="7"/>
  <c r="H157" i="7"/>
  <c r="H156" i="7"/>
  <c r="H153" i="7"/>
  <c r="H151" i="7"/>
  <c r="H150" i="7"/>
  <c r="H146" i="7"/>
  <c r="T145" i="7"/>
  <c r="T166" i="7" s="1"/>
  <c r="H145" i="7"/>
  <c r="H144" i="7"/>
  <c r="H143" i="7"/>
  <c r="H142" i="7"/>
  <c r="H141" i="7"/>
  <c r="P139" i="7"/>
  <c r="N139" i="7"/>
  <c r="M139" i="7"/>
  <c r="H139" i="7"/>
  <c r="Q139" i="7" s="1"/>
  <c r="H135" i="7"/>
  <c r="H134" i="7"/>
  <c r="H133" i="7"/>
  <c r="H132" i="7"/>
  <c r="T128" i="7"/>
  <c r="S127" i="7"/>
  <c r="R127" i="7"/>
  <c r="K127" i="7"/>
  <c r="G127" i="7"/>
  <c r="E127" i="7"/>
  <c r="D127" i="7"/>
  <c r="S125" i="7"/>
  <c r="R125" i="7"/>
  <c r="K125" i="7"/>
  <c r="G125" i="7"/>
  <c r="E125" i="7"/>
  <c r="D125" i="7"/>
  <c r="S124" i="7"/>
  <c r="R124" i="7"/>
  <c r="K124" i="7"/>
  <c r="G124" i="7"/>
  <c r="E124" i="7"/>
  <c r="D124" i="7"/>
  <c r="S123" i="7"/>
  <c r="R123" i="7"/>
  <c r="K123" i="7"/>
  <c r="G123" i="7"/>
  <c r="F123" i="7"/>
  <c r="E123" i="7"/>
  <c r="D123" i="7"/>
  <c r="S122" i="7"/>
  <c r="R122" i="7"/>
  <c r="K122" i="7"/>
  <c r="G122" i="7"/>
  <c r="F122" i="7"/>
  <c r="E122" i="7"/>
  <c r="D122" i="7"/>
  <c r="S118" i="7"/>
  <c r="R118" i="7"/>
  <c r="K118" i="7"/>
  <c r="G118" i="7"/>
  <c r="E118" i="7"/>
  <c r="D118" i="7"/>
  <c r="S117" i="7"/>
  <c r="R117" i="7"/>
  <c r="K117" i="7"/>
  <c r="G117" i="7"/>
  <c r="E117" i="7"/>
  <c r="D117" i="7"/>
  <c r="S116" i="7"/>
  <c r="R116" i="7"/>
  <c r="K116" i="7"/>
  <c r="G116" i="7"/>
  <c r="E116" i="7"/>
  <c r="D116" i="7"/>
  <c r="H113" i="7"/>
  <c r="H112" i="7"/>
  <c r="S111" i="7"/>
  <c r="R111" i="7"/>
  <c r="K111" i="7"/>
  <c r="G111" i="7"/>
  <c r="E111" i="7"/>
  <c r="D111" i="7"/>
  <c r="S110" i="7"/>
  <c r="R110" i="7"/>
  <c r="K110" i="7"/>
  <c r="G110" i="7"/>
  <c r="E110" i="7"/>
  <c r="D110" i="7"/>
  <c r="S109" i="7"/>
  <c r="R109" i="7"/>
  <c r="K109" i="7"/>
  <c r="G109" i="7"/>
  <c r="E109" i="7"/>
  <c r="D109" i="7"/>
  <c r="S108" i="7"/>
  <c r="R108" i="7"/>
  <c r="H108" i="7"/>
  <c r="S107" i="7"/>
  <c r="R107" i="7"/>
  <c r="H107" i="7"/>
  <c r="S106" i="7"/>
  <c r="R106" i="7"/>
  <c r="K106" i="7"/>
  <c r="G106" i="7"/>
  <c r="E106" i="7"/>
  <c r="D106" i="7"/>
  <c r="S101" i="7"/>
  <c r="R101" i="7"/>
  <c r="K101" i="7"/>
  <c r="G101" i="7"/>
  <c r="F101" i="7"/>
  <c r="E101" i="7"/>
  <c r="D101" i="7"/>
  <c r="S99" i="7"/>
  <c r="R99" i="7"/>
  <c r="P99" i="7"/>
  <c r="N99" i="7"/>
  <c r="M99" i="7"/>
  <c r="H99" i="7"/>
  <c r="Q99" i="7" s="1"/>
  <c r="K95" i="7"/>
  <c r="I95" i="7"/>
  <c r="H78" i="7"/>
  <c r="H92" i="7"/>
  <c r="H72" i="7"/>
  <c r="H91" i="7"/>
  <c r="H86" i="7"/>
  <c r="H85" i="7"/>
  <c r="H83" i="7"/>
  <c r="H185" i="7"/>
  <c r="H80" i="7"/>
  <c r="H79" i="7"/>
  <c r="H77" i="7"/>
  <c r="H76" i="7"/>
  <c r="H75" i="7"/>
  <c r="H74" i="7"/>
  <c r="H73" i="7"/>
  <c r="H71" i="7"/>
  <c r="H70" i="7"/>
  <c r="H69" i="7"/>
  <c r="H82" i="7"/>
  <c r="H67" i="7"/>
  <c r="H66" i="7"/>
  <c r="H64" i="7"/>
  <c r="H63" i="7"/>
  <c r="P62" i="7"/>
  <c r="N62" i="7"/>
  <c r="M62" i="7"/>
  <c r="H62" i="7"/>
  <c r="T59" i="7"/>
  <c r="K59" i="7"/>
  <c r="I59" i="7"/>
  <c r="H56" i="7"/>
  <c r="H54" i="7"/>
  <c r="H49" i="7"/>
  <c r="H48" i="7"/>
  <c r="H47" i="7"/>
  <c r="H46" i="7"/>
  <c r="H45" i="7"/>
  <c r="H41" i="7"/>
  <c r="H40" i="7"/>
  <c r="H39" i="7"/>
  <c r="H37" i="7"/>
  <c r="H36" i="7"/>
  <c r="H35" i="7"/>
  <c r="H33" i="7"/>
  <c r="H32" i="7"/>
  <c r="H28" i="7"/>
  <c r="H26" i="7"/>
  <c r="P25" i="7"/>
  <c r="N25" i="7"/>
  <c r="M25" i="7"/>
  <c r="H25" i="7"/>
  <c r="Q25" i="7" s="1"/>
  <c r="T22" i="7"/>
  <c r="K22" i="7"/>
  <c r="I22" i="7"/>
  <c r="H21" i="7"/>
  <c r="H10" i="7"/>
  <c r="H18" i="7"/>
  <c r="H17" i="7"/>
  <c r="H16" i="7"/>
  <c r="H15" i="7"/>
  <c r="H13" i="7"/>
  <c r="H12" i="7"/>
  <c r="H11" i="7"/>
  <c r="H8" i="7"/>
  <c r="H7" i="7"/>
  <c r="P5" i="7"/>
  <c r="N5" i="7"/>
  <c r="M5" i="7"/>
  <c r="H5" i="7"/>
  <c r="Q5" i="7" s="1"/>
  <c r="J14" i="7" l="1"/>
  <c r="J15" i="7"/>
  <c r="J11" i="7"/>
  <c r="J13" i="7"/>
  <c r="J16" i="7"/>
  <c r="J17" i="7"/>
  <c r="J18" i="7"/>
  <c r="J19" i="7"/>
  <c r="J6" i="7"/>
  <c r="J7" i="7"/>
  <c r="J8" i="7"/>
  <c r="J20" i="7"/>
  <c r="J12" i="7"/>
  <c r="J9" i="7"/>
  <c r="J21" i="7"/>
  <c r="J10" i="7"/>
  <c r="L6" i="7"/>
  <c r="L18" i="7"/>
  <c r="L7" i="7"/>
  <c r="L19" i="7"/>
  <c r="L16" i="7"/>
  <c r="L8" i="7"/>
  <c r="L20" i="7"/>
  <c r="L17" i="7"/>
  <c r="L9" i="7"/>
  <c r="L21" i="7"/>
  <c r="L10" i="7"/>
  <c r="L11" i="7"/>
  <c r="L15" i="7"/>
  <c r="L12" i="7"/>
  <c r="L13" i="7"/>
  <c r="L14" i="7"/>
  <c r="J182" i="7"/>
  <c r="J183" i="7"/>
  <c r="J184" i="7"/>
  <c r="J185" i="7"/>
  <c r="J186" i="7"/>
  <c r="J181" i="7"/>
  <c r="J187" i="7"/>
  <c r="J188" i="7"/>
  <c r="J189" i="7"/>
  <c r="J190" i="7"/>
  <c r="L28" i="7"/>
  <c r="L40" i="7"/>
  <c r="L52" i="7"/>
  <c r="L29" i="7"/>
  <c r="L41" i="7"/>
  <c r="L53" i="7"/>
  <c r="L26" i="7"/>
  <c r="L50" i="7"/>
  <c r="L39" i="7"/>
  <c r="L51" i="7"/>
  <c r="L30" i="7"/>
  <c r="L42" i="7"/>
  <c r="L54" i="7"/>
  <c r="L27" i="7"/>
  <c r="L31" i="7"/>
  <c r="L43" i="7"/>
  <c r="L55" i="7"/>
  <c r="L38" i="7"/>
  <c r="L32" i="7"/>
  <c r="L44" i="7"/>
  <c r="L56" i="7"/>
  <c r="L33" i="7"/>
  <c r="L45" i="7"/>
  <c r="L57" i="7"/>
  <c r="L37" i="7"/>
  <c r="L34" i="7"/>
  <c r="L46" i="7"/>
  <c r="L58" i="7"/>
  <c r="L49" i="7"/>
  <c r="L35" i="7"/>
  <c r="L47" i="7"/>
  <c r="L36" i="7"/>
  <c r="L48" i="7"/>
  <c r="J70" i="7"/>
  <c r="J82" i="7"/>
  <c r="J94" i="7"/>
  <c r="J71" i="7"/>
  <c r="J83" i="7"/>
  <c r="J80" i="7"/>
  <c r="J72" i="7"/>
  <c r="J84" i="7"/>
  <c r="J73" i="7"/>
  <c r="J85" i="7"/>
  <c r="J69" i="7"/>
  <c r="J74" i="7"/>
  <c r="J86" i="7"/>
  <c r="J68" i="7"/>
  <c r="J63" i="7"/>
  <c r="J75" i="7"/>
  <c r="J87" i="7"/>
  <c r="J81" i="7"/>
  <c r="J64" i="7"/>
  <c r="J76" i="7"/>
  <c r="J88" i="7"/>
  <c r="J67" i="7"/>
  <c r="J65" i="7"/>
  <c r="J77" i="7"/>
  <c r="J89" i="7"/>
  <c r="J79" i="7"/>
  <c r="J92" i="7"/>
  <c r="J93" i="7"/>
  <c r="J66" i="7"/>
  <c r="J78" i="7"/>
  <c r="J90" i="7"/>
  <c r="J91" i="7"/>
  <c r="L184" i="7"/>
  <c r="L185" i="7"/>
  <c r="L187" i="7"/>
  <c r="L188" i="7"/>
  <c r="L181" i="7"/>
  <c r="L186" i="7"/>
  <c r="L189" i="7"/>
  <c r="L190" i="7"/>
  <c r="L182" i="7"/>
  <c r="L183" i="7"/>
  <c r="J31" i="7"/>
  <c r="J43" i="7"/>
  <c r="J55" i="7"/>
  <c r="J32" i="7"/>
  <c r="J44" i="7"/>
  <c r="J56" i="7"/>
  <c r="J41" i="7"/>
  <c r="J30" i="7"/>
  <c r="J42" i="7"/>
  <c r="J33" i="7"/>
  <c r="J45" i="7"/>
  <c r="J57" i="7"/>
  <c r="J34" i="7"/>
  <c r="J46" i="7"/>
  <c r="J58" i="7"/>
  <c r="J40" i="7"/>
  <c r="J35" i="7"/>
  <c r="J47" i="7"/>
  <c r="J52" i="7"/>
  <c r="J53" i="7"/>
  <c r="J36" i="7"/>
  <c r="J48" i="7"/>
  <c r="J37" i="7"/>
  <c r="J49" i="7"/>
  <c r="J54" i="7"/>
  <c r="J26" i="7"/>
  <c r="J38" i="7"/>
  <c r="J50" i="7"/>
  <c r="J28" i="7"/>
  <c r="J27" i="7"/>
  <c r="J39" i="7"/>
  <c r="J51" i="7"/>
  <c r="J29" i="7"/>
  <c r="L132" i="7"/>
  <c r="L133" i="7"/>
  <c r="L134" i="7"/>
  <c r="L135" i="7"/>
  <c r="L131" i="7"/>
  <c r="L66" i="7"/>
  <c r="L78" i="7"/>
  <c r="L90" i="7"/>
  <c r="L79" i="7"/>
  <c r="L91" i="7"/>
  <c r="L87" i="7"/>
  <c r="L64" i="7"/>
  <c r="L65" i="7"/>
  <c r="L89" i="7"/>
  <c r="L67" i="7"/>
  <c r="L68" i="7"/>
  <c r="L80" i="7"/>
  <c r="L92" i="7"/>
  <c r="L76" i="7"/>
  <c r="L69" i="7"/>
  <c r="L81" i="7"/>
  <c r="L93" i="7"/>
  <c r="L75" i="7"/>
  <c r="L70" i="7"/>
  <c r="L82" i="7"/>
  <c r="L94" i="7"/>
  <c r="L71" i="7"/>
  <c r="L83" i="7"/>
  <c r="L88" i="7"/>
  <c r="L72" i="7"/>
  <c r="L84" i="7"/>
  <c r="L77" i="7"/>
  <c r="L73" i="7"/>
  <c r="L85" i="7"/>
  <c r="L63" i="7"/>
  <c r="L74" i="7"/>
  <c r="L86" i="7"/>
  <c r="J134" i="7"/>
  <c r="J132" i="7"/>
  <c r="J133" i="7"/>
  <c r="J135" i="7"/>
  <c r="J131" i="7"/>
  <c r="J159" i="7"/>
  <c r="J148" i="7"/>
  <c r="L146" i="7"/>
  <c r="L148" i="7"/>
  <c r="H116" i="7"/>
  <c r="Q116" i="7" s="1"/>
  <c r="N116" i="7"/>
  <c r="L180" i="7"/>
  <c r="J62" i="7"/>
  <c r="H111" i="7"/>
  <c r="L176" i="7"/>
  <c r="L177" i="7"/>
  <c r="H117" i="7"/>
  <c r="L158" i="7"/>
  <c r="O99" i="7"/>
  <c r="J141" i="7"/>
  <c r="J149" i="7"/>
  <c r="J151" i="7"/>
  <c r="J163" i="7"/>
  <c r="M136" i="7"/>
  <c r="J139" i="7"/>
  <c r="J150" i="7"/>
  <c r="J142" i="7"/>
  <c r="L25" i="7"/>
  <c r="J144" i="7"/>
  <c r="J161" i="7"/>
  <c r="J176" i="7"/>
  <c r="J143" i="7"/>
  <c r="J145" i="7"/>
  <c r="L156" i="7"/>
  <c r="M95" i="7"/>
  <c r="J180" i="7"/>
  <c r="H109" i="7"/>
  <c r="H122" i="7"/>
  <c r="L153" i="7"/>
  <c r="M194" i="7"/>
  <c r="T195" i="7"/>
  <c r="J177" i="7"/>
  <c r="J147" i="7"/>
  <c r="J162" i="7"/>
  <c r="H123" i="7"/>
  <c r="H106" i="7"/>
  <c r="L62" i="7"/>
  <c r="M116" i="7"/>
  <c r="P116" i="7"/>
  <c r="J164" i="7"/>
  <c r="H101" i="7"/>
  <c r="O139" i="7"/>
  <c r="L5" i="7"/>
  <c r="H119" i="7"/>
  <c r="H125" i="7"/>
  <c r="O116" i="7"/>
  <c r="M59" i="7"/>
  <c r="Q62" i="7"/>
  <c r="O62" i="7"/>
  <c r="K128" i="7"/>
  <c r="Q169" i="7"/>
  <c r="O169" i="7"/>
  <c r="L170" i="7"/>
  <c r="M172" i="7"/>
  <c r="L171" i="7"/>
  <c r="L169" i="7"/>
  <c r="M22" i="7"/>
  <c r="J5" i="7"/>
  <c r="O5" i="7"/>
  <c r="J25" i="7"/>
  <c r="O25" i="7"/>
  <c r="I128" i="7"/>
  <c r="H110" i="7"/>
  <c r="L164" i="7"/>
  <c r="L163" i="7"/>
  <c r="L162" i="7"/>
  <c r="L161" i="7"/>
  <c r="L147" i="7"/>
  <c r="L159" i="7"/>
  <c r="L151" i="7"/>
  <c r="L150" i="7"/>
  <c r="L149" i="7"/>
  <c r="L145" i="7"/>
  <c r="L144" i="7"/>
  <c r="L143" i="7"/>
  <c r="L142" i="7"/>
  <c r="L141" i="7"/>
  <c r="L139" i="7"/>
  <c r="M166" i="7"/>
  <c r="L165" i="7"/>
  <c r="L157" i="7"/>
  <c r="L155" i="7"/>
  <c r="L152" i="7"/>
  <c r="H118" i="7"/>
  <c r="H124" i="7"/>
  <c r="H127" i="7"/>
  <c r="J165" i="7"/>
  <c r="J158" i="7"/>
  <c r="J157" i="7"/>
  <c r="J156" i="7"/>
  <c r="J155" i="7"/>
  <c r="J153" i="7"/>
  <c r="J152" i="7"/>
  <c r="J146" i="7"/>
  <c r="J171" i="7"/>
  <c r="J169" i="7"/>
  <c r="L107" i="7" l="1"/>
  <c r="L109" i="7"/>
  <c r="L119" i="7"/>
  <c r="L100" i="7"/>
  <c r="L124" i="7"/>
  <c r="L126" i="7"/>
  <c r="L103" i="7"/>
  <c r="L104" i="7"/>
  <c r="L120" i="7"/>
  <c r="L110" i="7"/>
  <c r="L117" i="7"/>
  <c r="L111" i="7"/>
  <c r="L112" i="7"/>
  <c r="L122" i="7"/>
  <c r="L102" i="7"/>
  <c r="L101" i="7"/>
  <c r="L113" i="7"/>
  <c r="L118" i="7"/>
  <c r="L105" i="7"/>
  <c r="L106" i="7"/>
  <c r="L123" i="7"/>
  <c r="L125" i="7"/>
  <c r="L127" i="7"/>
  <c r="L108" i="7"/>
  <c r="L121" i="7"/>
  <c r="J127" i="7"/>
  <c r="J105" i="7"/>
  <c r="J113" i="7"/>
  <c r="J106" i="7"/>
  <c r="J102" i="7"/>
  <c r="J107" i="7"/>
  <c r="J108" i="7"/>
  <c r="J104" i="7"/>
  <c r="J109" i="7"/>
  <c r="J110" i="7"/>
  <c r="J111" i="7"/>
  <c r="J101" i="7"/>
  <c r="J103" i="7"/>
  <c r="J100" i="7"/>
  <c r="J112" i="7"/>
  <c r="J124" i="7"/>
  <c r="J118" i="7"/>
  <c r="K195" i="7"/>
  <c r="L194" i="7" s="1"/>
  <c r="J125" i="7"/>
  <c r="J123" i="7"/>
  <c r="J119" i="7"/>
  <c r="J122" i="7"/>
  <c r="J99" i="7"/>
  <c r="J116" i="7"/>
  <c r="J117" i="7"/>
  <c r="M128" i="7"/>
  <c r="L99" i="7"/>
  <c r="L116" i="7"/>
  <c r="I195" i="7"/>
  <c r="J128" i="7" s="1"/>
  <c r="L136" i="7" l="1"/>
  <c r="L95" i="7"/>
  <c r="L172" i="7"/>
  <c r="L59" i="7"/>
  <c r="L22" i="7"/>
  <c r="L128" i="7"/>
  <c r="L166" i="7"/>
  <c r="J194" i="7"/>
  <c r="J136" i="7"/>
  <c r="J95" i="7"/>
  <c r="J166" i="7"/>
  <c r="J59" i="7"/>
  <c r="J22" i="7"/>
  <c r="J172" i="7"/>
</calcChain>
</file>

<file path=xl/sharedStrings.xml><?xml version="1.0" encoding="utf-8"?>
<sst xmlns="http://schemas.openxmlformats.org/spreadsheetml/2006/main" count="402" uniqueCount="269">
  <si>
    <t>S/N</t>
  </si>
  <si>
    <t>FUND</t>
  </si>
  <si>
    <t>FUND MANAGER</t>
  </si>
  <si>
    <t>TOTAL VALUE OF INVESTMENT (N)</t>
  </si>
  <si>
    <t>TOTAL INCOME (N)</t>
  </si>
  <si>
    <t>UNREALIZED CAPITAL GAIN/LOSS (N)</t>
  </si>
  <si>
    <t>TOTAL EXPENSES (N)</t>
  </si>
  <si>
    <t>NET INCOME/LOSS (N)</t>
  </si>
  <si>
    <t>% ON TOTAL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</si>
  <si>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</si>
  <si>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</si>
  <si>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</si>
  <si>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</si>
  <si>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</si>
  <si>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</si>
  <si>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</si>
  <si>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</si>
  <si>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</si>
  <si>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</si>
  <si>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</si>
  <si>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</si>
  <si>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</si>
  <si>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</si>
  <si>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</si>
  <si>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</si>
  <si>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</si>
  <si>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</si>
  <si>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</si>
  <si>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</si>
  <si>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</si>
  <si>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</si>
  <si>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</si>
  <si>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</si>
  <si>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</si>
  <si>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</si>
  <si>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</si>
  <si>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</si>
  <si>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</si>
  <si>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</si>
  <si>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</si>
  <si>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</si>
  <si>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</si>
  <si>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</si>
  <si>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</si>
  <si>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</si>
  <si>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</si>
  <si>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</si>
  <si>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</si>
  <si>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</si>
  <si>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</si>
  <si>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</si>
  <si>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</si>
  <si>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</si>
  <si>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</si>
  <si>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</si>
  <si>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</si>
  <si>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</si>
  <si>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</si>
  <si>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ARM Investment Managers Limited</t>
  </si>
  <si>
    <t>AXA Mansard Money Market Fund</t>
  </si>
  <si>
    <t>Chapel Hill Denham Money Market Fund(Frml NGIF)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</si>
  <si>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</si>
  <si>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</si>
  <si>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</si>
  <si>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</si>
  <si>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</si>
  <si>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</si>
  <si>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</si>
  <si>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</si>
  <si>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</si>
  <si>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</si>
  <si>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</si>
  <si>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</si>
  <si>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</si>
  <si>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</si>
  <si>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</si>
  <si>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</si>
  <si>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</si>
  <si>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</si>
  <si>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</si>
  <si>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</si>
  <si>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</si>
  <si>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</si>
  <si>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</si>
  <si>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</si>
  <si>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Norrenberger Investment and Capital Management Limited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</si>
  <si>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</si>
  <si>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</si>
  <si>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</si>
  <si>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</si>
  <si>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</si>
  <si>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</si>
  <si>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</si>
  <si>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</si>
  <si>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</si>
  <si>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</si>
  <si>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</si>
  <si>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</si>
  <si>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</si>
  <si>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</si>
  <si>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</si>
  <si>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</si>
  <si>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</si>
  <si>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</si>
  <si>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</si>
  <si>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</si>
  <si>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</si>
  <si>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</si>
  <si>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</si>
  <si>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</si>
  <si>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</si>
  <si>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</si>
  <si>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</si>
  <si>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</si>
  <si>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</si>
  <si>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</si>
  <si>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</si>
  <si>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</si>
  <si>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</si>
  <si>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</si>
  <si>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</si>
  <si>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</si>
  <si>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</si>
  <si>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</si>
  <si>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</si>
  <si>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</si>
  <si>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</si>
  <si>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</si>
  <si>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</si>
  <si>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</si>
  <si>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</si>
  <si>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</si>
  <si>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</si>
  <si>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</si>
  <si>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</si>
  <si>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</si>
  <si>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</si>
  <si>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</si>
  <si>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</si>
  <si>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</si>
  <si>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</si>
  <si>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</si>
  <si>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</si>
  <si>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</si>
  <si>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</si>
  <si>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</si>
  <si>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>Nigerian Eurobond Fund</t>
  </si>
  <si>
    <t>Norrenberger Dollar Fund</t>
  </si>
  <si>
    <t>Norrenberger Investment &amp; Capital Management Limited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</si>
  <si>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</si>
  <si>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</si>
  <si>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</si>
  <si>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</si>
  <si>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</si>
  <si>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</si>
  <si>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</si>
  <si>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</si>
  <si>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</si>
  <si>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</si>
  <si>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Vantage Dollar Fund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</si>
  <si>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</si>
  <si>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</si>
  <si>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</si>
  <si>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</si>
  <si>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</si>
  <si>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</si>
  <si>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</si>
  <si>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</si>
  <si>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</si>
  <si>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</si>
  <si>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</si>
  <si>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</si>
  <si>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</si>
  <si>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</si>
  <si>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</si>
  <si>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</si>
  <si>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</si>
  <si>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</si>
  <si>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</si>
  <si>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</si>
  <si>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</si>
  <si>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</si>
  <si>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</si>
  <si>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</si>
  <si>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</si>
  <si>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</si>
  <si>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</si>
  <si>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</si>
  <si>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</si>
  <si>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zenith Asset Management Ltd</t>
  </si>
  <si>
    <t>Women's Balanced Fund</t>
  </si>
  <si>
    <t>Zenith Balanced Strategy Fund</t>
  </si>
  <si>
    <t>ETHICAL FUNDS</t>
  </si>
  <si>
    <t>ARM Ethical Fund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</si>
  <si>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</si>
  <si>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</si>
  <si>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</si>
  <si>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</si>
  <si>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</si>
  <si>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</si>
  <si>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</si>
  <si>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>Capital Trust Investments &amp; Asset Mgt. Ltd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</si>
  <si>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</si>
  <si>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</si>
  <si>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</si>
  <si>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</si>
  <si>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</si>
  <si>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</si>
  <si>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</si>
  <si>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</si>
  <si>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</si>
  <si>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</si>
  <si>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</si>
  <si>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</si>
  <si>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</si>
  <si>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</si>
  <si>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Cowry Equity Fund</t>
  </si>
  <si>
    <t>CardinalStone Equity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</si>
  <si>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</si>
  <si>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</si>
  <si>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</si>
  <si>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</si>
  <si>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</si>
  <si>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Comercio Partners Money Market Fund</t>
  </si>
  <si>
    <t>Comercio Partners Asset Management Limited</t>
  </si>
  <si>
    <t>BALANCED</t>
  </si>
  <si>
    <t>Lotus Waqf (Endowment) Fund</t>
  </si>
  <si>
    <t>Marble Halal Commodities Fund</t>
  </si>
  <si>
    <t xml:space="preserve">Marble Capital Limited </t>
  </si>
  <si>
    <t>Marble Halal Fixed Income Fund</t>
  </si>
  <si>
    <t>FSDH Halal Fund</t>
  </si>
  <si>
    <t>Alpha Morgan Balanced Fund</t>
  </si>
  <si>
    <t>Alpha Morgan Capital Managers Limited</t>
  </si>
  <si>
    <t>Cowry Balanced Fund</t>
  </si>
  <si>
    <t>The Nigeria Football Fund</t>
  </si>
  <si>
    <t>GTI Asset Management &amp; Trust Limited</t>
  </si>
  <si>
    <t>GTI Balanced Fund</t>
  </si>
  <si>
    <t>NET ASSET VALUE (N) PREVIOUS - JULY</t>
  </si>
  <si>
    <t>Housing Solution Fund</t>
  </si>
  <si>
    <t>FUNDCO Capital Managers Limited</t>
  </si>
  <si>
    <t>32,496,100.80</t>
  </si>
  <si>
    <t>0</t>
  </si>
  <si>
    <t>3,946,355.80</t>
  </si>
  <si>
    <t>Coral Money Market Fund</t>
  </si>
  <si>
    <t>AIICO Eurobond Fund</t>
  </si>
  <si>
    <t>RMBN Dollar Fixed Income Fund</t>
  </si>
  <si>
    <t>Lead Dollar Fixed Income Fund</t>
  </si>
  <si>
    <t>Lead Asset Management Limited</t>
  </si>
  <si>
    <t>Meristem Dollar Fund</t>
  </si>
  <si>
    <t>CardinalStone Dollar Fund</t>
  </si>
  <si>
    <t>Comercio Partners Dollar Fund</t>
  </si>
  <si>
    <t>Cowry Eurobond Fund</t>
  </si>
  <si>
    <t>EDC Dollar Fund</t>
  </si>
  <si>
    <t>Cowry Fixed Income Fund</t>
  </si>
  <si>
    <t>Guaranty Trust Fixed Income Fund</t>
  </si>
  <si>
    <t>Utica Custodian Assured Fixed Income Fund</t>
  </si>
  <si>
    <t>Utica Capital Limited</t>
  </si>
  <si>
    <t>Nigeria Bond Fund</t>
  </si>
  <si>
    <t>Meristem Fixed Income Fund</t>
  </si>
  <si>
    <t>Comercio Partners Fixed Income Fund</t>
  </si>
  <si>
    <t>FBN Bond Fund</t>
  </si>
  <si>
    <t>Norrenberger Turbo Fixed Income Fund</t>
  </si>
  <si>
    <t>Norrenberger Investment &amp; Capital Mgt. Ltd.</t>
  </si>
  <si>
    <r>
      <t>US$/NG</t>
    </r>
    <r>
      <rPr>
        <strike/>
        <sz val="8"/>
        <color rgb="FFFFFFFF"/>
        <rFont val="Times New Roman"/>
        <family val="1"/>
      </rPr>
      <t>N</t>
    </r>
    <r>
      <rPr>
        <sz val="8"/>
        <color rgb="FFFFFFFF"/>
        <rFont val="Times New Roman"/>
        <family val="1"/>
      </rPr>
      <t xml:space="preserve"> I&amp;E as at 31st August, 2024 = N1,596.64</t>
    </r>
  </si>
  <si>
    <t>17,780,140.08</t>
  </si>
  <si>
    <t>GTI  Money Market Fund</t>
  </si>
  <si>
    <t>July 2024</t>
  </si>
  <si>
    <t>Aug 2024</t>
  </si>
  <si>
    <t>MONTHLY UPDATE ON REGISTERED MUTUAL FUNDS AS AT 31ST AUGUST,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</si>
</sst>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;[Red]0"/>
    <numFmt numFmtId="166" formatCode="mmm\-yyyy"/>
    <numFmt numFmtId="167" formatCode="dd/mm/yy;@"/>
    <numFmt numFmtId="168" formatCode="[$-409]d\-mmm\-yy;@"/>
    <numFmt numFmtId="169" formatCode="&quot;Yes&quot;;&quot;Yes&quot;;&quot;No&quot;"/>
    <numFmt numFmtId="170" formatCode="0.00_)"/>
    <numFmt numFmtId="171" formatCode="_(* #,##0_);_(* \(#,##0\);_(* &quot;-&quot;??_);_(@_)"/>
    <numFmt numFmtId="172" formatCode="&quot; &quot;* #,##0.00&quot; &quot;;&quot;-&quot;* #,##0.00&quot; &quot;;&quot; &quot;* &quot;-&quot;??&quot; &quot;"/>
    <numFmt numFmtId="173" formatCode="&quot; &quot;* #,##0&quot; &quot;;&quot;-&quot;* #,##0&quot; &quot;;&quot; &quot;* &quot;-&quot;??&quot; &quot;"/>
    <numFmt numFmtId="174" formatCode="_-* #,##0_-;\-* #,##0_-;_-* &quot;-&quot;??_-;_-@_-"/>
    <numFmt numFmtId="175" formatCode="&quot; &quot;* #,##0.00&quot; &quot;;&quot; &quot;* \(#,##0.00\);&quot; &quot;* &quot;-&quot;??&quot; &quot;"/>
  </numFmts>
  <fonts count="4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indexed="8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rgb="FF9C5700"/>
      <name val="Calibri"/>
      <family val="2"/>
      <scheme val="minor"/>
    </font>
    <font>
      <b/>
      <i/>
      <sz val="16"/>
      <name val="Helv"/>
      <charset val="134"/>
    </font>
    <font>
      <sz val="10"/>
      <color theme="1"/>
      <name val="Futura Bk BT"/>
      <charset val="134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8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8"/>
      <color rgb="FFFFFFFF"/>
      <name val="Times New Roman"/>
      <family val="1"/>
    </font>
    <font>
      <strike/>
      <sz val="8"/>
      <color rgb="FFFFFFFF"/>
      <name val="Times New Roman"/>
      <family val="1"/>
    </font>
    <font>
      <b/>
      <sz val="8"/>
      <color theme="0"/>
      <name val="Times New Roman"/>
      <family val="1"/>
    </font>
    <font>
      <b/>
      <sz val="12"/>
      <name val="Arial Narrow"/>
      <family val="2"/>
    </font>
    <font>
      <b/>
      <sz val="11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8"/>
      <color theme="9"/>
      <name val="Century Gothic"/>
      <family val="2"/>
    </font>
    <font>
      <b/>
      <sz val="11"/>
      <color theme="0"/>
      <name val="Calibri"/>
      <family val="2"/>
      <scheme val="minor"/>
    </font>
    <font>
      <b/>
      <sz val="28"/>
      <color indexed="9"/>
      <name val="Segoe UI Black"/>
      <family val="2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sz val="8"/>
      <color theme="0"/>
      <name val="Arial Narrow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7985778374584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864">
    <xf numFmtId="0" fontId="0" fillId="0" borderId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165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3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9" fillId="27" borderId="0" applyNumberFormat="0" applyBorder="0" applyAlignment="0" applyProtection="0"/>
    <xf numFmtId="170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49" fontId="11" fillId="0" borderId="0"/>
    <xf numFmtId="49" fontId="11" fillId="0" borderId="0"/>
    <xf numFmtId="49" fontId="11" fillId="0" borderId="0"/>
    <xf numFmtId="49" fontId="11" fillId="0" borderId="0"/>
    <xf numFmtId="0" fontId="11" fillId="0" borderId="0"/>
    <xf numFmtId="37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0" fontId="16" fillId="28" borderId="3" applyNumberFormat="0" applyFont="0" applyAlignment="0" applyProtection="0"/>
    <xf numFmtId="9" fontId="1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0" fontId="1" fillId="28" borderId="3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5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6" fillId="2" borderId="0" xfId="0" applyFont="1" applyFill="1" applyAlignment="1">
      <alignment wrapText="1"/>
    </xf>
    <xf numFmtId="4" fontId="5" fillId="2" borderId="0" xfId="0" applyNumberFormat="1" applyFont="1" applyFill="1"/>
    <xf numFmtId="0" fontId="8" fillId="0" borderId="0" xfId="0" applyFont="1"/>
    <xf numFmtId="0" fontId="9" fillId="3" borderId="0" xfId="0" applyFont="1" applyFill="1"/>
    <xf numFmtId="0" fontId="9" fillId="0" borderId="0" xfId="0" applyFont="1"/>
    <xf numFmtId="0" fontId="14" fillId="0" borderId="0" xfId="0" applyFont="1"/>
    <xf numFmtId="0" fontId="9" fillId="2" borderId="0" xfId="0" applyFont="1" applyFill="1"/>
    <xf numFmtId="164" fontId="9" fillId="2" borderId="0" xfId="1" applyFont="1" applyFill="1" applyBorder="1" applyAlignment="1"/>
    <xf numFmtId="0" fontId="15" fillId="2" borderId="0" xfId="0" applyFont="1" applyFill="1"/>
    <xf numFmtId="172" fontId="13" fillId="2" borderId="0" xfId="0" applyNumberFormat="1" applyFont="1" applyFill="1"/>
    <xf numFmtId="175" fontId="13" fillId="2" borderId="0" xfId="0" applyNumberFormat="1" applyFont="1" applyFill="1"/>
    <xf numFmtId="0" fontId="27" fillId="9" borderId="0" xfId="0" applyFont="1" applyFill="1" applyAlignment="1">
      <alignment horizontal="left"/>
    </xf>
    <xf numFmtId="0" fontId="29" fillId="9" borderId="0" xfId="0" applyFont="1" applyFill="1" applyAlignment="1">
      <alignment horizontal="right" vertical="center"/>
    </xf>
    <xf numFmtId="172" fontId="24" fillId="2" borderId="2" xfId="0" applyNumberFormat="1" applyFont="1" applyFill="1" applyBorder="1"/>
    <xf numFmtId="0" fontId="30" fillId="0" borderId="0" xfId="0" applyFont="1" applyAlignment="1">
      <alignment horizontal="right"/>
    </xf>
    <xf numFmtId="16" fontId="31" fillId="2" borderId="0" xfId="0" applyNumberFormat="1" applyFont="1" applyFill="1"/>
    <xf numFmtId="164" fontId="32" fillId="2" borderId="0" xfId="1" applyFont="1" applyFill="1" applyBorder="1"/>
    <xf numFmtId="164" fontId="8" fillId="0" borderId="0" xfId="1" applyFont="1" applyBorder="1"/>
    <xf numFmtId="4" fontId="33" fillId="2" borderId="0" xfId="0" applyNumberFormat="1" applyFont="1" applyFill="1"/>
    <xf numFmtId="172" fontId="24" fillId="2" borderId="0" xfId="0" applyNumberFormat="1" applyFont="1" applyFill="1"/>
    <xf numFmtId="4" fontId="33" fillId="2" borderId="0" xfId="0" applyNumberFormat="1" applyFont="1" applyFill="1" applyAlignment="1">
      <alignment horizontal="right"/>
    </xf>
    <xf numFmtId="4" fontId="32" fillId="2" borderId="0" xfId="0" applyNumberFormat="1" applyFont="1" applyFill="1" applyAlignment="1">
      <alignment horizontal="right"/>
    </xf>
    <xf numFmtId="0" fontId="31" fillId="0" borderId="0" xfId="0" applyFont="1" applyAlignment="1">
      <alignment horizontal="right"/>
    </xf>
    <xf numFmtId="4" fontId="32" fillId="2" borderId="0" xfId="0" applyNumberFormat="1" applyFont="1" applyFill="1"/>
    <xf numFmtId="164" fontId="33" fillId="2" borderId="0" xfId="1" applyFont="1" applyFill="1" applyBorder="1" applyAlignment="1">
      <alignment horizontal="right" vertical="top" wrapText="1"/>
    </xf>
    <xf numFmtId="164" fontId="32" fillId="2" borderId="0" xfId="1" applyFont="1" applyFill="1" applyBorder="1" applyAlignment="1">
      <alignment horizontal="right" vertical="top" wrapText="1"/>
    </xf>
    <xf numFmtId="43" fontId="8" fillId="0" borderId="0" xfId="201" applyFont="1"/>
    <xf numFmtId="4" fontId="32" fillId="2" borderId="2" xfId="0" applyNumberFormat="1" applyFont="1" applyFill="1" applyBorder="1"/>
    <xf numFmtId="4" fontId="32" fillId="2" borderId="2" xfId="0" applyNumberFormat="1" applyFont="1" applyFill="1" applyBorder="1" applyAlignment="1">
      <alignment horizontal="right"/>
    </xf>
    <xf numFmtId="0" fontId="33" fillId="0" borderId="0" xfId="0" applyFont="1" applyAlignment="1">
      <alignment horizontal="right"/>
    </xf>
    <xf numFmtId="4" fontId="33" fillId="2" borderId="0" xfId="0" applyNumberFormat="1" applyFont="1" applyFill="1" applyBorder="1" applyAlignment="1">
      <alignment horizontal="right"/>
    </xf>
    <xf numFmtId="49" fontId="10" fillId="5" borderId="5" xfId="0" applyNumberFormat="1" applyFont="1" applyFill="1" applyBorder="1" applyAlignment="1">
      <alignment horizontal="center" vertical="top" wrapText="1"/>
    </xf>
    <xf numFmtId="164" fontId="10" fillId="5" borderId="5" xfId="1" applyFont="1" applyFill="1" applyBorder="1" applyAlignment="1">
      <alignment horizontal="center" vertical="top" wrapText="1"/>
    </xf>
    <xf numFmtId="173" fontId="24" fillId="2" borderId="5" xfId="0" applyNumberFormat="1" applyFont="1" applyFill="1" applyBorder="1" applyAlignment="1">
      <alignment horizontal="center" wrapText="1"/>
    </xf>
    <xf numFmtId="49" fontId="24" fillId="2" borderId="5" xfId="0" applyNumberFormat="1" applyFont="1" applyFill="1" applyBorder="1" applyAlignment="1">
      <alignment wrapText="1"/>
    </xf>
    <xf numFmtId="164" fontId="24" fillId="2" borderId="5" xfId="1" applyFont="1" applyFill="1" applyBorder="1" applyAlignment="1"/>
    <xf numFmtId="172" fontId="24" fillId="2" borderId="5" xfId="0" applyNumberFormat="1" applyFont="1" applyFill="1" applyBorder="1" applyAlignment="1">
      <alignment horizontal="left"/>
    </xf>
    <xf numFmtId="10" fontId="24" fillId="2" borderId="5" xfId="0" applyNumberFormat="1" applyFont="1" applyFill="1" applyBorder="1" applyAlignment="1">
      <alignment horizontal="center"/>
    </xf>
    <xf numFmtId="10" fontId="26" fillId="6" borderId="5" xfId="0" applyNumberFormat="1" applyFont="1" applyFill="1" applyBorder="1" applyAlignment="1">
      <alignment horizontal="center" vertical="center"/>
    </xf>
    <xf numFmtId="10" fontId="24" fillId="6" borderId="5" xfId="0" applyNumberFormat="1" applyFont="1" applyFill="1" applyBorder="1" applyAlignment="1">
      <alignment horizontal="center" vertical="center"/>
    </xf>
    <xf numFmtId="172" fontId="24" fillId="6" borderId="5" xfId="0" applyNumberFormat="1" applyFont="1" applyFill="1" applyBorder="1" applyAlignment="1">
      <alignment horizontal="right" vertical="center"/>
    </xf>
    <xf numFmtId="172" fontId="24" fillId="2" borderId="5" xfId="0" applyNumberFormat="1" applyFont="1" applyFill="1" applyBorder="1"/>
    <xf numFmtId="164" fontId="24" fillId="2" borderId="5" xfId="1" applyFont="1" applyFill="1" applyBorder="1"/>
    <xf numFmtId="49" fontId="24" fillId="2" borderId="5" xfId="0" applyNumberFormat="1" applyFont="1" applyFill="1" applyBorder="1"/>
    <xf numFmtId="4" fontId="24" fillId="2" borderId="5" xfId="0" applyNumberFormat="1" applyFont="1" applyFill="1" applyBorder="1" applyAlignment="1">
      <alignment wrapText="1"/>
    </xf>
    <xf numFmtId="0" fontId="24" fillId="2" borderId="5" xfId="0" applyFont="1" applyFill="1" applyBorder="1" applyAlignment="1">
      <alignment wrapText="1"/>
    </xf>
    <xf numFmtId="172" fontId="24" fillId="2" borderId="5" xfId="0" applyNumberFormat="1" applyFont="1" applyFill="1" applyBorder="1" applyAlignment="1">
      <alignment horizontal="right"/>
    </xf>
    <xf numFmtId="10" fontId="26" fillId="2" borderId="5" xfId="0" applyNumberFormat="1" applyFont="1" applyFill="1" applyBorder="1" applyAlignment="1">
      <alignment horizontal="center"/>
    </xf>
    <xf numFmtId="172" fontId="26" fillId="6" borderId="5" xfId="0" applyNumberFormat="1" applyFont="1" applyFill="1" applyBorder="1" applyAlignment="1">
      <alignment horizontal="right" vertical="center"/>
    </xf>
    <xf numFmtId="172" fontId="26" fillId="2" borderId="5" xfId="0" applyNumberFormat="1" applyFont="1" applyFill="1" applyBorder="1"/>
    <xf numFmtId="164" fontId="26" fillId="2" borderId="5" xfId="1" applyFont="1" applyFill="1" applyBorder="1"/>
    <xf numFmtId="172" fontId="24" fillId="6" borderId="5" xfId="0" applyNumberFormat="1" applyFont="1" applyFill="1" applyBorder="1" applyAlignment="1">
      <alignment horizontal="center" vertical="center"/>
    </xf>
    <xf numFmtId="164" fontId="24" fillId="2" borderId="5" xfId="1" applyFont="1" applyFill="1" applyBorder="1" applyAlignment="1">
      <alignment wrapText="1"/>
    </xf>
    <xf numFmtId="10" fontId="26" fillId="29" borderId="5" xfId="0" applyNumberFormat="1" applyFont="1" applyFill="1" applyBorder="1" applyAlignment="1">
      <alignment horizontal="center" vertical="center"/>
    </xf>
    <xf numFmtId="10" fontId="24" fillId="29" borderId="5" xfId="0" applyNumberFormat="1" applyFont="1" applyFill="1" applyBorder="1" applyAlignment="1">
      <alignment horizontal="center" vertical="center"/>
    </xf>
    <xf numFmtId="49" fontId="24" fillId="2" borderId="5" xfId="0" applyNumberFormat="1" applyFont="1" applyFill="1" applyBorder="1" applyAlignment="1">
      <alignment vertical="top" wrapText="1"/>
    </xf>
    <xf numFmtId="172" fontId="26" fillId="6" borderId="5" xfId="0" applyNumberFormat="1" applyFont="1" applyFill="1" applyBorder="1" applyAlignment="1">
      <alignment horizontal="center" vertical="center"/>
    </xf>
    <xf numFmtId="0" fontId="24" fillId="2" borderId="5" xfId="0" applyFont="1" applyFill="1" applyBorder="1"/>
    <xf numFmtId="164" fontId="24" fillId="0" borderId="5" xfId="1" applyFont="1" applyBorder="1"/>
    <xf numFmtId="4" fontId="24" fillId="2" borderId="5" xfId="1" applyNumberFormat="1" applyFont="1" applyFill="1" applyBorder="1" applyAlignment="1"/>
    <xf numFmtId="173" fontId="24" fillId="2" borderId="5" xfId="0" applyNumberFormat="1" applyFont="1" applyFill="1" applyBorder="1" applyAlignment="1">
      <alignment horizontal="right" wrapText="1"/>
    </xf>
    <xf numFmtId="164" fontId="26" fillId="2" borderId="5" xfId="1" applyFont="1" applyFill="1" applyBorder="1" applyAlignment="1"/>
    <xf numFmtId="174" fontId="24" fillId="2" borderId="5" xfId="1" applyNumberFormat="1" applyFont="1" applyFill="1" applyBorder="1" applyAlignment="1">
      <alignment horizontal="center" wrapText="1"/>
    </xf>
    <xf numFmtId="164" fontId="24" fillId="2" borderId="5" xfId="1" applyFont="1" applyFill="1" applyBorder="1" applyAlignment="1">
      <alignment horizontal="left" vertical="top" wrapText="1"/>
    </xf>
    <xf numFmtId="164" fontId="24" fillId="2" borderId="5" xfId="1" applyFont="1" applyFill="1" applyBorder="1" applyAlignment="1">
      <alignment horizontal="right" vertical="top" wrapText="1"/>
    </xf>
    <xf numFmtId="164" fontId="24" fillId="2" borderId="5" xfId="1" applyFont="1" applyFill="1" applyBorder="1" applyAlignment="1">
      <alignment horizontal="center" vertical="top" wrapText="1"/>
    </xf>
    <xf numFmtId="164" fontId="24" fillId="2" borderId="5" xfId="1" applyFont="1" applyFill="1" applyBorder="1" applyAlignment="1">
      <alignment horizontal="right"/>
    </xf>
    <xf numFmtId="164" fontId="26" fillId="2" borderId="5" xfId="1" applyFont="1" applyFill="1" applyBorder="1" applyAlignment="1">
      <alignment wrapText="1"/>
    </xf>
    <xf numFmtId="10" fontId="26" fillId="6" borderId="5" xfId="0" applyNumberFormat="1" applyFont="1" applyFill="1" applyBorder="1" applyAlignment="1">
      <alignment horizontal="right" vertical="center"/>
    </xf>
    <xf numFmtId="172" fontId="24" fillId="2" borderId="5" xfId="0" applyNumberFormat="1" applyFont="1" applyFill="1" applyBorder="1" applyAlignment="1">
      <alignment horizontal="right" wrapText="1"/>
    </xf>
    <xf numFmtId="10" fontId="24" fillId="2" borderId="5" xfId="0" applyNumberFormat="1" applyFont="1" applyFill="1" applyBorder="1"/>
    <xf numFmtId="164" fontId="24" fillId="2" borderId="5" xfId="1" applyFont="1" applyFill="1" applyBorder="1" applyAlignment="1">
      <alignment horizontal="left"/>
    </xf>
    <xf numFmtId="4" fontId="24" fillId="2" borderId="5" xfId="464" applyNumberFormat="1" applyFont="1" applyFill="1" applyBorder="1" applyAlignment="1">
      <alignment wrapText="1"/>
    </xf>
    <xf numFmtId="0" fontId="24" fillId="2" borderId="5" xfId="464" applyFont="1" applyFill="1" applyBorder="1" applyAlignment="1">
      <alignment wrapText="1"/>
    </xf>
    <xf numFmtId="172" fontId="26" fillId="5" borderId="5" xfId="0" applyNumberFormat="1" applyFont="1" applyFill="1" applyBorder="1"/>
    <xf numFmtId="10" fontId="26" fillId="5" borderId="5" xfId="0" applyNumberFormat="1" applyFont="1" applyFill="1" applyBorder="1"/>
    <xf numFmtId="10" fontId="26" fillId="5" borderId="5" xfId="0" applyNumberFormat="1" applyFont="1" applyFill="1" applyBorder="1" applyAlignment="1">
      <alignment horizontal="right" vertical="center"/>
    </xf>
    <xf numFmtId="172" fontId="26" fillId="5" borderId="5" xfId="0" applyNumberFormat="1" applyFont="1" applyFill="1" applyBorder="1" applyAlignment="1">
      <alignment horizontal="right" vertical="center"/>
    </xf>
    <xf numFmtId="164" fontId="26" fillId="5" borderId="5" xfId="1" applyFont="1" applyFill="1" applyBorder="1"/>
    <xf numFmtId="4" fontId="24" fillId="0" borderId="5" xfId="0" applyNumberFormat="1" applyFont="1" applyBorder="1"/>
    <xf numFmtId="43" fontId="24" fillId="0" borderId="5" xfId="2" applyNumberFormat="1" applyFont="1" applyBorder="1" applyAlignment="1"/>
    <xf numFmtId="0" fontId="24" fillId="0" borderId="5" xfId="0" applyFont="1" applyBorder="1"/>
    <xf numFmtId="3" fontId="24" fillId="0" borderId="5" xfId="0" applyNumberFormat="1" applyFont="1" applyBorder="1"/>
    <xf numFmtId="171" fontId="24" fillId="0" borderId="5" xfId="0" applyNumberFormat="1" applyFont="1" applyFill="1" applyBorder="1" applyAlignment="1" applyProtection="1"/>
    <xf numFmtId="174" fontId="24" fillId="0" borderId="5" xfId="0" applyNumberFormat="1" applyFont="1" applyFill="1" applyBorder="1" applyAlignment="1" applyProtection="1"/>
    <xf numFmtId="43" fontId="24" fillId="0" borderId="5" xfId="0" applyNumberFormat="1" applyFont="1" applyFill="1" applyBorder="1" applyAlignment="1" applyProtection="1"/>
    <xf numFmtId="4" fontId="24" fillId="0" borderId="5" xfId="0" applyNumberFormat="1" applyFont="1" applyFill="1" applyBorder="1"/>
    <xf numFmtId="164" fontId="24" fillId="0" borderId="5" xfId="1" applyFont="1" applyFill="1" applyBorder="1" applyAlignment="1"/>
    <xf numFmtId="164" fontId="24" fillId="2" borderId="5" xfId="1" applyFont="1" applyFill="1" applyBorder="1" applyAlignment="1">
      <alignment vertical="center" wrapText="1"/>
    </xf>
    <xf numFmtId="164" fontId="24" fillId="0" borderId="5" xfId="1" applyFont="1" applyBorder="1" applyAlignment="1">
      <alignment horizontal="right"/>
    </xf>
    <xf numFmtId="164" fontId="26" fillId="0" borderId="5" xfId="1" applyFont="1" applyFill="1" applyBorder="1" applyAlignment="1" applyProtection="1"/>
    <xf numFmtId="164" fontId="24" fillId="0" borderId="5" xfId="1" applyFont="1" applyFill="1" applyBorder="1" applyAlignment="1" applyProtection="1"/>
    <xf numFmtId="164" fontId="26" fillId="2" borderId="5" xfId="1" applyFont="1" applyFill="1" applyBorder="1" applyAlignment="1">
      <alignment horizontal="left"/>
    </xf>
    <xf numFmtId="164" fontId="24" fillId="7" borderId="5" xfId="1" applyFont="1" applyFill="1" applyBorder="1" applyAlignment="1">
      <alignment horizontal="left"/>
    </xf>
    <xf numFmtId="164" fontId="24" fillId="0" borderId="5" xfId="1" applyFont="1" applyBorder="1" applyAlignment="1"/>
    <xf numFmtId="164" fontId="24" fillId="0" borderId="5" xfId="1" applyFont="1" applyFill="1" applyBorder="1"/>
    <xf numFmtId="164" fontId="24" fillId="0" borderId="5" xfId="1" applyFont="1" applyFill="1" applyBorder="1" applyAlignment="1">
      <alignment horizontal="right"/>
    </xf>
    <xf numFmtId="164" fontId="24" fillId="2" borderId="5" xfId="1" applyFont="1" applyFill="1" applyBorder="1" applyAlignment="1">
      <alignment vertical="top" wrapText="1"/>
    </xf>
    <xf numFmtId="164" fontId="24" fillId="7" borderId="5" xfId="1" applyFont="1" applyFill="1" applyBorder="1"/>
    <xf numFmtId="164" fontId="24" fillId="2" borderId="5" xfId="1" applyFont="1" applyFill="1" applyBorder="1" applyAlignment="1">
      <alignment horizontal="center"/>
    </xf>
    <xf numFmtId="164" fontId="24" fillId="0" borderId="5" xfId="1" applyFont="1" applyBorder="1" applyAlignment="1">
      <alignment vertical="center"/>
    </xf>
    <xf numFmtId="164" fontId="24" fillId="0" borderId="5" xfId="1" applyFont="1" applyBorder="1" applyAlignment="1">
      <alignment horizontal="right" vertical="center"/>
    </xf>
    <xf numFmtId="164" fontId="26" fillId="0" borderId="5" xfId="1" applyFont="1" applyBorder="1"/>
    <xf numFmtId="164" fontId="24" fillId="6" borderId="5" xfId="1" applyFont="1" applyFill="1" applyBorder="1" applyAlignment="1">
      <alignment horizontal="right" vertical="center"/>
    </xf>
    <xf numFmtId="164" fontId="24" fillId="29" borderId="5" xfId="1" applyFont="1" applyFill="1" applyBorder="1" applyAlignment="1">
      <alignment horizontal="center" vertical="center"/>
    </xf>
    <xf numFmtId="164" fontId="26" fillId="6" borderId="5" xfId="1" applyFont="1" applyFill="1" applyBorder="1" applyAlignment="1">
      <alignment horizontal="right" vertical="center"/>
    </xf>
    <xf numFmtId="10" fontId="34" fillId="2" borderId="5" xfId="0" applyNumberFormat="1" applyFont="1" applyFill="1" applyBorder="1" applyAlignment="1">
      <alignment horizontal="center"/>
    </xf>
    <xf numFmtId="172" fontId="24" fillId="7" borderId="2" xfId="0" applyNumberFormat="1" applyFont="1" applyFill="1" applyBorder="1"/>
    <xf numFmtId="3" fontId="24" fillId="0" borderId="2" xfId="0" applyNumberFormat="1" applyFont="1" applyBorder="1"/>
    <xf numFmtId="4" fontId="24" fillId="0" borderId="2" xfId="0" applyNumberFormat="1" applyFont="1" applyBorder="1"/>
    <xf numFmtId="164" fontId="24" fillId="2" borderId="2" xfId="1" applyFont="1" applyFill="1" applyBorder="1"/>
    <xf numFmtId="172" fontId="24" fillId="2" borderId="2" xfId="0" applyNumberFormat="1" applyFont="1" applyFill="1" applyBorder="1" applyAlignment="1">
      <alignment horizontal="right"/>
    </xf>
    <xf numFmtId="4" fontId="24" fillId="0" borderId="2" xfId="0" applyNumberFormat="1" applyFont="1" applyBorder="1" applyAlignment="1">
      <alignment horizontal="right"/>
    </xf>
    <xf numFmtId="43" fontId="24" fillId="2" borderId="2" xfId="0" applyNumberFormat="1" applyFont="1" applyFill="1" applyBorder="1" applyAlignment="1">
      <alignment horizontal="center"/>
    </xf>
    <xf numFmtId="43" fontId="24" fillId="0" borderId="2" xfId="0" applyNumberFormat="1" applyFont="1" applyBorder="1" applyAlignment="1">
      <alignment vertical="center"/>
    </xf>
    <xf numFmtId="164" fontId="24" fillId="2" borderId="2" xfId="1" applyFont="1" applyFill="1" applyBorder="1" applyAlignment="1"/>
    <xf numFmtId="4" fontId="24" fillId="0" borderId="2" xfId="0" applyNumberFormat="1" applyFont="1" applyFill="1" applyBorder="1"/>
    <xf numFmtId="172" fontId="24" fillId="2" borderId="2" xfId="0" applyNumberFormat="1" applyFont="1" applyFill="1" applyBorder="1" applyAlignment="1">
      <alignment horizontal="left"/>
    </xf>
    <xf numFmtId="43" fontId="24" fillId="0" borderId="2" xfId="0" applyNumberFormat="1" applyFont="1" applyBorder="1"/>
    <xf numFmtId="172" fontId="24" fillId="7" borderId="2" xfId="0" applyNumberFormat="1" applyFont="1" applyFill="1" applyBorder="1" applyAlignment="1">
      <alignment horizontal="left"/>
    </xf>
    <xf numFmtId="43" fontId="24" fillId="0" borderId="2" xfId="2" applyNumberFormat="1" applyFont="1" applyBorder="1" applyAlignment="1"/>
    <xf numFmtId="0" fontId="37" fillId="0" borderId="0" xfId="0" applyFont="1" applyAlignment="1">
      <alignment horizontal="right"/>
    </xf>
    <xf numFmtId="16" fontId="38" fillId="2" borderId="0" xfId="0" quotePrefix="1" applyNumberFormat="1" applyFont="1" applyFill="1" applyAlignment="1">
      <alignment horizontal="right" wrapText="1"/>
    </xf>
    <xf numFmtId="0" fontId="37" fillId="0" borderId="0" xfId="0" applyFont="1" applyAlignment="1">
      <alignment horizontal="right" wrapText="1"/>
    </xf>
    <xf numFmtId="43" fontId="39" fillId="0" borderId="0" xfId="661" applyFont="1" applyBorder="1"/>
    <xf numFmtId="43" fontId="39" fillId="0" borderId="0" xfId="201" applyFont="1" applyBorder="1"/>
    <xf numFmtId="0" fontId="38" fillId="0" borderId="2" xfId="0" applyFont="1" applyBorder="1" applyAlignment="1">
      <alignment horizontal="right"/>
    </xf>
    <xf numFmtId="16" fontId="38" fillId="2" borderId="2" xfId="0" quotePrefix="1" applyNumberFormat="1" applyFont="1" applyFill="1" applyBorder="1" applyAlignment="1">
      <alignment horizontal="right"/>
    </xf>
    <xf numFmtId="164" fontId="40" fillId="2" borderId="2" xfId="1" applyFont="1" applyFill="1" applyBorder="1" applyAlignment="1">
      <alignment horizontal="right" vertical="top" wrapText="1"/>
    </xf>
    <xf numFmtId="164" fontId="40" fillId="2" borderId="2" xfId="1" applyFont="1" applyFill="1" applyBorder="1"/>
    <xf numFmtId="4" fontId="40" fillId="2" borderId="2" xfId="0" applyNumberFormat="1" applyFont="1" applyFill="1" applyBorder="1"/>
    <xf numFmtId="4" fontId="40" fillId="2" borderId="2" xfId="0" applyNumberFormat="1" applyFont="1" applyFill="1" applyBorder="1" applyAlignment="1">
      <alignment horizontal="right"/>
    </xf>
    <xf numFmtId="172" fontId="40" fillId="2" borderId="2" xfId="0" applyNumberFormat="1" applyFont="1" applyFill="1" applyBorder="1"/>
    <xf numFmtId="0" fontId="4" fillId="0" borderId="0" xfId="0" applyFont="1" applyBorder="1" applyAlignment="1">
      <alignment horizontal="right"/>
    </xf>
    <xf numFmtId="164" fontId="41" fillId="2" borderId="4" xfId="1" applyFont="1" applyFill="1" applyBorder="1"/>
    <xf numFmtId="43" fontId="3" fillId="0" borderId="0" xfId="201" applyFont="1"/>
    <xf numFmtId="0" fontId="37" fillId="0" borderId="1" xfId="0" applyFont="1" applyBorder="1" applyAlignment="1">
      <alignment horizontal="right"/>
    </xf>
    <xf numFmtId="0" fontId="35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171" fontId="3" fillId="0" borderId="0" xfId="201" applyNumberFormat="1" applyFont="1"/>
    <xf numFmtId="49" fontId="36" fillId="4" borderId="5" xfId="0" applyNumberFormat="1" applyFont="1" applyFill="1" applyBorder="1" applyAlignment="1">
      <alignment horizontal="center"/>
    </xf>
    <xf numFmtId="0" fontId="36" fillId="4" borderId="5" xfId="0" applyFont="1" applyFill="1" applyBorder="1" applyAlignment="1">
      <alignment horizontal="center"/>
    </xf>
    <xf numFmtId="49" fontId="10" fillId="2" borderId="5" xfId="0" applyNumberFormat="1" applyFont="1" applyFill="1" applyBorder="1" applyAlignment="1">
      <alignment horizontal="center" vertical="top" wrapText="1"/>
    </xf>
    <xf numFmtId="164" fontId="26" fillId="2" borderId="5" xfId="1" applyFont="1" applyFill="1" applyBorder="1" applyAlignment="1">
      <alignment horizontal="right"/>
    </xf>
    <xf numFmtId="173" fontId="26" fillId="2" borderId="5" xfId="0" applyNumberFormat="1" applyFont="1" applyFill="1" applyBorder="1" applyAlignment="1">
      <alignment horizontal="center"/>
    </xf>
    <xf numFmtId="49" fontId="12" fillId="2" borderId="5" xfId="0" applyNumberFormat="1" applyFont="1" applyFill="1" applyBorder="1" applyAlignment="1">
      <alignment horizontal="center" vertical="top" wrapText="1"/>
    </xf>
    <xf numFmtId="49" fontId="26" fillId="2" borderId="5" xfId="0" applyNumberFormat="1" applyFont="1" applyFill="1" applyBorder="1" applyAlignment="1">
      <alignment horizontal="center" wrapText="1"/>
    </xf>
    <xf numFmtId="49" fontId="26" fillId="2" borderId="5" xfId="0" applyNumberFormat="1" applyFont="1" applyFill="1" applyBorder="1" applyAlignment="1">
      <alignment horizontal="right"/>
    </xf>
    <xf numFmtId="172" fontId="25" fillId="2" borderId="5" xfId="0" applyNumberFormat="1" applyFont="1" applyFill="1" applyBorder="1" applyAlignment="1">
      <alignment horizontal="center" wrapText="1"/>
    </xf>
    <xf numFmtId="173" fontId="24" fillId="2" borderId="5" xfId="0" applyNumberFormat="1" applyFont="1" applyFill="1" applyBorder="1" applyAlignment="1">
      <alignment horizontal="center" wrapText="1"/>
    </xf>
    <xf numFmtId="173" fontId="26" fillId="2" borderId="5" xfId="0" applyNumberFormat="1" applyFont="1" applyFill="1" applyBorder="1" applyAlignment="1">
      <alignment horizontal="center" wrapText="1"/>
    </xf>
    <xf numFmtId="164" fontId="26" fillId="5" borderId="5" xfId="1" applyFont="1" applyFill="1" applyBorder="1" applyAlignment="1">
      <alignment horizontal="right"/>
    </xf>
    <xf numFmtId="0" fontId="25" fillId="2" borderId="5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</cellXfs>
  <cellStyles count="864">
    <cellStyle name="20% - Accent1 2" xfId="3"/>
    <cellStyle name="20% - Accent1 2 2" xfId="4"/>
    <cellStyle name="20% - Accent1 2 2 2" xfId="468"/>
    <cellStyle name="20% - Accent1 2 3" xfId="5"/>
    <cellStyle name="20% - Accent1 2 3 2" xfId="469"/>
    <cellStyle name="20% - Accent1 2 4" xfId="467"/>
    <cellStyle name="20% - Accent1 3" xfId="6"/>
    <cellStyle name="20% - Accent1 3 2" xfId="7"/>
    <cellStyle name="20% - Accent1 3 2 2" xfId="471"/>
    <cellStyle name="20% - Accent1 3 3" xfId="8"/>
    <cellStyle name="20% - Accent1 3 3 2" xfId="472"/>
    <cellStyle name="20% - Accent1 3 4" xfId="470"/>
    <cellStyle name="20% - Accent1 4" xfId="9"/>
    <cellStyle name="20% - Accent1 4 2" xfId="10"/>
    <cellStyle name="20% - Accent1 4 2 2" xfId="474"/>
    <cellStyle name="20% - Accent1 4 3" xfId="473"/>
    <cellStyle name="20% - Accent1 5" xfId="11"/>
    <cellStyle name="20% - Accent1 5 2" xfId="475"/>
    <cellStyle name="20% - Accent1 6" xfId="12"/>
    <cellStyle name="20% - Accent1 6 2" xfId="476"/>
    <cellStyle name="20% - Accent2 2" xfId="13"/>
    <cellStyle name="20% - Accent2 2 2" xfId="14"/>
    <cellStyle name="20% - Accent2 2 2 2" xfId="478"/>
    <cellStyle name="20% - Accent2 2 3" xfId="15"/>
    <cellStyle name="20% - Accent2 2 3 2" xfId="479"/>
    <cellStyle name="20% - Accent2 2 4" xfId="477"/>
    <cellStyle name="20% - Accent2 3" xfId="16"/>
    <cellStyle name="20% - Accent2 3 2" xfId="17"/>
    <cellStyle name="20% - Accent2 3 2 2" xfId="481"/>
    <cellStyle name="20% - Accent2 3 3" xfId="18"/>
    <cellStyle name="20% - Accent2 3 3 2" xfId="482"/>
    <cellStyle name="20% - Accent2 3 4" xfId="480"/>
    <cellStyle name="20% - Accent2 4" xfId="19"/>
    <cellStyle name="20% - Accent2 4 2" xfId="20"/>
    <cellStyle name="20% - Accent2 4 2 2" xfId="484"/>
    <cellStyle name="20% - Accent2 4 3" xfId="483"/>
    <cellStyle name="20% - Accent2 5" xfId="21"/>
    <cellStyle name="20% - Accent2 5 2" xfId="485"/>
    <cellStyle name="20% - Accent2 6" xfId="22"/>
    <cellStyle name="20% - Accent2 6 2" xfId="486"/>
    <cellStyle name="20% - Accent3 2" xfId="23"/>
    <cellStyle name="20% - Accent3 2 2" xfId="24"/>
    <cellStyle name="20% - Accent3 2 2 2" xfId="488"/>
    <cellStyle name="20% - Accent3 2 3" xfId="25"/>
    <cellStyle name="20% - Accent3 2 3 2" xfId="489"/>
    <cellStyle name="20% - Accent3 2 4" xfId="487"/>
    <cellStyle name="20% - Accent3 3" xfId="26"/>
    <cellStyle name="20% - Accent3 3 2" xfId="27"/>
    <cellStyle name="20% - Accent3 3 2 2" xfId="491"/>
    <cellStyle name="20% - Accent3 3 3" xfId="28"/>
    <cellStyle name="20% - Accent3 3 3 2" xfId="492"/>
    <cellStyle name="20% - Accent3 3 4" xfId="490"/>
    <cellStyle name="20% - Accent3 4" xfId="29"/>
    <cellStyle name="20% - Accent3 4 2" xfId="30"/>
    <cellStyle name="20% - Accent3 4 2 2" xfId="494"/>
    <cellStyle name="20% - Accent3 4 3" xfId="493"/>
    <cellStyle name="20% - Accent3 5" xfId="31"/>
    <cellStyle name="20% - Accent3 5 2" xfId="495"/>
    <cellStyle name="20% - Accent3 6" xfId="32"/>
    <cellStyle name="20% - Accent3 6 2" xfId="496"/>
    <cellStyle name="20% - Accent4 2" xfId="33"/>
    <cellStyle name="20% - Accent4 2 2" xfId="34"/>
    <cellStyle name="20% - Accent4 2 2 2" xfId="498"/>
    <cellStyle name="20% - Accent4 2 3" xfId="35"/>
    <cellStyle name="20% - Accent4 2 3 2" xfId="499"/>
    <cellStyle name="20% - Accent4 2 4" xfId="497"/>
    <cellStyle name="20% - Accent4 3" xfId="36"/>
    <cellStyle name="20% - Accent4 3 2" xfId="37"/>
    <cellStyle name="20% - Accent4 3 2 2" xfId="501"/>
    <cellStyle name="20% - Accent4 3 3" xfId="38"/>
    <cellStyle name="20% - Accent4 3 3 2" xfId="502"/>
    <cellStyle name="20% - Accent4 3 4" xfId="500"/>
    <cellStyle name="20% - Accent4 4" xfId="39"/>
    <cellStyle name="20% - Accent4 4 2" xfId="40"/>
    <cellStyle name="20% - Accent4 4 2 2" xfId="504"/>
    <cellStyle name="20% - Accent4 4 3" xfId="503"/>
    <cellStyle name="20% - Accent4 5" xfId="41"/>
    <cellStyle name="20% - Accent4 5 2" xfId="505"/>
    <cellStyle name="20% - Accent4 6" xfId="42"/>
    <cellStyle name="20% - Accent4 6 2" xfId="506"/>
    <cellStyle name="20% - Accent5 2" xfId="43"/>
    <cellStyle name="20% - Accent5 2 2" xfId="44"/>
    <cellStyle name="20% - Accent5 2 2 2" xfId="508"/>
    <cellStyle name="20% - Accent5 2 3" xfId="45"/>
    <cellStyle name="20% - Accent5 2 3 2" xfId="509"/>
    <cellStyle name="20% - Accent5 2 4" xfId="507"/>
    <cellStyle name="20% - Accent5 3" xfId="46"/>
    <cellStyle name="20% - Accent5 3 2" xfId="47"/>
    <cellStyle name="20% - Accent5 3 2 2" xfId="511"/>
    <cellStyle name="20% - Accent5 3 3" xfId="48"/>
    <cellStyle name="20% - Accent5 3 3 2" xfId="512"/>
    <cellStyle name="20% - Accent5 3 4" xfId="510"/>
    <cellStyle name="20% - Accent5 4" xfId="49"/>
    <cellStyle name="20% - Accent5 4 2" xfId="50"/>
    <cellStyle name="20% - Accent5 4 2 2" xfId="514"/>
    <cellStyle name="20% - Accent5 4 3" xfId="513"/>
    <cellStyle name="20% - Accent5 5" xfId="51"/>
    <cellStyle name="20% - Accent5 5 2" xfId="515"/>
    <cellStyle name="20% - Accent5 6" xfId="52"/>
    <cellStyle name="20% - Accent5 6 2" xfId="516"/>
    <cellStyle name="20% - Accent6 2" xfId="53"/>
    <cellStyle name="20% - Accent6 2 2" xfId="54"/>
    <cellStyle name="20% - Accent6 2 2 2" xfId="518"/>
    <cellStyle name="20% - Accent6 2 3" xfId="55"/>
    <cellStyle name="20% - Accent6 2 3 2" xfId="519"/>
    <cellStyle name="20% - Accent6 2 4" xfId="517"/>
    <cellStyle name="20% - Accent6 3" xfId="56"/>
    <cellStyle name="20% - Accent6 3 2" xfId="57"/>
    <cellStyle name="20% - Accent6 3 2 2" xfId="521"/>
    <cellStyle name="20% - Accent6 3 3" xfId="58"/>
    <cellStyle name="20% - Accent6 3 3 2" xfId="522"/>
    <cellStyle name="20% - Accent6 3 4" xfId="520"/>
    <cellStyle name="20% - Accent6 4" xfId="59"/>
    <cellStyle name="20% - Accent6 4 2" xfId="60"/>
    <cellStyle name="20% - Accent6 4 2 2" xfId="524"/>
    <cellStyle name="20% - Accent6 4 3" xfId="523"/>
    <cellStyle name="20% - Accent6 5" xfId="61"/>
    <cellStyle name="20% - Accent6 5 2" xfId="525"/>
    <cellStyle name="20% - Accent6 6" xfId="62"/>
    <cellStyle name="20% - Accent6 6 2" xfId="526"/>
    <cellStyle name="40% - Accent1 2" xfId="63"/>
    <cellStyle name="40% - Accent1 2 2" xfId="64"/>
    <cellStyle name="40% - Accent1 2 2 2" xfId="528"/>
    <cellStyle name="40% - Accent1 2 3" xfId="65"/>
    <cellStyle name="40% - Accent1 2 3 2" xfId="529"/>
    <cellStyle name="40% - Accent1 2 4" xfId="527"/>
    <cellStyle name="40% - Accent1 3" xfId="66"/>
    <cellStyle name="40% - Accent1 3 2" xfId="67"/>
    <cellStyle name="40% - Accent1 3 2 2" xfId="531"/>
    <cellStyle name="40% - Accent1 3 3" xfId="68"/>
    <cellStyle name="40% - Accent1 3 3 2" xfId="532"/>
    <cellStyle name="40% - Accent1 3 4" xfId="530"/>
    <cellStyle name="40% - Accent1 4" xfId="69"/>
    <cellStyle name="40% - Accent1 4 2" xfId="70"/>
    <cellStyle name="40% - Accent1 4 2 2" xfId="534"/>
    <cellStyle name="40% - Accent1 4 3" xfId="533"/>
    <cellStyle name="40% - Accent1 5" xfId="71"/>
    <cellStyle name="40% - Accent1 5 2" xfId="535"/>
    <cellStyle name="40% - Accent1 6" xfId="72"/>
    <cellStyle name="40% - Accent1 6 2" xfId="536"/>
    <cellStyle name="40% - Accent2 2" xfId="73"/>
    <cellStyle name="40% - Accent2 2 2" xfId="74"/>
    <cellStyle name="40% - Accent2 2 2 2" xfId="538"/>
    <cellStyle name="40% - Accent2 2 3" xfId="75"/>
    <cellStyle name="40% - Accent2 2 3 2" xfId="539"/>
    <cellStyle name="40% - Accent2 2 4" xfId="537"/>
    <cellStyle name="40% - Accent2 3" xfId="76"/>
    <cellStyle name="40% - Accent2 3 2" xfId="77"/>
    <cellStyle name="40% - Accent2 3 2 2" xfId="541"/>
    <cellStyle name="40% - Accent2 3 3" xfId="78"/>
    <cellStyle name="40% - Accent2 3 3 2" xfId="542"/>
    <cellStyle name="40% - Accent2 3 4" xfId="540"/>
    <cellStyle name="40% - Accent2 4" xfId="79"/>
    <cellStyle name="40% - Accent2 4 2" xfId="80"/>
    <cellStyle name="40% - Accent2 4 2 2" xfId="544"/>
    <cellStyle name="40% - Accent2 4 3" xfId="543"/>
    <cellStyle name="40% - Accent2 5" xfId="81"/>
    <cellStyle name="40% - Accent2 5 2" xfId="545"/>
    <cellStyle name="40% - Accent2 6" xfId="82"/>
    <cellStyle name="40% - Accent2 6 2" xfId="546"/>
    <cellStyle name="40% - Accent3 2" xfId="83"/>
    <cellStyle name="40% - Accent3 2 2" xfId="84"/>
    <cellStyle name="40% - Accent3 2 2 2" xfId="548"/>
    <cellStyle name="40% - Accent3 2 3" xfId="85"/>
    <cellStyle name="40% - Accent3 2 3 2" xfId="549"/>
    <cellStyle name="40% - Accent3 2 4" xfId="547"/>
    <cellStyle name="40% - Accent3 3" xfId="86"/>
    <cellStyle name="40% - Accent3 3 2" xfId="87"/>
    <cellStyle name="40% - Accent3 3 2 2" xfId="551"/>
    <cellStyle name="40% - Accent3 3 3" xfId="88"/>
    <cellStyle name="40% - Accent3 3 3 2" xfId="552"/>
    <cellStyle name="40% - Accent3 3 4" xfId="550"/>
    <cellStyle name="40% - Accent3 4" xfId="89"/>
    <cellStyle name="40% - Accent3 4 2" xfId="90"/>
    <cellStyle name="40% - Accent3 4 2 2" xfId="554"/>
    <cellStyle name="40% - Accent3 4 3" xfId="553"/>
    <cellStyle name="40% - Accent3 5" xfId="91"/>
    <cellStyle name="40% - Accent3 5 2" xfId="555"/>
    <cellStyle name="40% - Accent3 6" xfId="92"/>
    <cellStyle name="40% - Accent3 6 2" xfId="556"/>
    <cellStyle name="40% - Accent4 2" xfId="93"/>
    <cellStyle name="40% - Accent4 2 2" xfId="94"/>
    <cellStyle name="40% - Accent4 2 2 2" xfId="558"/>
    <cellStyle name="40% - Accent4 2 3" xfId="95"/>
    <cellStyle name="40% - Accent4 2 3 2" xfId="559"/>
    <cellStyle name="40% - Accent4 2 4" xfId="557"/>
    <cellStyle name="40% - Accent4 3" xfId="96"/>
    <cellStyle name="40% - Accent4 3 2" xfId="97"/>
    <cellStyle name="40% - Accent4 3 2 2" xfId="561"/>
    <cellStyle name="40% - Accent4 3 3" xfId="98"/>
    <cellStyle name="40% - Accent4 3 3 2" xfId="562"/>
    <cellStyle name="40% - Accent4 3 4" xfId="560"/>
    <cellStyle name="40% - Accent4 4" xfId="99"/>
    <cellStyle name="40% - Accent4 4 2" xfId="100"/>
    <cellStyle name="40% - Accent4 4 2 2" xfId="564"/>
    <cellStyle name="40% - Accent4 4 3" xfId="563"/>
    <cellStyle name="40% - Accent4 5" xfId="101"/>
    <cellStyle name="40% - Accent4 5 2" xfId="565"/>
    <cellStyle name="40% - Accent4 6" xfId="102"/>
    <cellStyle name="40% - Accent4 6 2" xfId="566"/>
    <cellStyle name="40% - Accent5 2" xfId="103"/>
    <cellStyle name="40% - Accent5 2 2" xfId="104"/>
    <cellStyle name="40% - Accent5 2 2 2" xfId="568"/>
    <cellStyle name="40% - Accent5 2 3" xfId="105"/>
    <cellStyle name="40% - Accent5 2 3 2" xfId="569"/>
    <cellStyle name="40% - Accent5 2 4" xfId="567"/>
    <cellStyle name="40% - Accent5 3" xfId="106"/>
    <cellStyle name="40% - Accent5 3 2" xfId="107"/>
    <cellStyle name="40% - Accent5 3 2 2" xfId="571"/>
    <cellStyle name="40% - Accent5 3 3" xfId="108"/>
    <cellStyle name="40% - Accent5 3 3 2" xfId="572"/>
    <cellStyle name="40% - Accent5 3 4" xfId="570"/>
    <cellStyle name="40% - Accent5 4" xfId="109"/>
    <cellStyle name="40% - Accent5 4 2" xfId="110"/>
    <cellStyle name="40% - Accent5 4 2 2" xfId="574"/>
    <cellStyle name="40% - Accent5 4 3" xfId="573"/>
    <cellStyle name="40% - Accent5 5" xfId="111"/>
    <cellStyle name="40% - Accent5 5 2" xfId="575"/>
    <cellStyle name="40% - Accent5 6" xfId="112"/>
    <cellStyle name="40% - Accent5 6 2" xfId="576"/>
    <cellStyle name="40% - Accent6 2" xfId="113"/>
    <cellStyle name="40% - Accent6 2 2" xfId="114"/>
    <cellStyle name="40% - Accent6 2 2 2" xfId="578"/>
    <cellStyle name="40% - Accent6 2 3" xfId="115"/>
    <cellStyle name="40% - Accent6 2 3 2" xfId="579"/>
    <cellStyle name="40% - Accent6 2 4" xfId="577"/>
    <cellStyle name="40% - Accent6 3" xfId="116"/>
    <cellStyle name="40% - Accent6 3 2" xfId="117"/>
    <cellStyle name="40% - Accent6 3 2 2" xfId="581"/>
    <cellStyle name="40% - Accent6 3 3" xfId="118"/>
    <cellStyle name="40% - Accent6 3 3 2" xfId="582"/>
    <cellStyle name="40% - Accent6 3 4" xfId="580"/>
    <cellStyle name="40% - Accent6 4" xfId="119"/>
    <cellStyle name="40% - Accent6 4 2" xfId="120"/>
    <cellStyle name="40% - Accent6 4 2 2" xfId="584"/>
    <cellStyle name="40% - Accent6 4 3" xfId="583"/>
    <cellStyle name="40% - Accent6 5" xfId="121"/>
    <cellStyle name="40% - Accent6 5 2" xfId="585"/>
    <cellStyle name="40% - Accent6 6" xfId="122"/>
    <cellStyle name="40% - Accent6 6 2" xfId="586"/>
    <cellStyle name="60% - Accent1 2" xfId="123"/>
    <cellStyle name="60% - Accent1 2 2" xfId="124"/>
    <cellStyle name="60% - Accent1 2 2 2" xfId="588"/>
    <cellStyle name="60% - Accent1 2 3" xfId="125"/>
    <cellStyle name="60% - Accent1 2 3 2" xfId="589"/>
    <cellStyle name="60% - Accent1 2 4" xfId="587"/>
    <cellStyle name="60% - Accent1 3" xfId="126"/>
    <cellStyle name="60% - Accent1 3 2" xfId="127"/>
    <cellStyle name="60% - Accent1 3 2 2" xfId="591"/>
    <cellStyle name="60% - Accent1 3 3" xfId="128"/>
    <cellStyle name="60% - Accent1 3 3 2" xfId="592"/>
    <cellStyle name="60% - Accent1 3 4" xfId="590"/>
    <cellStyle name="60% - Accent1 4" xfId="129"/>
    <cellStyle name="60% - Accent1 4 2" xfId="130"/>
    <cellStyle name="60% - Accent1 4 2 2" xfId="594"/>
    <cellStyle name="60% - Accent1 4 3" xfId="593"/>
    <cellStyle name="60% - Accent1 5" xfId="131"/>
    <cellStyle name="60% - Accent1 5 2" xfId="595"/>
    <cellStyle name="60% - Accent1 6" xfId="132"/>
    <cellStyle name="60% - Accent1 6 2" xfId="596"/>
    <cellStyle name="60% - Accent2 2" xfId="133"/>
    <cellStyle name="60% - Accent2 2 2" xfId="134"/>
    <cellStyle name="60% - Accent2 2 2 2" xfId="598"/>
    <cellStyle name="60% - Accent2 2 3" xfId="135"/>
    <cellStyle name="60% - Accent2 2 3 2" xfId="599"/>
    <cellStyle name="60% - Accent2 2 4" xfId="597"/>
    <cellStyle name="60% - Accent2 3" xfId="136"/>
    <cellStyle name="60% - Accent2 3 2" xfId="137"/>
    <cellStyle name="60% - Accent2 3 2 2" xfId="601"/>
    <cellStyle name="60% - Accent2 3 3" xfId="138"/>
    <cellStyle name="60% - Accent2 3 3 2" xfId="602"/>
    <cellStyle name="60% - Accent2 3 4" xfId="600"/>
    <cellStyle name="60% - Accent2 4" xfId="139"/>
    <cellStyle name="60% - Accent2 4 2" xfId="140"/>
    <cellStyle name="60% - Accent2 4 2 2" xfId="604"/>
    <cellStyle name="60% - Accent2 4 3" xfId="603"/>
    <cellStyle name="60% - Accent2 5" xfId="141"/>
    <cellStyle name="60% - Accent2 5 2" xfId="605"/>
    <cellStyle name="60% - Accent2 6" xfId="142"/>
    <cellStyle name="60% - Accent2 6 2" xfId="606"/>
    <cellStyle name="60% - Accent3 2" xfId="143"/>
    <cellStyle name="60% - Accent3 2 2" xfId="144"/>
    <cellStyle name="60% - Accent3 2 2 2" xfId="608"/>
    <cellStyle name="60% - Accent3 2 3" xfId="145"/>
    <cellStyle name="60% - Accent3 2 3 2" xfId="609"/>
    <cellStyle name="60% - Accent3 2 4" xfId="607"/>
    <cellStyle name="60% - Accent3 3" xfId="146"/>
    <cellStyle name="60% - Accent3 3 2" xfId="147"/>
    <cellStyle name="60% - Accent3 3 2 2" xfId="611"/>
    <cellStyle name="60% - Accent3 3 3" xfId="148"/>
    <cellStyle name="60% - Accent3 3 3 2" xfId="612"/>
    <cellStyle name="60% - Accent3 3 4" xfId="610"/>
    <cellStyle name="60% - Accent3 4" xfId="149"/>
    <cellStyle name="60% - Accent3 4 2" xfId="150"/>
    <cellStyle name="60% - Accent3 4 2 2" xfId="614"/>
    <cellStyle name="60% - Accent3 4 3" xfId="613"/>
    <cellStyle name="60% - Accent3 5" xfId="151"/>
    <cellStyle name="60% - Accent3 5 2" xfId="615"/>
    <cellStyle name="60% - Accent3 6" xfId="152"/>
    <cellStyle name="60% - Accent3 6 2" xfId="616"/>
    <cellStyle name="60% - Accent4 2" xfId="153"/>
    <cellStyle name="60% - Accent4 2 2" xfId="154"/>
    <cellStyle name="60% - Accent4 2 2 2" xfId="618"/>
    <cellStyle name="60% - Accent4 2 3" xfId="155"/>
    <cellStyle name="60% - Accent4 2 3 2" xfId="619"/>
    <cellStyle name="60% - Accent4 2 4" xfId="617"/>
    <cellStyle name="60% - Accent4 3" xfId="156"/>
    <cellStyle name="60% - Accent4 3 2" xfId="157"/>
    <cellStyle name="60% - Accent4 3 2 2" xfId="621"/>
    <cellStyle name="60% - Accent4 3 3" xfId="158"/>
    <cellStyle name="60% - Accent4 3 3 2" xfId="622"/>
    <cellStyle name="60% - Accent4 3 4" xfId="620"/>
    <cellStyle name="60% - Accent4 4" xfId="159"/>
    <cellStyle name="60% - Accent4 4 2" xfId="160"/>
    <cellStyle name="60% - Accent4 4 2 2" xfId="624"/>
    <cellStyle name="60% - Accent4 4 3" xfId="623"/>
    <cellStyle name="60% - Accent4 5" xfId="161"/>
    <cellStyle name="60% - Accent4 5 2" xfId="625"/>
    <cellStyle name="60% - Accent4 6" xfId="162"/>
    <cellStyle name="60% - Accent4 6 2" xfId="626"/>
    <cellStyle name="60% - Accent5 2" xfId="163"/>
    <cellStyle name="60% - Accent5 2 2" xfId="164"/>
    <cellStyle name="60% - Accent5 2 2 2" xfId="628"/>
    <cellStyle name="60% - Accent5 2 3" xfId="165"/>
    <cellStyle name="60% - Accent5 2 3 2" xfId="629"/>
    <cellStyle name="60% - Accent5 2 4" xfId="627"/>
    <cellStyle name="60% - Accent5 3" xfId="166"/>
    <cellStyle name="60% - Accent5 3 2" xfId="167"/>
    <cellStyle name="60% - Accent5 3 2 2" xfId="631"/>
    <cellStyle name="60% - Accent5 3 3" xfId="168"/>
    <cellStyle name="60% - Accent5 3 3 2" xfId="632"/>
    <cellStyle name="60% - Accent5 3 4" xfId="630"/>
    <cellStyle name="60% - Accent5 4" xfId="169"/>
    <cellStyle name="60% - Accent5 4 2" xfId="170"/>
    <cellStyle name="60% - Accent5 4 2 2" xfId="634"/>
    <cellStyle name="60% - Accent5 4 3" xfId="633"/>
    <cellStyle name="60% - Accent5 5" xfId="171"/>
    <cellStyle name="60% - Accent5 5 2" xfId="635"/>
    <cellStyle name="60% - Accent5 6" xfId="172"/>
    <cellStyle name="60% - Accent5 6 2" xfId="636"/>
    <cellStyle name="60% - Accent6 2" xfId="173"/>
    <cellStyle name="60% - Accent6 2 2" xfId="174"/>
    <cellStyle name="60% - Accent6 2 2 2" xfId="638"/>
    <cellStyle name="60% - Accent6 2 3" xfId="175"/>
    <cellStyle name="60% - Accent6 2 3 2" xfId="639"/>
    <cellStyle name="60% - Accent6 2 4" xfId="637"/>
    <cellStyle name="60% - Accent6 3" xfId="176"/>
    <cellStyle name="60% - Accent6 3 2" xfId="177"/>
    <cellStyle name="60% - Accent6 3 2 2" xfId="641"/>
    <cellStyle name="60% - Accent6 3 3" xfId="178"/>
    <cellStyle name="60% - Accent6 3 3 2" xfId="642"/>
    <cellStyle name="60% - Accent6 3 4" xfId="640"/>
    <cellStyle name="60% - Accent6 4" xfId="179"/>
    <cellStyle name="60% - Accent6 4 2" xfId="180"/>
    <cellStyle name="60% - Accent6 4 2 2" xfId="644"/>
    <cellStyle name="60% - Accent6 4 3" xfId="643"/>
    <cellStyle name="60% - Accent6 5" xfId="181"/>
    <cellStyle name="60% - Accent6 5 2" xfId="645"/>
    <cellStyle name="60% - Accent6 6" xfId="182"/>
    <cellStyle name="60% - Accent6 6 2" xfId="646"/>
    <cellStyle name="Comma" xfId="1" builtinId="3"/>
    <cellStyle name="Comma 10" xfId="183"/>
    <cellStyle name="Comma 10 13" xfId="184"/>
    <cellStyle name="Comma 10 13 2" xfId="647"/>
    <cellStyle name="Comma 11" xfId="185"/>
    <cellStyle name="Comma 12" xfId="186"/>
    <cellStyle name="Comma 12 2" xfId="187"/>
    <cellStyle name="Comma 12 2 2" xfId="649"/>
    <cellStyle name="Comma 12 3" xfId="188"/>
    <cellStyle name="Comma 12 3 2" xfId="650"/>
    <cellStyle name="Comma 12 4" xfId="648"/>
    <cellStyle name="Comma 13" xfId="189"/>
    <cellStyle name="Comma 13 2" xfId="190"/>
    <cellStyle name="Comma 13 2 2" xfId="652"/>
    <cellStyle name="Comma 13 3" xfId="191"/>
    <cellStyle name="Comma 13 3 2" xfId="653"/>
    <cellStyle name="Comma 13 4" xfId="651"/>
    <cellStyle name="Comma 14" xfId="192"/>
    <cellStyle name="Comma 15" xfId="193"/>
    <cellStyle name="Comma 15 2" xfId="194"/>
    <cellStyle name="Comma 15 2 2" xfId="655"/>
    <cellStyle name="Comma 15 3" xfId="195"/>
    <cellStyle name="Comma 15 3 2" xfId="656"/>
    <cellStyle name="Comma 15 4" xfId="654"/>
    <cellStyle name="Comma 16" xfId="196"/>
    <cellStyle name="Comma 16 2" xfId="197"/>
    <cellStyle name="Comma 16 2 2" xfId="658"/>
    <cellStyle name="Comma 16 3" xfId="198"/>
    <cellStyle name="Comma 16 3 2" xfId="659"/>
    <cellStyle name="Comma 16 4" xfId="657"/>
    <cellStyle name="Comma 17" xfId="199"/>
    <cellStyle name="Comma 17 2" xfId="660"/>
    <cellStyle name="Comma 18" xfId="200"/>
    <cellStyle name="Comma 19" xfId="465"/>
    <cellStyle name="Comma 2" xfId="201"/>
    <cellStyle name="Comma 2 10" xfId="202"/>
    <cellStyle name="Comma 2 10 2" xfId="203"/>
    <cellStyle name="Comma 2 11" xfId="204"/>
    <cellStyle name="Comma 2 11 2" xfId="205"/>
    <cellStyle name="Comma 2 12" xfId="206"/>
    <cellStyle name="Comma 2 13" xfId="207"/>
    <cellStyle name="Comma 2 14" xfId="661"/>
    <cellStyle name="Comma 2 2" xfId="208"/>
    <cellStyle name="Comma 2 2 2" xfId="209"/>
    <cellStyle name="Comma 2 2 2 2" xfId="210"/>
    <cellStyle name="Comma 2 2 2 2 2" xfId="211"/>
    <cellStyle name="Comma 2 2 2 2 3" xfId="212"/>
    <cellStyle name="Comma 2 2 2 3" xfId="213"/>
    <cellStyle name="Comma 2 3" xfId="214"/>
    <cellStyle name="Comma 2 3 2" xfId="215"/>
    <cellStyle name="Comma 2 4" xfId="216"/>
    <cellStyle name="Comma 2 4 2" xfId="217"/>
    <cellStyle name="Comma 2 5" xfId="218"/>
    <cellStyle name="Comma 2 5 2" xfId="219"/>
    <cellStyle name="Comma 2 6" xfId="220"/>
    <cellStyle name="Comma 2 6 2" xfId="221"/>
    <cellStyle name="Comma 2 7" xfId="222"/>
    <cellStyle name="Comma 2 7 2" xfId="223"/>
    <cellStyle name="Comma 2 8" xfId="224"/>
    <cellStyle name="Comma 2 8 2" xfId="225"/>
    <cellStyle name="Comma 2 9" xfId="226"/>
    <cellStyle name="Comma 2 9 2" xfId="227"/>
    <cellStyle name="Comma 3" xfId="228"/>
    <cellStyle name="Comma 3 2" xfId="229"/>
    <cellStyle name="Comma 3 2 2" xfId="230"/>
    <cellStyle name="Comma 3 2 2 2" xfId="664"/>
    <cellStyle name="Comma 3 2 3" xfId="663"/>
    <cellStyle name="Comma 3 3" xfId="231"/>
    <cellStyle name="Comma 3 3 2" xfId="665"/>
    <cellStyle name="Comma 3 4" xfId="232"/>
    <cellStyle name="Comma 3 4 2" xfId="666"/>
    <cellStyle name="Comma 3 4 3" xfId="233"/>
    <cellStyle name="Comma 3 4 3 2" xfId="667"/>
    <cellStyle name="Comma 3 4 4" xfId="234"/>
    <cellStyle name="Comma 3 4 4 2" xfId="668"/>
    <cellStyle name="Comma 3 5" xfId="662"/>
    <cellStyle name="Comma 4" xfId="235"/>
    <cellStyle name="Comma 4 2" xfId="236"/>
    <cellStyle name="Comma 4 3" xfId="237"/>
    <cellStyle name="Comma 5" xfId="238"/>
    <cellStyle name="Comma 6" xfId="239"/>
    <cellStyle name="Comma 7" xfId="240"/>
    <cellStyle name="Comma 8" xfId="241"/>
    <cellStyle name="Comma 8 2" xfId="242"/>
    <cellStyle name="Comma 9" xfId="243"/>
    <cellStyle name="Currency" xfId="2" builtinId="4"/>
    <cellStyle name="Currency 2" xfId="466"/>
    <cellStyle name="Neutral 2" xfId="244"/>
    <cellStyle name="Normal" xfId="0" builtinId="0"/>
    <cellStyle name="Normal - Style1" xfId="245"/>
    <cellStyle name="Normal 10" xfId="246"/>
    <cellStyle name="Normal 10 2" xfId="247"/>
    <cellStyle name="Normal 10 2 2" xfId="670"/>
    <cellStyle name="Normal 10 3" xfId="248"/>
    <cellStyle name="Normal 10 3 2" xfId="671"/>
    <cellStyle name="Normal 10 4" xfId="669"/>
    <cellStyle name="Normal 11" xfId="249"/>
    <cellStyle name="Normal 11 2" xfId="250"/>
    <cellStyle name="Normal 11 2 2" xfId="673"/>
    <cellStyle name="Normal 11 3" xfId="251"/>
    <cellStyle name="Normal 11 3 2" xfId="674"/>
    <cellStyle name="Normal 11 4" xfId="672"/>
    <cellStyle name="Normal 12" xfId="252"/>
    <cellStyle name="Normal 12 2" xfId="253"/>
    <cellStyle name="Normal 12 2 2" xfId="254"/>
    <cellStyle name="Normal 12 2 2 2" xfId="677"/>
    <cellStyle name="Normal 12 2 3" xfId="255"/>
    <cellStyle name="Normal 12 2 3 2" xfId="678"/>
    <cellStyle name="Normal 12 2 4" xfId="676"/>
    <cellStyle name="Normal 12 3" xfId="256"/>
    <cellStyle name="Normal 12 3 2" xfId="679"/>
    <cellStyle name="Normal 12 4" xfId="257"/>
    <cellStyle name="Normal 12 4 2" xfId="680"/>
    <cellStyle name="Normal 12 5" xfId="675"/>
    <cellStyle name="Normal 13" xfId="258"/>
    <cellStyle name="Normal 13 2" xfId="259"/>
    <cellStyle name="Normal 13 2 2" xfId="682"/>
    <cellStyle name="Normal 13 3" xfId="260"/>
    <cellStyle name="Normal 13 3 2" xfId="683"/>
    <cellStyle name="Normal 13 4" xfId="681"/>
    <cellStyle name="Normal 14" xfId="261"/>
    <cellStyle name="Normal 14 2" xfId="262"/>
    <cellStyle name="Normal 15" xfId="263"/>
    <cellStyle name="Normal 15 2" xfId="264"/>
    <cellStyle name="Normal 15 2 2" xfId="685"/>
    <cellStyle name="Normal 15 3" xfId="265"/>
    <cellStyle name="Normal 15 3 2" xfId="686"/>
    <cellStyle name="Normal 15 4" xfId="684"/>
    <cellStyle name="Normal 16" xfId="266"/>
    <cellStyle name="Normal 16 2" xfId="267"/>
    <cellStyle name="Normal 16 2 2" xfId="688"/>
    <cellStyle name="Normal 16 3" xfId="268"/>
    <cellStyle name="Normal 16 3 2" xfId="689"/>
    <cellStyle name="Normal 16 4" xfId="687"/>
    <cellStyle name="Normal 17" xfId="269"/>
    <cellStyle name="Normal 17 2" xfId="270"/>
    <cellStyle name="Normal 17 2 2" xfId="691"/>
    <cellStyle name="Normal 17 3" xfId="271"/>
    <cellStyle name="Normal 17 3 2" xfId="692"/>
    <cellStyle name="Normal 17 4" xfId="690"/>
    <cellStyle name="Normal 18" xfId="272"/>
    <cellStyle name="Normal 18 2" xfId="273"/>
    <cellStyle name="Normal 18 2 2" xfId="694"/>
    <cellStyle name="Normal 18 3" xfId="274"/>
    <cellStyle name="Normal 18 3 2" xfId="695"/>
    <cellStyle name="Normal 18 4" xfId="693"/>
    <cellStyle name="Normal 19" xfId="275"/>
    <cellStyle name="Normal 19 2" xfId="276"/>
    <cellStyle name="Normal 19 2 2" xfId="697"/>
    <cellStyle name="Normal 19 3" xfId="277"/>
    <cellStyle name="Normal 19 3 2" xfId="698"/>
    <cellStyle name="Normal 19 4" xfId="696"/>
    <cellStyle name="Normal 2" xfId="278"/>
    <cellStyle name="Normal 2 2" xfId="279"/>
    <cellStyle name="Normal 2 2 2" xfId="280"/>
    <cellStyle name="Normal 2 3" xfId="281"/>
    <cellStyle name="Normal 2 4" xfId="282"/>
    <cellStyle name="Normal 2 5" xfId="283"/>
    <cellStyle name="Normal 2 6" xfId="284"/>
    <cellStyle name="Normal 20" xfId="285"/>
    <cellStyle name="Normal 20 2" xfId="286"/>
    <cellStyle name="Normal 20 2 2" xfId="700"/>
    <cellStyle name="Normal 20 3" xfId="287"/>
    <cellStyle name="Normal 20 3 2" xfId="701"/>
    <cellStyle name="Normal 20 4" xfId="699"/>
    <cellStyle name="Normal 21" xfId="288"/>
    <cellStyle name="Normal 21 2" xfId="289"/>
    <cellStyle name="Normal 21 2 2" xfId="703"/>
    <cellStyle name="Normal 21 3" xfId="290"/>
    <cellStyle name="Normal 21 3 2" xfId="704"/>
    <cellStyle name="Normal 21 4" xfId="702"/>
    <cellStyle name="Normal 22" xfId="291"/>
    <cellStyle name="Normal 22 2" xfId="292"/>
    <cellStyle name="Normal 22 2 2" xfId="706"/>
    <cellStyle name="Normal 22 3" xfId="293"/>
    <cellStyle name="Normal 22 3 2" xfId="707"/>
    <cellStyle name="Normal 22 4" xfId="705"/>
    <cellStyle name="Normal 23" xfId="294"/>
    <cellStyle name="Normal 23 2" xfId="295"/>
    <cellStyle name="Normal 23 2 2" xfId="709"/>
    <cellStyle name="Normal 23 3" xfId="296"/>
    <cellStyle name="Normal 23 3 2" xfId="710"/>
    <cellStyle name="Normal 23 4" xfId="708"/>
    <cellStyle name="Normal 24" xfId="297"/>
    <cellStyle name="Normal 24 2" xfId="298"/>
    <cellStyle name="Normal 24 2 2" xfId="712"/>
    <cellStyle name="Normal 24 3" xfId="299"/>
    <cellStyle name="Normal 24 3 2" xfId="713"/>
    <cellStyle name="Normal 24 4" xfId="711"/>
    <cellStyle name="Normal 25" xfId="300"/>
    <cellStyle name="Normal 25 2" xfId="301"/>
    <cellStyle name="Normal 25 2 2" xfId="715"/>
    <cellStyle name="Normal 25 3" xfId="302"/>
    <cellStyle name="Normal 25 3 2" xfId="716"/>
    <cellStyle name="Normal 25 4" xfId="714"/>
    <cellStyle name="Normal 26" xfId="303"/>
    <cellStyle name="Normal 26 2" xfId="304"/>
    <cellStyle name="Normal 26 2 2" xfId="718"/>
    <cellStyle name="Normal 26 3" xfId="305"/>
    <cellStyle name="Normal 26 3 2" xfId="719"/>
    <cellStyle name="Normal 26 4" xfId="717"/>
    <cellStyle name="Normal 27" xfId="306"/>
    <cellStyle name="Normal 27 2" xfId="307"/>
    <cellStyle name="Normal 27 2 2" xfId="308"/>
    <cellStyle name="Normal 27 2 2 2" xfId="721"/>
    <cellStyle name="Normal 27 3" xfId="309"/>
    <cellStyle name="Normal 27 3 2" xfId="722"/>
    <cellStyle name="Normal 27 4" xfId="720"/>
    <cellStyle name="Normal 28" xfId="310"/>
    <cellStyle name="Normal 28 2" xfId="311"/>
    <cellStyle name="Normal 28 2 2" xfId="724"/>
    <cellStyle name="Normal 28 3" xfId="723"/>
    <cellStyle name="Normal 29" xfId="312"/>
    <cellStyle name="Normal 29 2" xfId="313"/>
    <cellStyle name="Normal 29 2 2" xfId="726"/>
    <cellStyle name="Normal 29 3" xfId="725"/>
    <cellStyle name="Normal 3" xfId="314"/>
    <cellStyle name="Normal 3 2" xfId="315"/>
    <cellStyle name="Normal 3 2 2" xfId="316"/>
    <cellStyle name="Normal 3 2 2 2" xfId="729"/>
    <cellStyle name="Normal 3 2 3" xfId="317"/>
    <cellStyle name="Normal 3 2 3 2" xfId="730"/>
    <cellStyle name="Normal 3 2 4" xfId="728"/>
    <cellStyle name="Normal 3 3" xfId="318"/>
    <cellStyle name="Normal 3 3 2" xfId="731"/>
    <cellStyle name="Normal 3 4" xfId="319"/>
    <cellStyle name="Normal 3 4 2" xfId="732"/>
    <cellStyle name="Normal 3 5" xfId="727"/>
    <cellStyle name="Normal 30" xfId="320"/>
    <cellStyle name="Normal 30 2" xfId="321"/>
    <cellStyle name="Normal 30 2 2" xfId="734"/>
    <cellStyle name="Normal 30 3" xfId="733"/>
    <cellStyle name="Normal 31" xfId="322"/>
    <cellStyle name="Normal 31 2" xfId="323"/>
    <cellStyle name="Normal 31 2 2" xfId="736"/>
    <cellStyle name="Normal 31 3" xfId="735"/>
    <cellStyle name="Normal 32" xfId="324"/>
    <cellStyle name="Normal 32 2" xfId="325"/>
    <cellStyle name="Normal 32 2 2" xfId="738"/>
    <cellStyle name="Normal 32 3" xfId="737"/>
    <cellStyle name="Normal 33" xfId="326"/>
    <cellStyle name="Normal 33 2" xfId="327"/>
    <cellStyle name="Normal 33 2 2" xfId="740"/>
    <cellStyle name="Normal 33 3" xfId="739"/>
    <cellStyle name="Normal 34" xfId="328"/>
    <cellStyle name="Normal 34 2" xfId="329"/>
    <cellStyle name="Normal 34 2 2" xfId="742"/>
    <cellStyle name="Normal 34 3" xfId="741"/>
    <cellStyle name="Normal 35" xfId="330"/>
    <cellStyle name="Normal 35 2" xfId="331"/>
    <cellStyle name="Normal 35 2 2" xfId="744"/>
    <cellStyle name="Normal 35 3" xfId="743"/>
    <cellStyle name="Normal 36" xfId="332"/>
    <cellStyle name="Normal 36 2" xfId="333"/>
    <cellStyle name="Normal 36 2 2" xfId="746"/>
    <cellStyle name="Normal 36 3" xfId="745"/>
    <cellStyle name="Normal 37" xfId="334"/>
    <cellStyle name="Normal 37 2" xfId="335"/>
    <cellStyle name="Normal 37 2 2" xfId="748"/>
    <cellStyle name="Normal 37 3" xfId="747"/>
    <cellStyle name="Normal 38" xfId="336"/>
    <cellStyle name="Normal 38 2" xfId="337"/>
    <cellStyle name="Normal 38 2 2" xfId="750"/>
    <cellStyle name="Normal 38 3" xfId="749"/>
    <cellStyle name="Normal 39" xfId="338"/>
    <cellStyle name="Normal 39 2" xfId="339"/>
    <cellStyle name="Normal 39 2 2" xfId="752"/>
    <cellStyle name="Normal 39 3" xfId="751"/>
    <cellStyle name="Normal 4" xfId="340"/>
    <cellStyle name="Normal 4 2" xfId="341"/>
    <cellStyle name="Normal 40" xfId="342"/>
    <cellStyle name="Normal 40 2" xfId="343"/>
    <cellStyle name="Normal 40 2 2" xfId="754"/>
    <cellStyle name="Normal 40 3" xfId="753"/>
    <cellStyle name="Normal 41" xfId="344"/>
    <cellStyle name="Normal 41 2" xfId="345"/>
    <cellStyle name="Normal 41 2 2" xfId="756"/>
    <cellStyle name="Normal 41 3" xfId="755"/>
    <cellStyle name="Normal 42" xfId="346"/>
    <cellStyle name="Normal 42 2" xfId="347"/>
    <cellStyle name="Normal 42 2 2" xfId="758"/>
    <cellStyle name="Normal 42 3" xfId="757"/>
    <cellStyle name="Normal 43" xfId="348"/>
    <cellStyle name="Normal 43 2" xfId="349"/>
    <cellStyle name="Normal 43 2 2" xfId="760"/>
    <cellStyle name="Normal 43 3" xfId="759"/>
    <cellStyle name="Normal 44" xfId="350"/>
    <cellStyle name="Normal 44 2" xfId="351"/>
    <cellStyle name="Normal 44 2 2" xfId="762"/>
    <cellStyle name="Normal 44 3" xfId="761"/>
    <cellStyle name="Normal 45" xfId="352"/>
    <cellStyle name="Normal 45 2" xfId="353"/>
    <cellStyle name="Normal 45 2 2" xfId="764"/>
    <cellStyle name="Normal 45 3" xfId="763"/>
    <cellStyle name="Normal 46" xfId="354"/>
    <cellStyle name="Normal 46 2" xfId="355"/>
    <cellStyle name="Normal 46 2 2" xfId="766"/>
    <cellStyle name="Normal 46 3" xfId="765"/>
    <cellStyle name="Normal 47" xfId="356"/>
    <cellStyle name="Normal 47 2" xfId="357"/>
    <cellStyle name="Normal 47 2 2" xfId="768"/>
    <cellStyle name="Normal 47 3" xfId="767"/>
    <cellStyle name="Normal 48" xfId="358"/>
    <cellStyle name="Normal 48 2" xfId="359"/>
    <cellStyle name="Normal 48 2 2" xfId="770"/>
    <cellStyle name="Normal 48 3" xfId="769"/>
    <cellStyle name="Normal 49" xfId="360"/>
    <cellStyle name="Normal 49 2" xfId="361"/>
    <cellStyle name="Normal 49 2 2" xfId="772"/>
    <cellStyle name="Normal 49 3" xfId="771"/>
    <cellStyle name="Normal 5" xfId="362"/>
    <cellStyle name="Normal 50" xfId="363"/>
    <cellStyle name="Normal 50 2" xfId="364"/>
    <cellStyle name="Normal 50 2 2" xfId="774"/>
    <cellStyle name="Normal 50 3" xfId="773"/>
    <cellStyle name="Normal 51" xfId="365"/>
    <cellStyle name="Normal 51 2" xfId="366"/>
    <cellStyle name="Normal 51 2 2" xfId="776"/>
    <cellStyle name="Normal 51 3" xfId="775"/>
    <cellStyle name="Normal 52" xfId="367"/>
    <cellStyle name="Normal 52 2" xfId="368"/>
    <cellStyle name="Normal 52 2 2" xfId="778"/>
    <cellStyle name="Normal 52 3" xfId="777"/>
    <cellStyle name="Normal 53" xfId="369"/>
    <cellStyle name="Normal 53 2" xfId="370"/>
    <cellStyle name="Normal 53 2 2" xfId="780"/>
    <cellStyle name="Normal 53 3" xfId="779"/>
    <cellStyle name="Normal 54" xfId="371"/>
    <cellStyle name="Normal 54 2" xfId="372"/>
    <cellStyle name="Normal 54 2 2" xfId="782"/>
    <cellStyle name="Normal 54 3" xfId="781"/>
    <cellStyle name="Normal 55" xfId="373"/>
    <cellStyle name="Normal 55 2" xfId="374"/>
    <cellStyle name="Normal 55 2 2" xfId="784"/>
    <cellStyle name="Normal 55 3" xfId="783"/>
    <cellStyle name="Normal 56" xfId="375"/>
    <cellStyle name="Normal 56 2" xfId="376"/>
    <cellStyle name="Normal 56 2 2" xfId="786"/>
    <cellStyle name="Normal 56 3" xfId="785"/>
    <cellStyle name="Normal 57" xfId="377"/>
    <cellStyle name="Normal 57 2" xfId="378"/>
    <cellStyle name="Normal 57 2 2" xfId="788"/>
    <cellStyle name="Normal 57 3" xfId="787"/>
    <cellStyle name="Normal 58" xfId="379"/>
    <cellStyle name="Normal 58 2" xfId="380"/>
    <cellStyle name="Normal 58 2 2" xfId="790"/>
    <cellStyle name="Normal 58 3" xfId="789"/>
    <cellStyle name="Normal 59" xfId="381"/>
    <cellStyle name="Normal 59 2" xfId="382"/>
    <cellStyle name="Normal 59 2 2" xfId="792"/>
    <cellStyle name="Normal 59 3" xfId="791"/>
    <cellStyle name="Normal 6" xfId="383"/>
    <cellStyle name="Normal 6 2" xfId="384"/>
    <cellStyle name="Normal 6 2 2" xfId="794"/>
    <cellStyle name="Normal 6 3" xfId="385"/>
    <cellStyle name="Normal 6 3 2" xfId="795"/>
    <cellStyle name="Normal 6 4" xfId="793"/>
    <cellStyle name="Normal 60" xfId="386"/>
    <cellStyle name="Normal 60 2" xfId="387"/>
    <cellStyle name="Normal 60 2 2" xfId="797"/>
    <cellStyle name="Normal 60 3" xfId="796"/>
    <cellStyle name="Normal 61" xfId="388"/>
    <cellStyle name="Normal 61 2" xfId="389"/>
    <cellStyle name="Normal 61 2 2" xfId="799"/>
    <cellStyle name="Normal 61 3" xfId="798"/>
    <cellStyle name="Normal 62" xfId="390"/>
    <cellStyle name="Normal 62 2" xfId="391"/>
    <cellStyle name="Normal 62 2 2" xfId="801"/>
    <cellStyle name="Normal 62 3" xfId="800"/>
    <cellStyle name="Normal 63" xfId="392"/>
    <cellStyle name="Normal 63 2" xfId="393"/>
    <cellStyle name="Normal 63 2 2" xfId="803"/>
    <cellStyle name="Normal 63 3" xfId="802"/>
    <cellStyle name="Normal 64" xfId="394"/>
    <cellStyle name="Normal 64 2" xfId="395"/>
    <cellStyle name="Normal 64 2 2" xfId="805"/>
    <cellStyle name="Normal 64 3" xfId="804"/>
    <cellStyle name="Normal 65" xfId="396"/>
    <cellStyle name="Normal 65 2" xfId="397"/>
    <cellStyle name="Normal 65 2 2" xfId="807"/>
    <cellStyle name="Normal 65 3" xfId="806"/>
    <cellStyle name="Normal 66" xfId="398"/>
    <cellStyle name="Normal 66 2" xfId="399"/>
    <cellStyle name="Normal 66 2 2" xfId="809"/>
    <cellStyle name="Normal 66 3" xfId="808"/>
    <cellStyle name="Normal 67" xfId="400"/>
    <cellStyle name="Normal 67 2" xfId="401"/>
    <cellStyle name="Normal 67 2 2" xfId="811"/>
    <cellStyle name="Normal 67 3" xfId="810"/>
    <cellStyle name="Normal 68" xfId="402"/>
    <cellStyle name="Normal 68 2" xfId="403"/>
    <cellStyle name="Normal 68 2 2" xfId="813"/>
    <cellStyle name="Normal 68 3" xfId="812"/>
    <cellStyle name="Normal 69" xfId="404"/>
    <cellStyle name="Normal 69 2" xfId="405"/>
    <cellStyle name="Normal 69 2 2" xfId="815"/>
    <cellStyle name="Normal 69 3" xfId="814"/>
    <cellStyle name="Normal 7" xfId="406"/>
    <cellStyle name="Normal 7 2" xfId="407"/>
    <cellStyle name="Normal 7 2 2" xfId="817"/>
    <cellStyle name="Normal 7 3" xfId="408"/>
    <cellStyle name="Normal 7 3 2" xfId="818"/>
    <cellStyle name="Normal 7 4" xfId="816"/>
    <cellStyle name="Normal 70" xfId="409"/>
    <cellStyle name="Normal 71" xfId="410"/>
    <cellStyle name="Normal 72" xfId="411"/>
    <cellStyle name="Normal 73" xfId="412"/>
    <cellStyle name="Normal 74" xfId="413"/>
    <cellStyle name="Normal 75" xfId="464"/>
    <cellStyle name="Normal 75 2" xfId="863"/>
    <cellStyle name="Normal 8" xfId="414"/>
    <cellStyle name="Normal 8 2" xfId="415"/>
    <cellStyle name="Normal 8 2 2" xfId="820"/>
    <cellStyle name="Normal 8 3" xfId="416"/>
    <cellStyle name="Normal 8 3 2" xfId="821"/>
    <cellStyle name="Normal 8 4" xfId="819"/>
    <cellStyle name="Normal 9" xfId="417"/>
    <cellStyle name="Normal 9 2" xfId="418"/>
    <cellStyle name="Normal 9 2 2" xfId="823"/>
    <cellStyle name="Normal 9 3" xfId="419"/>
    <cellStyle name="Normal 9 3 2" xfId="824"/>
    <cellStyle name="Normal 9 4" xfId="822"/>
    <cellStyle name="Note 10" xfId="420"/>
    <cellStyle name="Note 10 2" xfId="421"/>
    <cellStyle name="Note 10 2 2" xfId="826"/>
    <cellStyle name="Note 10 3" xfId="422"/>
    <cellStyle name="Note 10 3 2" xfId="827"/>
    <cellStyle name="Note 10 4" xfId="825"/>
    <cellStyle name="Note 11" xfId="423"/>
    <cellStyle name="Note 11 2" xfId="424"/>
    <cellStyle name="Note 11 2 2" xfId="829"/>
    <cellStyle name="Note 11 3" xfId="425"/>
    <cellStyle name="Note 11 3 2" xfId="830"/>
    <cellStyle name="Note 11 4" xfId="828"/>
    <cellStyle name="Note 12" xfId="426"/>
    <cellStyle name="Note 12 2" xfId="427"/>
    <cellStyle name="Note 12 2 2" xfId="832"/>
    <cellStyle name="Note 12 3" xfId="428"/>
    <cellStyle name="Note 12 3 2" xfId="833"/>
    <cellStyle name="Note 12 4" xfId="831"/>
    <cellStyle name="Note 13" xfId="429"/>
    <cellStyle name="Note 13 2" xfId="430"/>
    <cellStyle name="Note 13 2 2" xfId="835"/>
    <cellStyle name="Note 13 3" xfId="834"/>
    <cellStyle name="Note 14" xfId="431"/>
    <cellStyle name="Note 14 2" xfId="432"/>
    <cellStyle name="Note 14 2 2" xfId="837"/>
    <cellStyle name="Note 14 3" xfId="836"/>
    <cellStyle name="Note 2" xfId="433"/>
    <cellStyle name="Note 2 2" xfId="434"/>
    <cellStyle name="Note 2 2 2" xfId="839"/>
    <cellStyle name="Note 2 3" xfId="435"/>
    <cellStyle name="Note 2 3 2" xfId="840"/>
    <cellStyle name="Note 2 4" xfId="838"/>
    <cellStyle name="Note 3" xfId="436"/>
    <cellStyle name="Note 3 2" xfId="437"/>
    <cellStyle name="Note 3 2 2" xfId="842"/>
    <cellStyle name="Note 3 3" xfId="438"/>
    <cellStyle name="Note 3 3 2" xfId="843"/>
    <cellStyle name="Note 3 4" xfId="841"/>
    <cellStyle name="Note 4" xfId="439"/>
    <cellStyle name="Note 4 2" xfId="440"/>
    <cellStyle name="Note 4 2 2" xfId="845"/>
    <cellStyle name="Note 4 3" xfId="441"/>
    <cellStyle name="Note 4 3 2" xfId="846"/>
    <cellStyle name="Note 4 4" xfId="844"/>
    <cellStyle name="Note 5" xfId="442"/>
    <cellStyle name="Note 5 2" xfId="443"/>
    <cellStyle name="Note 5 2 2" xfId="848"/>
    <cellStyle name="Note 5 3" xfId="444"/>
    <cellStyle name="Note 5 3 2" xfId="849"/>
    <cellStyle name="Note 5 4" xfId="847"/>
    <cellStyle name="Note 6" xfId="445"/>
    <cellStyle name="Note 6 2" xfId="446"/>
    <cellStyle name="Note 6 2 2" xfId="851"/>
    <cellStyle name="Note 6 3" xfId="447"/>
    <cellStyle name="Note 6 3 2" xfId="852"/>
    <cellStyle name="Note 6 4" xfId="850"/>
    <cellStyle name="Note 7" xfId="448"/>
    <cellStyle name="Note 7 2" xfId="449"/>
    <cellStyle name="Note 7 2 2" xfId="854"/>
    <cellStyle name="Note 7 3" xfId="450"/>
    <cellStyle name="Note 7 3 2" xfId="855"/>
    <cellStyle name="Note 7 4" xfId="853"/>
    <cellStyle name="Note 8" xfId="451"/>
    <cellStyle name="Note 8 2" xfId="452"/>
    <cellStyle name="Note 8 2 2" xfId="857"/>
    <cellStyle name="Note 8 3" xfId="453"/>
    <cellStyle name="Note 8 3 2" xfId="858"/>
    <cellStyle name="Note 8 4" xfId="856"/>
    <cellStyle name="Note 9" xfId="454"/>
    <cellStyle name="Note 9 2" xfId="455"/>
    <cellStyle name="Note 9 2 2" xfId="860"/>
    <cellStyle name="Note 9 3" xfId="456"/>
    <cellStyle name="Note 9 3 2" xfId="861"/>
    <cellStyle name="Note 9 4" xfId="859"/>
    <cellStyle name="Percent 2" xfId="457"/>
    <cellStyle name="Percent 2 2" xfId="458"/>
    <cellStyle name="Percent 2 2 2" xfId="459"/>
    <cellStyle name="Percent 2 2 3" xfId="862"/>
    <cellStyle name="Percent 3" xfId="460"/>
    <cellStyle name="Percent 4" xfId="461"/>
    <cellStyle name="Title 2" xfId="462"/>
    <cellStyle name="Title 3" xfId="463"/>
  </cellStyles>
  <dxfs count="0"/>
  <tableStyles count="0" defaultTableStyle="TableStyleMedium2" defaultPivotStyle="PivotStyleLight16"/>
  <colors>
    <mruColors>
      <color rgb="FF66CCFF"/>
      <color rgb="FF0C6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8E-2"/>
          <c:y val="0.127049928301395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July 2024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_(* #,##0.00_);_(* \(#,##0.00\);_(* "-"??_);_(@_)</c:formatCode>
                <c:ptCount val="8"/>
                <c:pt idx="0">
                  <c:v>26.570099191139999</c:v>
                </c:pt>
                <c:pt idx="1">
                  <c:v>1191.3584606015797</c:v>
                </c:pt>
                <c:pt idx="2">
                  <c:v>222.01574734914996</c:v>
                </c:pt>
                <c:pt idx="3">
                  <c:v>1579.0380214774918</c:v>
                </c:pt>
                <c:pt idx="4">
                  <c:v>98.739677765599993</c:v>
                </c:pt>
                <c:pt idx="5">
                  <c:v>48.663828318699998</c:v>
                </c:pt>
                <c:pt idx="6">
                  <c:v>5.1437180626699996</c:v>
                </c:pt>
                <c:pt idx="7">
                  <c:v>49.887626737940003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6-46ED-89A2-2B50ABB45C22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Aug 2024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_(* #,##0.00_);_(* \(#,##0.00\);_(* "-"??_);_(@_)</c:formatCode>
                <c:ptCount val="8"/>
                <c:pt idx="0">
                  <c:v>27.956237844254819</c:v>
                </c:pt>
                <c:pt idx="1">
                  <c:v>1279.2828340185954</c:v>
                </c:pt>
                <c:pt idx="2">
                  <c:v>214.36943685518125</c:v>
                </c:pt>
                <c:pt idx="3">
                  <c:v>1607.0147849555251</c:v>
                </c:pt>
                <c:pt idx="4">
                  <c:v>97.521864991480001</c:v>
                </c:pt>
                <c:pt idx="5">
                  <c:v>50.134598322551852</c:v>
                </c:pt>
                <c:pt idx="6">
                  <c:v>5.2799644214799999</c:v>
                </c:pt>
                <c:pt idx="7">
                  <c:v>47.644543394387362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6-46ED-89A2-2B50ABB45C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217560112984199"/>
          <c:y val="0.167450900141421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Aug 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C18-4D5B-93F2-F392B61358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C18-4D5B-93F2-F392B61358B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C18-4D5B-93F2-F392B61358B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C18-4D5B-93F2-F392B61358B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C18-4D5B-93F2-F392B61358BF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C18-4D5B-93F2-F392B61358BF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C18-4D5B-93F2-F392B61358BF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C18-4D5B-93F2-F392B61358BF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18-4D5B-93F2-F392B61358BF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18-4D5B-93F2-F392B61358BF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18-4D5B-93F2-F392B61358BF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18-4D5B-93F2-F392B61358BF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18-4D5B-93F2-F392B61358B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18-4D5B-93F2-F392B61358BF}"/>
                </c:ext>
              </c:extLst>
            </c:dLbl>
            <c:dLbl>
              <c:idx val="6"/>
              <c:layout>
                <c:manualLayout>
                  <c:x val="-0.11676599895084179"/>
                  <c:y val="0.1205676029700473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C18-4D5B-93F2-F392B61358BF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C18-4D5B-93F2-F392B61358BF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_-* #,##0.00_-;\-* #,##0.00_-;_-* "-"??_-;_-@_-</c:formatCode>
                <c:ptCount val="8"/>
                <c:pt idx="0">
                  <c:v>5279964421.4799995</c:v>
                </c:pt>
                <c:pt idx="1">
                  <c:v>27956237844.254818</c:v>
                </c:pt>
                <c:pt idx="2" formatCode="#,##0.00">
                  <c:v>47644543394.38736</c:v>
                </c:pt>
                <c:pt idx="3" formatCode="#,##0.00">
                  <c:v>50134598322.551849</c:v>
                </c:pt>
                <c:pt idx="4" formatCode="#,##0.00">
                  <c:v>97521864991.479996</c:v>
                </c:pt>
                <c:pt idx="5" formatCode="#,##0.00">
                  <c:v>214369436855.18124</c:v>
                </c:pt>
                <c:pt idx="6" formatCode="#,##0.00">
                  <c:v>1279282834018.5955</c:v>
                </c:pt>
                <c:pt idx="7" formatCode="&quot; &quot;* #,##0.00&quot; &quot;;&quot;-&quot;* #,##0.00&quot; &quot;;&quot; &quot;* &quot;-&quot;??&quot; &quot;">
                  <c:v>1607014784955.5251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C18-4D5B-93F2-F392B61358BF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48993</c:v>
                </c:pt>
                <c:pt idx="1">
                  <c:v>310278</c:v>
                </c:pt>
                <c:pt idx="2">
                  <c:v>45217</c:v>
                </c:pt>
                <c:pt idx="3">
                  <c:v>17213</c:v>
                </c:pt>
                <c:pt idx="4">
                  <c:v>216992</c:v>
                </c:pt>
                <c:pt idx="5">
                  <c:v>69018</c:v>
                </c:pt>
                <c:pt idx="6">
                  <c:v>13216</c:v>
                </c:pt>
                <c:pt idx="7">
                  <c:v>12718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9-4D7C-AC55-08D88FE24A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627446192"/>
        <c:axId val="1627445712"/>
      </c:barChart>
      <c:catAx>
        <c:axId val="1627446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CLASSES OF FUNDS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445712"/>
        <c:crosses val="autoZero"/>
        <c:auto val="1"/>
        <c:lblAlgn val="ctr"/>
        <c:lblOffset val="100"/>
        <c:noMultiLvlLbl val="0"/>
      </c:catAx>
      <c:valAx>
        <c:axId val="1627445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lt1">
                      <a:lumMod val="75000"/>
                      <a:alpha val="36000"/>
                    </a:schemeClr>
                  </a:gs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62744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>
                <a:lumMod val="75000"/>
                <a:alpha val="36000"/>
              </a:schemeClr>
            </a:gs>
            <a:gs pos="100000">
              <a:schemeClr val="dk1">
                <a:lumMod val="95000"/>
                <a:lumOff val="5000"/>
                <a:alpha val="42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0">
              <a:schemeClr val="lt1">
                <a:lumMod val="75000"/>
                <a:alpha val="36000"/>
                <a:lumOff val="10000"/>
              </a:schemeClr>
            </a:gs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266700</xdr:colOff>
      <xdr:row>22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31</xdr:row>
      <xdr:rowOff>108698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0.25566</cdr:x>
      <cdr:y>0.03949</cdr:y>
    </cdr:from>
    <cdr:to>
      <cdr:x>0.76549</cdr:x>
      <cdr:y>0.11532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048000" y="224118"/>
          <a:ext cx="6078071" cy="43040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</xdr:colOff>
      <xdr:row>19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6"/>
  <sheetViews>
    <sheetView tabSelected="1" view="pageBreakPreview" zoomScale="120" zoomScaleNormal="70" zoomScaleSheetLayoutView="120" workbookViewId="0">
      <pane ySplit="2" topLeftCell="A3" activePane="bottomLeft" state="frozen"/>
      <selection pane="bottomLeft" activeCell="A3" sqref="A3:V3"/>
    </sheetView>
  </sheetViews>
  <sheetFormatPr defaultColWidth="9" defaultRowHeight="13.8"/>
  <cols>
    <col min="1" max="1" width="6.6640625" style="7" customWidth="1"/>
    <col min="2" max="2" width="53.6640625" style="7" customWidth="1"/>
    <col min="3" max="3" width="47.6640625" style="7" customWidth="1"/>
    <col min="4" max="4" width="21.5546875" style="7" customWidth="1"/>
    <col min="5" max="6" width="19.33203125" style="7" customWidth="1"/>
    <col min="7" max="7" width="19.6640625" style="7" customWidth="1"/>
    <col min="8" max="8" width="20" style="7" customWidth="1"/>
    <col min="9" max="9" width="22" style="7" customWidth="1"/>
    <col min="10" max="10" width="9" style="7"/>
    <col min="11" max="11" width="24.5546875" style="7" customWidth="1"/>
    <col min="12" max="12" width="9" style="7"/>
    <col min="13" max="13" width="11.5546875" style="7" customWidth="1"/>
    <col min="14" max="14" width="12.109375" style="7" customWidth="1"/>
    <col min="15" max="15" width="12.5546875" style="7" customWidth="1"/>
    <col min="16" max="16" width="12.33203125" style="7" customWidth="1"/>
    <col min="17" max="17" width="12.6640625" style="7" customWidth="1"/>
    <col min="18" max="18" width="14.44140625" style="7" customWidth="1"/>
    <col min="19" max="19" width="13.33203125" style="7" customWidth="1"/>
    <col min="20" max="20" width="16.44140625" style="7" customWidth="1"/>
    <col min="21" max="22" width="20.109375" style="7" customWidth="1"/>
    <col min="23" max="16384" width="9" style="7"/>
  </cols>
  <sheetData>
    <row r="1" spans="1:23" ht="39.9" customHeight="1">
      <c r="A1" s="143" t="s">
        <v>268</v>
      </c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8"/>
    </row>
    <row r="2" spans="1:23" ht="39.6" customHeight="1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5" t="s">
        <v>7</v>
      </c>
      <c r="I2" s="34" t="s">
        <v>237</v>
      </c>
      <c r="J2" s="34" t="s">
        <v>8</v>
      </c>
      <c r="K2" s="34" t="s">
        <v>9</v>
      </c>
      <c r="L2" s="34" t="s">
        <v>8</v>
      </c>
      <c r="M2" s="34" t="s">
        <v>10</v>
      </c>
      <c r="N2" s="34" t="s">
        <v>11</v>
      </c>
      <c r="O2" s="34" t="s">
        <v>12</v>
      </c>
      <c r="P2" s="34" t="s">
        <v>13</v>
      </c>
      <c r="Q2" s="34" t="s">
        <v>14</v>
      </c>
      <c r="R2" s="34" t="s">
        <v>15</v>
      </c>
      <c r="S2" s="34" t="s">
        <v>16</v>
      </c>
      <c r="T2" s="34" t="s">
        <v>17</v>
      </c>
      <c r="U2" s="34" t="s">
        <v>18</v>
      </c>
      <c r="V2" s="34" t="s">
        <v>19</v>
      </c>
    </row>
    <row r="3" spans="1:23" ht="6" customHeight="1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</row>
    <row r="4" spans="1:23" ht="16.5" customHeight="1">
      <c r="A4" s="145" t="s">
        <v>20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</row>
    <row r="5" spans="1:23" ht="15" customHeight="1">
      <c r="A5" s="65">
        <v>1</v>
      </c>
      <c r="B5" s="55" t="s">
        <v>21</v>
      </c>
      <c r="C5" s="55" t="s">
        <v>22</v>
      </c>
      <c r="D5" s="45">
        <v>1055009003.54</v>
      </c>
      <c r="E5" s="45">
        <v>3150871.58</v>
      </c>
      <c r="F5" s="45">
        <v>309174075.44999999</v>
      </c>
      <c r="G5" s="45">
        <v>2053847.89</v>
      </c>
      <c r="H5" s="38">
        <f t="shared" ref="H5:H21" si="0">(E5+F5)-G5</f>
        <v>310271099.13999999</v>
      </c>
      <c r="I5" s="120">
        <v>1078663004.8599999</v>
      </c>
      <c r="J5" s="40">
        <f t="shared" ref="J5:J21" si="1">(I5/$I$22)</f>
        <v>4.0596875348500323E-2</v>
      </c>
      <c r="K5" s="74">
        <v>1065504019.53</v>
      </c>
      <c r="L5" s="40">
        <f>(K5/$K$22)</f>
        <v>3.8113283535000674E-2</v>
      </c>
      <c r="M5" s="40">
        <f t="shared" ref="M5:M22" si="2">((K5-I5)/I5)</f>
        <v>-1.2199347961978017E-2</v>
      </c>
      <c r="N5" s="41">
        <f t="shared" ref="N5" si="3">(G5/K5)</f>
        <v>1.9275834275181468E-3</v>
      </c>
      <c r="O5" s="42">
        <f t="shared" ref="O5" si="4">H5/K5</f>
        <v>0.29119655435637154</v>
      </c>
      <c r="P5" s="43">
        <f t="shared" ref="P5" si="5">K5/V5</f>
        <v>335.21188222067423</v>
      </c>
      <c r="Q5" s="43">
        <f t="shared" ref="Q5" si="6">H5/V5</f>
        <v>97.612545081974162</v>
      </c>
      <c r="R5" s="45">
        <v>335.21190000000001</v>
      </c>
      <c r="S5" s="45">
        <v>338.4033</v>
      </c>
      <c r="T5" s="45">
        <v>1745</v>
      </c>
      <c r="U5" s="45">
        <v>3266152.1</v>
      </c>
      <c r="V5" s="45">
        <v>3178598.6</v>
      </c>
    </row>
    <row r="6" spans="1:23">
      <c r="A6" s="65">
        <v>2</v>
      </c>
      <c r="B6" s="55" t="s">
        <v>23</v>
      </c>
      <c r="C6" s="55" t="s">
        <v>24</v>
      </c>
      <c r="D6" s="45">
        <v>591538649.97000003</v>
      </c>
      <c r="E6" s="45">
        <v>2348803.52</v>
      </c>
      <c r="F6" s="45"/>
      <c r="G6" s="45">
        <v>837697.36</v>
      </c>
      <c r="H6" s="38">
        <v>1511106.16</v>
      </c>
      <c r="I6" s="120">
        <v>553611241.16999996</v>
      </c>
      <c r="J6" s="40">
        <f t="shared" si="1"/>
        <v>2.0835874084903897E-2</v>
      </c>
      <c r="K6" s="74">
        <v>592794193.09000003</v>
      </c>
      <c r="L6" s="40">
        <f t="shared" ref="L6:L21" si="7">(K6/$K$22)</f>
        <v>2.1204362203257724E-2</v>
      </c>
      <c r="M6" s="40">
        <f t="shared" ref="M6:M21" si="8">((K6-I6)/I6)</f>
        <v>7.0777016444230734E-2</v>
      </c>
      <c r="N6" s="41">
        <f t="shared" ref="N6:N21" si="9">(G6/K6)</f>
        <v>1.413133545781576E-3</v>
      </c>
      <c r="O6" s="42">
        <f t="shared" ref="O6:O21" si="10">H6/K6</f>
        <v>2.5491244307289944E-3</v>
      </c>
      <c r="P6" s="43">
        <f t="shared" ref="P6:P21" si="11">K6/V6</f>
        <v>219.88081144826151</v>
      </c>
      <c r="Q6" s="43">
        <f t="shared" ref="Q6:Q21" si="12">H6/V6</f>
        <v>0.56050354831127902</v>
      </c>
      <c r="R6" s="45">
        <v>218.62</v>
      </c>
      <c r="S6" s="45">
        <v>220.97</v>
      </c>
      <c r="T6" s="45">
        <v>355</v>
      </c>
      <c r="U6" s="45">
        <v>2694698.64</v>
      </c>
      <c r="V6" s="45">
        <v>2695979.65</v>
      </c>
    </row>
    <row r="7" spans="1:23">
      <c r="A7" s="65">
        <v>3</v>
      </c>
      <c r="B7" s="55" t="s">
        <v>25</v>
      </c>
      <c r="C7" s="45" t="s">
        <v>26</v>
      </c>
      <c r="D7" s="45">
        <v>3343911963.1700001</v>
      </c>
      <c r="E7" s="45">
        <v>-11180107.5</v>
      </c>
      <c r="F7" s="45">
        <v>-89670904.719999999</v>
      </c>
      <c r="G7" s="45">
        <v>16891292.920000002</v>
      </c>
      <c r="H7" s="38">
        <f t="shared" si="0"/>
        <v>-117742305.14</v>
      </c>
      <c r="I7" s="120">
        <v>3786816963</v>
      </c>
      <c r="J7" s="40">
        <f t="shared" si="1"/>
        <v>0.14252174731296233</v>
      </c>
      <c r="K7" s="74">
        <v>3660683927</v>
      </c>
      <c r="L7" s="40">
        <f t="shared" si="7"/>
        <v>0.13094336753728447</v>
      </c>
      <c r="M7" s="40">
        <f t="shared" si="8"/>
        <v>-3.3308458590001304E-2</v>
      </c>
      <c r="N7" s="41">
        <f t="shared" si="9"/>
        <v>4.6142451128914422E-3</v>
      </c>
      <c r="O7" s="42">
        <f t="shared" si="10"/>
        <v>-3.2164018387813138E-2</v>
      </c>
      <c r="P7" s="43">
        <f t="shared" si="11"/>
        <v>33.274679279522537</v>
      </c>
      <c r="Q7" s="43">
        <f t="shared" si="12"/>
        <v>-1.0702473961951477</v>
      </c>
      <c r="R7" s="45">
        <v>33.1083</v>
      </c>
      <c r="S7" s="45">
        <v>33.1083</v>
      </c>
      <c r="T7" s="45">
        <v>6588</v>
      </c>
      <c r="U7" s="45">
        <v>107770835</v>
      </c>
      <c r="V7" s="45">
        <v>110014101</v>
      </c>
    </row>
    <row r="8" spans="1:23">
      <c r="A8" s="65">
        <v>4</v>
      </c>
      <c r="B8" s="91" t="s">
        <v>27</v>
      </c>
      <c r="C8" s="91" t="s">
        <v>28</v>
      </c>
      <c r="D8" s="61">
        <v>468908383.5</v>
      </c>
      <c r="E8" s="45">
        <v>-3249132.61</v>
      </c>
      <c r="F8" s="45"/>
      <c r="G8" s="45">
        <v>1268655.52</v>
      </c>
      <c r="H8" s="38">
        <f t="shared" si="0"/>
        <v>-4517788.13</v>
      </c>
      <c r="I8" s="112">
        <v>586176717.40999997</v>
      </c>
      <c r="J8" s="40">
        <f t="shared" si="1"/>
        <v>2.2061517843541399E-2</v>
      </c>
      <c r="K8" s="61">
        <v>543476136.21000004</v>
      </c>
      <c r="L8" s="40">
        <f t="shared" si="7"/>
        <v>1.9440245831278322E-2</v>
      </c>
      <c r="M8" s="40">
        <f t="shared" si="8"/>
        <v>-7.2845918187728204E-2</v>
      </c>
      <c r="N8" s="41">
        <f t="shared" si="9"/>
        <v>2.334335282588727E-3</v>
      </c>
      <c r="O8" s="42">
        <f t="shared" si="10"/>
        <v>-8.3127626568948731E-3</v>
      </c>
      <c r="P8" s="43">
        <f t="shared" si="11"/>
        <v>196.4818295856596</v>
      </c>
      <c r="Q8" s="43">
        <f t="shared" si="12"/>
        <v>-1.6333068157380533</v>
      </c>
      <c r="R8" s="97">
        <v>196.48179999999999</v>
      </c>
      <c r="S8" s="97">
        <v>196.48179999999999</v>
      </c>
      <c r="T8" s="45">
        <v>1818</v>
      </c>
      <c r="U8" s="45">
        <v>2919555.53</v>
      </c>
      <c r="V8" s="45">
        <v>2766037.64</v>
      </c>
    </row>
    <row r="9" spans="1:23">
      <c r="A9" s="65">
        <v>5</v>
      </c>
      <c r="B9" s="55" t="s">
        <v>217</v>
      </c>
      <c r="C9" s="45" t="s">
        <v>107</v>
      </c>
      <c r="D9" s="61">
        <v>535111086.64999998</v>
      </c>
      <c r="E9" s="45">
        <v>3373402.74</v>
      </c>
      <c r="F9" s="45">
        <v>23960261.460000001</v>
      </c>
      <c r="G9" s="45">
        <v>1050222.07</v>
      </c>
      <c r="H9" s="38">
        <f>(E9+F9)-G9</f>
        <v>26283442.130000003</v>
      </c>
      <c r="I9" s="112">
        <v>591267376.48000002</v>
      </c>
      <c r="J9" s="40">
        <f t="shared" si="1"/>
        <v>2.2253111372544765E-2</v>
      </c>
      <c r="K9" s="61">
        <v>576334710.48000002</v>
      </c>
      <c r="L9" s="40">
        <f t="shared" si="7"/>
        <v>2.0615603347302343E-2</v>
      </c>
      <c r="M9" s="40">
        <f t="shared" si="8"/>
        <v>-2.5255352475049172E-2</v>
      </c>
      <c r="N9" s="41">
        <f t="shared" si="9"/>
        <v>1.8222433091446518E-3</v>
      </c>
      <c r="O9" s="42">
        <f t="shared" si="10"/>
        <v>4.5604475406504412E-2</v>
      </c>
      <c r="P9" s="43">
        <f t="shared" si="11"/>
        <v>0.950022315915656</v>
      </c>
      <c r="Q9" s="43">
        <f t="shared" si="12"/>
        <v>4.3325269341805903E-2</v>
      </c>
      <c r="R9" s="97">
        <v>0.92330000000000001</v>
      </c>
      <c r="S9" s="97">
        <v>0.93189999999999995</v>
      </c>
      <c r="T9" s="45">
        <v>529</v>
      </c>
      <c r="U9" s="45">
        <f>V9+44801551.82</f>
        <v>651455417.55000007</v>
      </c>
      <c r="V9" s="45">
        <v>606653865.73000002</v>
      </c>
    </row>
    <row r="10" spans="1:23">
      <c r="A10" s="65">
        <v>6</v>
      </c>
      <c r="B10" s="55" t="s">
        <v>216</v>
      </c>
      <c r="C10" s="55" t="s">
        <v>48</v>
      </c>
      <c r="D10" s="45">
        <v>91635133.230000004</v>
      </c>
      <c r="E10" s="45">
        <v>2527436.7200000002</v>
      </c>
      <c r="F10" s="45">
        <v>0</v>
      </c>
      <c r="G10" s="45">
        <v>2702768.52</v>
      </c>
      <c r="H10" s="38">
        <f>(E10+F10)-G10</f>
        <v>-175331.79999999981</v>
      </c>
      <c r="I10" s="112">
        <v>86622453.079999998</v>
      </c>
      <c r="J10" s="40">
        <f t="shared" si="1"/>
        <v>3.2601478999703887E-3</v>
      </c>
      <c r="K10" s="45">
        <v>89010661.519999996</v>
      </c>
      <c r="L10" s="40">
        <f t="shared" si="7"/>
        <v>3.1839284676243463E-3</v>
      </c>
      <c r="M10" s="40">
        <f t="shared" si="8"/>
        <v>2.7570316414317803E-2</v>
      </c>
      <c r="N10" s="41">
        <f t="shared" si="9"/>
        <v>3.0364548177104708E-2</v>
      </c>
      <c r="O10" s="42">
        <f t="shared" si="10"/>
        <v>-1.9697842596148344E-3</v>
      </c>
      <c r="P10" s="43">
        <f t="shared" si="11"/>
        <v>160.40901330844275</v>
      </c>
      <c r="Q10" s="43">
        <f t="shared" si="12"/>
        <v>-0.31597114951531702</v>
      </c>
      <c r="R10" s="45">
        <v>159.9188</v>
      </c>
      <c r="S10" s="45">
        <v>160.5241</v>
      </c>
      <c r="T10" s="45">
        <v>94</v>
      </c>
      <c r="U10" s="45">
        <v>555897.80000000005</v>
      </c>
      <c r="V10" s="45">
        <v>554898.13</v>
      </c>
    </row>
    <row r="11" spans="1:23">
      <c r="A11" s="65">
        <v>7</v>
      </c>
      <c r="B11" s="55" t="s">
        <v>29</v>
      </c>
      <c r="C11" s="55" t="s">
        <v>30</v>
      </c>
      <c r="D11" s="92">
        <v>1129973706.02</v>
      </c>
      <c r="E11" s="61">
        <v>3418864.36</v>
      </c>
      <c r="F11" s="61">
        <v>69714918.349999994</v>
      </c>
      <c r="G11" s="61">
        <v>1937374.65</v>
      </c>
      <c r="H11" s="38">
        <f t="shared" si="0"/>
        <v>71196408.059999987</v>
      </c>
      <c r="I11" s="114">
        <v>1024410913.05</v>
      </c>
      <c r="J11" s="40">
        <f t="shared" si="1"/>
        <v>3.8555027803268326E-2</v>
      </c>
      <c r="K11" s="69">
        <v>1114339533.55</v>
      </c>
      <c r="L11" s="40">
        <f t="shared" si="7"/>
        <v>3.9860139256148293E-2</v>
      </c>
      <c r="M11" s="40">
        <f t="shared" si="8"/>
        <v>8.7785691614953268E-2</v>
      </c>
      <c r="N11" s="41">
        <f t="shared" si="9"/>
        <v>1.7385855851564569E-3</v>
      </c>
      <c r="O11" s="42">
        <f t="shared" si="10"/>
        <v>6.3891126462314846E-2</v>
      </c>
      <c r="P11" s="43">
        <f t="shared" si="11"/>
        <v>314.89957469012751</v>
      </c>
      <c r="Q11" s="43">
        <f t="shared" si="12"/>
        <v>20.119288549456098</v>
      </c>
      <c r="R11" s="61">
        <v>314.89999999999998</v>
      </c>
      <c r="S11" s="61">
        <v>319.27</v>
      </c>
      <c r="T11" s="61">
        <v>1620</v>
      </c>
      <c r="U11" s="92">
        <v>3549100</v>
      </c>
      <c r="V11" s="92">
        <v>3538714</v>
      </c>
    </row>
    <row r="12" spans="1:23">
      <c r="A12" s="65">
        <v>8</v>
      </c>
      <c r="B12" s="55" t="s">
        <v>31</v>
      </c>
      <c r="C12" s="45" t="s">
        <v>32</v>
      </c>
      <c r="D12" s="45">
        <v>368124289.24000001</v>
      </c>
      <c r="E12" s="45">
        <v>4004036.33</v>
      </c>
      <c r="F12" s="45">
        <v>-1119677</v>
      </c>
      <c r="G12" s="45">
        <v>1085211.82</v>
      </c>
      <c r="H12" s="38">
        <f t="shared" si="0"/>
        <v>1799147.51</v>
      </c>
      <c r="I12" s="120">
        <v>351000802.82999998</v>
      </c>
      <c r="J12" s="40">
        <f t="shared" si="1"/>
        <v>1.3210368553951198E-2</v>
      </c>
      <c r="K12" s="74">
        <v>354356149.70999998</v>
      </c>
      <c r="L12" s="40">
        <f t="shared" si="7"/>
        <v>1.2675387571250843E-2</v>
      </c>
      <c r="M12" s="40">
        <f t="shared" si="8"/>
        <v>9.5593709556986064E-3</v>
      </c>
      <c r="N12" s="41">
        <f t="shared" si="9"/>
        <v>3.0624890266138234E-3</v>
      </c>
      <c r="O12" s="42">
        <f t="shared" si="10"/>
        <v>5.0772295372110707E-3</v>
      </c>
      <c r="P12" s="43">
        <f t="shared" si="11"/>
        <v>178.24424279326792</v>
      </c>
      <c r="Q12" s="43">
        <f t="shared" si="12"/>
        <v>0.90498693434780142</v>
      </c>
      <c r="R12" s="45">
        <v>178.24</v>
      </c>
      <c r="S12" s="45">
        <v>184.06</v>
      </c>
      <c r="T12" s="45">
        <v>2468</v>
      </c>
      <c r="U12" s="45">
        <v>1988037</v>
      </c>
      <c r="V12" s="45">
        <v>1988037</v>
      </c>
    </row>
    <row r="13" spans="1:23">
      <c r="A13" s="65">
        <v>9</v>
      </c>
      <c r="B13" s="55" t="s">
        <v>33</v>
      </c>
      <c r="C13" s="55" t="s">
        <v>34</v>
      </c>
      <c r="D13" s="45">
        <v>62700903</v>
      </c>
      <c r="E13" s="45">
        <v>1392115.62</v>
      </c>
      <c r="F13" s="45">
        <v>4846232.54</v>
      </c>
      <c r="G13" s="45">
        <v>1628924.39</v>
      </c>
      <c r="H13" s="38">
        <f t="shared" si="0"/>
        <v>4609423.7700000005</v>
      </c>
      <c r="I13" s="120">
        <v>51327383.219999999</v>
      </c>
      <c r="J13" s="40">
        <f t="shared" si="1"/>
        <v>1.9317723600036653E-3</v>
      </c>
      <c r="K13" s="74">
        <v>56399755.369999997</v>
      </c>
      <c r="L13" s="40">
        <f t="shared" si="7"/>
        <v>2.017430087846763E-3</v>
      </c>
      <c r="M13" s="40">
        <f t="shared" si="8"/>
        <v>9.8823899287028547E-2</v>
      </c>
      <c r="N13" s="41">
        <f t="shared" si="9"/>
        <v>2.8881763392655652E-2</v>
      </c>
      <c r="O13" s="42">
        <f t="shared" si="10"/>
        <v>8.1727726295278094E-2</v>
      </c>
      <c r="P13" s="43">
        <f t="shared" si="11"/>
        <v>203.94323558937714</v>
      </c>
      <c r="Q13" s="43">
        <f t="shared" si="12"/>
        <v>16.667816938022032</v>
      </c>
      <c r="R13" s="45">
        <v>201.07</v>
      </c>
      <c r="S13" s="45">
        <v>206.39</v>
      </c>
      <c r="T13" s="45">
        <v>15</v>
      </c>
      <c r="U13" s="45">
        <v>277884.59000000003</v>
      </c>
      <c r="V13" s="45">
        <v>276546.34000000003</v>
      </c>
      <c r="W13" s="9"/>
    </row>
    <row r="14" spans="1:23">
      <c r="A14" s="65">
        <v>10</v>
      </c>
      <c r="B14" s="45" t="s">
        <v>35</v>
      </c>
      <c r="C14" s="45" t="s">
        <v>36</v>
      </c>
      <c r="D14" s="61">
        <v>570638827.88999999</v>
      </c>
      <c r="E14" s="61">
        <v>1787734.88</v>
      </c>
      <c r="F14" s="61">
        <v>41351918.270000003</v>
      </c>
      <c r="G14" s="61">
        <v>1156524.1200000001</v>
      </c>
      <c r="H14" s="38">
        <v>41983129.030000001</v>
      </c>
      <c r="I14" s="112">
        <v>526209181.86000001</v>
      </c>
      <c r="J14" s="40">
        <f t="shared" si="1"/>
        <v>1.9804562191302187E-2</v>
      </c>
      <c r="K14" s="61">
        <v>570301502.82000005</v>
      </c>
      <c r="L14" s="40">
        <f t="shared" si="7"/>
        <v>2.0399794349911092E-2</v>
      </c>
      <c r="M14" s="40">
        <f t="shared" si="8"/>
        <v>8.3792382345260888E-2</v>
      </c>
      <c r="N14" s="41">
        <f t="shared" si="9"/>
        <v>2.0279170128103714E-3</v>
      </c>
      <c r="O14" s="42">
        <f t="shared" si="10"/>
        <v>7.3615673152540889E-2</v>
      </c>
      <c r="P14" s="43">
        <f t="shared" si="11"/>
        <v>1.9420783893309219</v>
      </c>
      <c r="Q14" s="43">
        <f t="shared" si="12"/>
        <v>0.1429674079455982</v>
      </c>
      <c r="R14" s="61">
        <v>1.78</v>
      </c>
      <c r="S14" s="45">
        <v>1.8</v>
      </c>
      <c r="T14" s="45">
        <v>456</v>
      </c>
      <c r="U14" s="61">
        <v>296408035.25999999</v>
      </c>
      <c r="V14" s="61">
        <v>293655243.75999999</v>
      </c>
    </row>
    <row r="15" spans="1:23">
      <c r="A15" s="65">
        <v>11</v>
      </c>
      <c r="B15" s="55" t="s">
        <v>37</v>
      </c>
      <c r="C15" s="45" t="s">
        <v>38</v>
      </c>
      <c r="D15" s="45">
        <v>1619473631.3900001</v>
      </c>
      <c r="E15" s="38">
        <v>11669503.17</v>
      </c>
      <c r="F15" s="61"/>
      <c r="G15" s="38">
        <v>2750636.1</v>
      </c>
      <c r="H15" s="38">
        <f t="shared" si="0"/>
        <v>8918867.0700000003</v>
      </c>
      <c r="I15" s="120">
        <v>1603071554.02</v>
      </c>
      <c r="J15" s="40">
        <f t="shared" si="1"/>
        <v>6.0333668402508499E-2</v>
      </c>
      <c r="K15" s="74">
        <v>1611458973.5899999</v>
      </c>
      <c r="L15" s="40">
        <f t="shared" si="7"/>
        <v>5.7642197157124445E-2</v>
      </c>
      <c r="M15" s="40">
        <f t="shared" si="8"/>
        <v>5.2320930709343072E-3</v>
      </c>
      <c r="N15" s="41">
        <f t="shared" si="9"/>
        <v>1.7069228227834727E-3</v>
      </c>
      <c r="O15" s="42">
        <f t="shared" si="10"/>
        <v>5.5346535134745594E-3</v>
      </c>
      <c r="P15" s="43">
        <f t="shared" si="11"/>
        <v>3.3246203030981341</v>
      </c>
      <c r="Q15" s="43">
        <f t="shared" si="12"/>
        <v>1.8400621441510945E-2</v>
      </c>
      <c r="R15" s="61">
        <v>3.28</v>
      </c>
      <c r="S15" s="45">
        <v>3.35</v>
      </c>
      <c r="T15" s="45">
        <v>3663</v>
      </c>
      <c r="U15" s="45">
        <v>487910753</v>
      </c>
      <c r="V15" s="45">
        <v>484704666</v>
      </c>
    </row>
    <row r="16" spans="1:23">
      <c r="A16" s="65">
        <v>12</v>
      </c>
      <c r="B16" s="55" t="s">
        <v>39</v>
      </c>
      <c r="C16" s="55" t="s">
        <v>40</v>
      </c>
      <c r="D16" s="61">
        <v>533664277.81999999</v>
      </c>
      <c r="E16" s="61">
        <v>4485912.97</v>
      </c>
      <c r="F16" s="61">
        <v>11917687.23</v>
      </c>
      <c r="G16" s="61">
        <v>908664.34</v>
      </c>
      <c r="H16" s="38">
        <f t="shared" si="0"/>
        <v>15494935.859999999</v>
      </c>
      <c r="I16" s="122">
        <v>594799573.41999996</v>
      </c>
      <c r="J16" s="40">
        <f t="shared" si="1"/>
        <v>2.2386050166434471E-2</v>
      </c>
      <c r="K16" s="96">
        <v>541908984.74000001</v>
      </c>
      <c r="L16" s="40">
        <f t="shared" si="7"/>
        <v>1.9384188522039124E-2</v>
      </c>
      <c r="M16" s="40">
        <f t="shared" si="8"/>
        <v>-8.8921699079048996E-2</v>
      </c>
      <c r="N16" s="41">
        <f t="shared" si="9"/>
        <v>1.6767840460072162E-3</v>
      </c>
      <c r="O16" s="42">
        <f t="shared" si="10"/>
        <v>2.8593244061886597E-2</v>
      </c>
      <c r="P16" s="43">
        <f t="shared" si="11"/>
        <v>18.445326108018264</v>
      </c>
      <c r="Q16" s="43">
        <f t="shared" si="12"/>
        <v>0.52741171120765495</v>
      </c>
      <c r="R16" s="98">
        <v>20.05</v>
      </c>
      <c r="S16" s="98">
        <v>20.149999999999999</v>
      </c>
      <c r="T16" s="98">
        <v>328</v>
      </c>
      <c r="U16" s="98">
        <v>30425175.789999999</v>
      </c>
      <c r="V16" s="98">
        <v>29379203.25</v>
      </c>
    </row>
    <row r="17" spans="1:23">
      <c r="A17" s="65">
        <v>13</v>
      </c>
      <c r="B17" s="91" t="s">
        <v>41</v>
      </c>
      <c r="C17" s="91" t="s">
        <v>42</v>
      </c>
      <c r="D17" s="45">
        <v>239504132.55000001</v>
      </c>
      <c r="E17" s="45">
        <v>3858073.5</v>
      </c>
      <c r="F17" s="45">
        <v>88809091.280000001</v>
      </c>
      <c r="G17" s="45">
        <v>419369.99</v>
      </c>
      <c r="H17" s="38">
        <f t="shared" si="0"/>
        <v>92247794.790000007</v>
      </c>
      <c r="I17" s="120">
        <v>225024094.63999999</v>
      </c>
      <c r="J17" s="40">
        <f t="shared" si="1"/>
        <v>8.4690724344392357E-3</v>
      </c>
      <c r="K17" s="74">
        <v>239951715.33000001</v>
      </c>
      <c r="L17" s="40">
        <f t="shared" si="7"/>
        <v>8.5831189685385938E-3</v>
      </c>
      <c r="M17" s="40">
        <f t="shared" si="8"/>
        <v>6.6337876901056594E-2</v>
      </c>
      <c r="N17" s="41">
        <f t="shared" si="9"/>
        <v>1.7477265766708532E-3</v>
      </c>
      <c r="O17" s="42">
        <f t="shared" si="10"/>
        <v>0.38444315625388947</v>
      </c>
      <c r="P17" s="43">
        <f t="shared" si="11"/>
        <v>2.6279458893891863</v>
      </c>
      <c r="Q17" s="43">
        <f t="shared" si="12"/>
        <v>1.0102958121812136</v>
      </c>
      <c r="R17" s="45">
        <v>2.57</v>
      </c>
      <c r="S17" s="45">
        <v>2.63</v>
      </c>
      <c r="T17" s="45">
        <v>21</v>
      </c>
      <c r="U17" s="45">
        <v>91299698.780000001</v>
      </c>
      <c r="V17" s="45">
        <v>91307707.780000001</v>
      </c>
    </row>
    <row r="18" spans="1:23">
      <c r="A18" s="65">
        <v>14</v>
      </c>
      <c r="B18" s="55" t="s">
        <v>43</v>
      </c>
      <c r="C18" s="55" t="s">
        <v>44</v>
      </c>
      <c r="D18" s="45">
        <v>1472050679.3299999</v>
      </c>
      <c r="E18" s="45">
        <v>1240910.6399999999</v>
      </c>
      <c r="F18" s="45">
        <v>75367483.310000002</v>
      </c>
      <c r="G18" s="45">
        <v>2544140.94</v>
      </c>
      <c r="H18" s="38">
        <f t="shared" si="0"/>
        <v>74064253.010000005</v>
      </c>
      <c r="I18" s="120">
        <v>1436023688.3</v>
      </c>
      <c r="J18" s="40">
        <f t="shared" si="1"/>
        <v>5.4046606223391629E-2</v>
      </c>
      <c r="K18" s="74">
        <v>1465748877.97</v>
      </c>
      <c r="L18" s="40">
        <f t="shared" si="7"/>
        <v>5.2430119035892397E-2</v>
      </c>
      <c r="M18" s="40">
        <f t="shared" si="8"/>
        <v>2.0699651344323913E-2</v>
      </c>
      <c r="N18" s="41">
        <f t="shared" si="9"/>
        <v>1.7357277076845026E-3</v>
      </c>
      <c r="O18" s="42">
        <f t="shared" si="10"/>
        <v>5.0529974215348439E-2</v>
      </c>
      <c r="P18" s="43">
        <f t="shared" si="11"/>
        <v>26.426164877688006</v>
      </c>
      <c r="Q18" s="43">
        <f t="shared" si="12"/>
        <v>1.3353134298801215</v>
      </c>
      <c r="R18" s="45">
        <v>246.15</v>
      </c>
      <c r="S18" s="45">
        <v>26.65</v>
      </c>
      <c r="T18" s="45">
        <v>8994</v>
      </c>
      <c r="U18" s="45">
        <v>55854793</v>
      </c>
      <c r="V18" s="45">
        <v>55465819</v>
      </c>
    </row>
    <row r="19" spans="1:23">
      <c r="A19" s="65">
        <v>15</v>
      </c>
      <c r="B19" s="45" t="s">
        <v>45</v>
      </c>
      <c r="C19" s="55" t="s">
        <v>46</v>
      </c>
      <c r="D19" s="61">
        <v>684764330.30999994</v>
      </c>
      <c r="E19" s="61">
        <v>4003469.95</v>
      </c>
      <c r="F19" s="61">
        <v>43307977.090000004</v>
      </c>
      <c r="G19" s="61">
        <v>761886.58</v>
      </c>
      <c r="H19" s="38">
        <v>52254992.210000001</v>
      </c>
      <c r="I19" s="112">
        <v>631534214.13</v>
      </c>
      <c r="J19" s="40">
        <f t="shared" si="1"/>
        <v>2.3768605814636547E-2</v>
      </c>
      <c r="K19" s="61">
        <v>683666868.59000003</v>
      </c>
      <c r="L19" s="40">
        <f t="shared" si="7"/>
        <v>2.4454895268767284E-2</v>
      </c>
      <c r="M19" s="40">
        <f t="shared" si="8"/>
        <v>8.2549216326811142E-2</v>
      </c>
      <c r="N19" s="41">
        <f t="shared" si="9"/>
        <v>1.1144120258033286E-3</v>
      </c>
      <c r="O19" s="42">
        <f t="shared" si="10"/>
        <v>7.6433413129659344E-2</v>
      </c>
      <c r="P19" s="43">
        <f t="shared" si="11"/>
        <v>6777.0677634543017</v>
      </c>
      <c r="Q19" s="43">
        <f t="shared" si="12"/>
        <v>517.99442017179911</v>
      </c>
      <c r="R19" s="61">
        <v>6723.26</v>
      </c>
      <c r="S19" s="61">
        <v>6813.95</v>
      </c>
      <c r="T19" s="45">
        <v>20</v>
      </c>
      <c r="U19" s="61">
        <v>100879.45</v>
      </c>
      <c r="V19" s="61">
        <v>100879.45</v>
      </c>
    </row>
    <row r="20" spans="1:23">
      <c r="A20" s="65">
        <v>16</v>
      </c>
      <c r="B20" s="55" t="s">
        <v>47</v>
      </c>
      <c r="C20" s="55" t="s">
        <v>46</v>
      </c>
      <c r="D20" s="61">
        <v>11599222400.51</v>
      </c>
      <c r="E20" s="45">
        <v>45025950.960000001</v>
      </c>
      <c r="F20" s="45">
        <v>1348392547.6800001</v>
      </c>
      <c r="G20" s="45">
        <v>33404566.48</v>
      </c>
      <c r="H20" s="38">
        <v>1360013932.1500001</v>
      </c>
      <c r="I20" s="112">
        <v>10268296046.67</v>
      </c>
      <c r="J20" s="40">
        <f t="shared" si="1"/>
        <v>0.38646058386165305</v>
      </c>
      <c r="K20" s="61">
        <v>11604413782.049999</v>
      </c>
      <c r="L20" s="40">
        <f t="shared" si="7"/>
        <v>0.41509211098784449</v>
      </c>
      <c r="M20" s="40">
        <f t="shared" si="8"/>
        <v>0.13012068694818174</v>
      </c>
      <c r="N20" s="41">
        <f t="shared" si="9"/>
        <v>2.878608700740319E-3</v>
      </c>
      <c r="O20" s="42">
        <f t="shared" si="10"/>
        <v>0.11719798670517111</v>
      </c>
      <c r="P20" s="43">
        <f t="shared" si="11"/>
        <v>22951.239378211307</v>
      </c>
      <c r="Q20" s="43">
        <f t="shared" si="12"/>
        <v>2689.839047514808</v>
      </c>
      <c r="R20" s="61">
        <v>22748.41</v>
      </c>
      <c r="S20" s="61">
        <v>23090.25</v>
      </c>
      <c r="T20" s="61">
        <v>17404</v>
      </c>
      <c r="U20" s="61">
        <v>506824.32</v>
      </c>
      <c r="V20" s="61">
        <v>505611.64</v>
      </c>
    </row>
    <row r="21" spans="1:23">
      <c r="A21" s="65">
        <v>17</v>
      </c>
      <c r="B21" s="55" t="s">
        <v>49</v>
      </c>
      <c r="C21" s="55" t="s">
        <v>50</v>
      </c>
      <c r="D21" s="93">
        <v>2292336102.8499999</v>
      </c>
      <c r="E21" s="93">
        <v>18473722</v>
      </c>
      <c r="F21" s="94">
        <v>43968891.289999999</v>
      </c>
      <c r="G21" s="94">
        <v>5318331</v>
      </c>
      <c r="H21" s="38">
        <f t="shared" si="0"/>
        <v>57124282.289999999</v>
      </c>
      <c r="I21" s="123">
        <v>3175243983</v>
      </c>
      <c r="J21" s="40">
        <f t="shared" si="1"/>
        <v>0.11950440832598808</v>
      </c>
      <c r="K21" s="94">
        <v>3185888052.7048202</v>
      </c>
      <c r="L21" s="40">
        <f t="shared" si="7"/>
        <v>0.11395982787288884</v>
      </c>
      <c r="M21" s="40">
        <f t="shared" si="8"/>
        <v>3.352205298807791E-3</v>
      </c>
      <c r="N21" s="41">
        <f t="shared" si="9"/>
        <v>1.6693402002888127E-3</v>
      </c>
      <c r="O21" s="42">
        <f t="shared" si="10"/>
        <v>1.7930411032961897E-2</v>
      </c>
      <c r="P21" s="43">
        <f t="shared" si="11"/>
        <v>1.2963538988130299</v>
      </c>
      <c r="Q21" s="43">
        <f t="shared" si="12"/>
        <v>2.324415824990032E-2</v>
      </c>
      <c r="R21" s="94">
        <v>1.2963538988130301</v>
      </c>
      <c r="S21" s="98">
        <v>1.3</v>
      </c>
      <c r="T21" s="94">
        <v>2875</v>
      </c>
      <c r="U21" s="94">
        <v>2462711048.75</v>
      </c>
      <c r="V21" s="94">
        <v>2457575863.8299999</v>
      </c>
    </row>
    <row r="22" spans="1:23">
      <c r="A22" s="146" t="s">
        <v>51</v>
      </c>
      <c r="B22" s="146"/>
      <c r="C22" s="146"/>
      <c r="D22" s="146"/>
      <c r="E22" s="146"/>
      <c r="F22" s="146"/>
      <c r="G22" s="146"/>
      <c r="H22" s="146"/>
      <c r="I22" s="95">
        <f>SUM(I5:I21)</f>
        <v>26570099191.139999</v>
      </c>
      <c r="J22" s="109">
        <f>(I22/$I$195)</f>
        <v>8.247475687398087E-3</v>
      </c>
      <c r="K22" s="95">
        <f>SUM(K5:K21)</f>
        <v>27956237844.254818</v>
      </c>
      <c r="L22" s="109">
        <f>(K22/$K$195)</f>
        <v>8.3972732282635281E-3</v>
      </c>
      <c r="M22" s="40">
        <f t="shared" si="2"/>
        <v>5.2169118494560872E-2</v>
      </c>
      <c r="N22" s="41"/>
      <c r="O22" s="41"/>
      <c r="P22" s="51"/>
      <c r="Q22" s="51"/>
      <c r="R22" s="53"/>
      <c r="S22" s="53"/>
      <c r="T22" s="53">
        <f>SUM(T5:T21)</f>
        <v>48993</v>
      </c>
      <c r="U22" s="53"/>
      <c r="V22" s="53"/>
    </row>
    <row r="23" spans="1:23" ht="6" customHeight="1">
      <c r="A23" s="147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8"/>
    </row>
    <row r="24" spans="1:23">
      <c r="A24" s="148" t="s">
        <v>52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</row>
    <row r="25" spans="1:23" ht="12.9" customHeight="1">
      <c r="A25" s="65">
        <v>18</v>
      </c>
      <c r="B25" s="55" t="s">
        <v>53</v>
      </c>
      <c r="C25" s="55" t="s">
        <v>22</v>
      </c>
      <c r="D25" s="98">
        <v>1200462498.99</v>
      </c>
      <c r="E25" s="98">
        <v>19265253.559999999</v>
      </c>
      <c r="F25" s="98"/>
      <c r="G25" s="98">
        <v>2291641.46</v>
      </c>
      <c r="H25" s="38">
        <f t="shared" ref="H25:H57" si="13">(E25+F25)-G25</f>
        <v>16973612.099999998</v>
      </c>
      <c r="I25" s="110">
        <v>1024910062.85</v>
      </c>
      <c r="J25" s="40">
        <f t="shared" ref="J25:J58" si="14">(I25/$I$59)</f>
        <v>8.6028688824056263E-4</v>
      </c>
      <c r="K25" s="101">
        <v>1165615573.6800001</v>
      </c>
      <c r="L25" s="40">
        <f t="shared" ref="L25:L58" si="15">(K25/$K$59)</f>
        <v>9.1114767015083452E-4</v>
      </c>
      <c r="M25" s="40">
        <f t="shared" ref="M25:M59" si="16">((K25-I25)/I25)</f>
        <v>0.13728571503994774</v>
      </c>
      <c r="N25" s="41">
        <f t="shared" ref="N25" si="17">(G25/K25)</f>
        <v>1.9660353822873091E-3</v>
      </c>
      <c r="O25" s="42">
        <f t="shared" ref="O25" si="18">H25/K25</f>
        <v>1.4561929750485484E-2</v>
      </c>
      <c r="P25" s="54">
        <f t="shared" ref="P25" si="19">K25/V25</f>
        <v>101.0400829460731</v>
      </c>
      <c r="Q25" s="54">
        <f t="shared" ref="Q25" si="20">H25/V25</f>
        <v>1.4713385898439428</v>
      </c>
      <c r="R25" s="45">
        <v>100</v>
      </c>
      <c r="S25" s="45">
        <v>100</v>
      </c>
      <c r="T25" s="45">
        <v>841</v>
      </c>
      <c r="U25" s="98">
        <v>10136100</v>
      </c>
      <c r="V25" s="98">
        <v>11536170</v>
      </c>
    </row>
    <row r="26" spans="1:23" ht="15" customHeight="1">
      <c r="A26" s="65">
        <v>19</v>
      </c>
      <c r="B26" s="55" t="s">
        <v>54</v>
      </c>
      <c r="C26" s="55" t="s">
        <v>55</v>
      </c>
      <c r="D26" s="45">
        <v>7722441780.1700001</v>
      </c>
      <c r="E26" s="45">
        <v>143295687.08000001</v>
      </c>
      <c r="F26" s="45">
        <v>0</v>
      </c>
      <c r="G26" s="45">
        <v>12284377.5</v>
      </c>
      <c r="H26" s="38">
        <f t="shared" si="13"/>
        <v>131011309.58000001</v>
      </c>
      <c r="I26" s="16">
        <v>6907818656.0100002</v>
      </c>
      <c r="J26" s="40">
        <f t="shared" si="14"/>
        <v>5.798270532717649E-3</v>
      </c>
      <c r="K26" s="45">
        <v>7712504905.5200005</v>
      </c>
      <c r="L26" s="40">
        <f t="shared" si="15"/>
        <v>6.0287722936864579E-3</v>
      </c>
      <c r="M26" s="40">
        <f t="shared" ref="M26:M58" si="21">((K26-I26)/I26)</f>
        <v>0.11648919718092196</v>
      </c>
      <c r="N26" s="41">
        <f t="shared" ref="N26:N58" si="22">(G26/K26)</f>
        <v>1.5927869933940418E-3</v>
      </c>
      <c r="O26" s="42">
        <f t="shared" ref="O26:O58" si="23">H26/K26</f>
        <v>1.6986868881760125E-2</v>
      </c>
      <c r="P26" s="54">
        <f t="shared" ref="P26:P58" si="24">K26/V26</f>
        <v>103.25295303120618</v>
      </c>
      <c r="Q26" s="54">
        <f t="shared" ref="Q26:Q58" si="25">H26/V26</f>
        <v>1.753944374795636</v>
      </c>
      <c r="R26" s="45">
        <v>100</v>
      </c>
      <c r="S26" s="45">
        <v>100</v>
      </c>
      <c r="T26" s="45">
        <v>1628</v>
      </c>
      <c r="U26" s="45">
        <v>67842322.030000001</v>
      </c>
      <c r="V26" s="45">
        <v>74695247.730000004</v>
      </c>
    </row>
    <row r="27" spans="1:23">
      <c r="A27" s="65">
        <v>20</v>
      </c>
      <c r="B27" s="55" t="s">
        <v>56</v>
      </c>
      <c r="C27" s="55" t="s">
        <v>24</v>
      </c>
      <c r="D27" s="45">
        <v>549668341.42999995</v>
      </c>
      <c r="E27" s="45">
        <v>9772302.7300000004</v>
      </c>
      <c r="F27" s="45"/>
      <c r="G27" s="45">
        <v>765616.6</v>
      </c>
      <c r="H27" s="38">
        <v>9006686.1300000008</v>
      </c>
      <c r="I27" s="16">
        <v>493852644.56999999</v>
      </c>
      <c r="J27" s="40">
        <f t="shared" si="14"/>
        <v>4.1452901112619595E-4</v>
      </c>
      <c r="K27" s="45">
        <v>554755837.55999994</v>
      </c>
      <c r="L27" s="40">
        <f t="shared" si="15"/>
        <v>4.3364596382283364E-4</v>
      </c>
      <c r="M27" s="40">
        <f t="shared" si="21"/>
        <v>0.12332260171053386</v>
      </c>
      <c r="N27" s="41">
        <f t="shared" si="22"/>
        <v>1.380096518438518E-3</v>
      </c>
      <c r="O27" s="42">
        <f t="shared" si="23"/>
        <v>1.6235405777097166E-2</v>
      </c>
      <c r="P27" s="54">
        <f t="shared" si="24"/>
        <v>90.803454270111033</v>
      </c>
      <c r="Q27" s="54">
        <f t="shared" si="25"/>
        <v>1.4742309260373392</v>
      </c>
      <c r="R27" s="45">
        <v>100</v>
      </c>
      <c r="S27" s="45">
        <v>100</v>
      </c>
      <c r="T27" s="45">
        <v>1278</v>
      </c>
      <c r="U27" s="45">
        <v>5594863.2400000002</v>
      </c>
      <c r="V27" s="45">
        <v>6109413.3700000001</v>
      </c>
    </row>
    <row r="28" spans="1:23">
      <c r="A28" s="65">
        <v>21</v>
      </c>
      <c r="B28" s="55" t="s">
        <v>57</v>
      </c>
      <c r="C28" s="45" t="s">
        <v>58</v>
      </c>
      <c r="D28" s="61">
        <v>37224939150.699997</v>
      </c>
      <c r="E28" s="61">
        <v>1761640710.1199999</v>
      </c>
      <c r="F28" s="61"/>
      <c r="G28" s="61">
        <v>177762555.97999999</v>
      </c>
      <c r="H28" s="38">
        <f t="shared" si="13"/>
        <v>1583878154.1399999</v>
      </c>
      <c r="I28" s="111">
        <v>98723411367</v>
      </c>
      <c r="J28" s="40">
        <f t="shared" si="14"/>
        <v>8.2866252796114218E-2</v>
      </c>
      <c r="K28" s="61">
        <v>101936295080</v>
      </c>
      <c r="L28" s="40">
        <f t="shared" si="15"/>
        <v>7.9682375444520559E-2</v>
      </c>
      <c r="M28" s="40">
        <f t="shared" si="21"/>
        <v>3.2544293886444461E-2</v>
      </c>
      <c r="N28" s="41">
        <f t="shared" si="22"/>
        <v>1.7438592980105001E-3</v>
      </c>
      <c r="O28" s="42">
        <f t="shared" si="23"/>
        <v>1.5537921531256027E-2</v>
      </c>
      <c r="P28" s="54">
        <f t="shared" si="24"/>
        <v>1</v>
      </c>
      <c r="Q28" s="54">
        <f t="shared" si="25"/>
        <v>1.5537921531256027E-2</v>
      </c>
      <c r="R28" s="45">
        <v>1</v>
      </c>
      <c r="S28" s="45">
        <v>1</v>
      </c>
      <c r="T28" s="45">
        <v>60637</v>
      </c>
      <c r="U28" s="61">
        <v>98723411367</v>
      </c>
      <c r="V28" s="61">
        <v>101936295080</v>
      </c>
    </row>
    <row r="29" spans="1:23" ht="15" customHeight="1">
      <c r="A29" s="65">
        <v>22</v>
      </c>
      <c r="B29" s="55" t="s">
        <v>59</v>
      </c>
      <c r="C29" s="55" t="s">
        <v>28</v>
      </c>
      <c r="D29" s="45">
        <v>23407223708.290001</v>
      </c>
      <c r="E29" s="45">
        <v>1315997200.79</v>
      </c>
      <c r="F29" s="45"/>
      <c r="G29" s="45">
        <v>101431334.38</v>
      </c>
      <c r="H29" s="38">
        <v>1214565866.4200001</v>
      </c>
      <c r="I29" s="112">
        <v>62074365406.519997</v>
      </c>
      <c r="J29" s="40">
        <f t="shared" si="14"/>
        <v>5.2103852416656674E-2</v>
      </c>
      <c r="K29" s="61">
        <v>65403797257.68</v>
      </c>
      <c r="L29" s="40">
        <f t="shared" si="15"/>
        <v>5.1125361427877408E-2</v>
      </c>
      <c r="M29" s="40">
        <f t="shared" si="21"/>
        <v>5.3636180238908988E-2</v>
      </c>
      <c r="N29" s="41">
        <f t="shared" si="22"/>
        <v>1.5508477891639462E-3</v>
      </c>
      <c r="O29" s="42">
        <f t="shared" si="23"/>
        <v>1.8570265295680219E-2</v>
      </c>
      <c r="P29" s="54">
        <f t="shared" si="24"/>
        <v>1.0322072840741883</v>
      </c>
      <c r="Q29" s="54">
        <f t="shared" si="25"/>
        <v>1.9168363105391235E-2</v>
      </c>
      <c r="R29" s="45">
        <v>1</v>
      </c>
      <c r="S29" s="45">
        <v>1</v>
      </c>
      <c r="T29" s="45">
        <v>29375</v>
      </c>
      <c r="U29" s="45">
        <v>61089209080.660004</v>
      </c>
      <c r="V29" s="45">
        <v>63363045646.730003</v>
      </c>
    </row>
    <row r="30" spans="1:23">
      <c r="A30" s="65">
        <v>23</v>
      </c>
      <c r="B30" s="45" t="s">
        <v>60</v>
      </c>
      <c r="C30" s="45" t="s">
        <v>44</v>
      </c>
      <c r="D30" s="45">
        <v>10155064356.709999</v>
      </c>
      <c r="E30" s="45">
        <v>158584208.61000001</v>
      </c>
      <c r="F30" s="45"/>
      <c r="G30" s="45">
        <v>14641103.83</v>
      </c>
      <c r="H30" s="38">
        <v>143943104.78</v>
      </c>
      <c r="I30" s="16">
        <v>8742921605.1499996</v>
      </c>
      <c r="J30" s="40">
        <f t="shared" si="14"/>
        <v>7.3386154497406568E-3</v>
      </c>
      <c r="K30" s="45">
        <v>9865945806.2099991</v>
      </c>
      <c r="L30" s="40">
        <f t="shared" si="15"/>
        <v>7.712091137202416E-3</v>
      </c>
      <c r="M30" s="40">
        <f t="shared" si="21"/>
        <v>0.12844953343725332</v>
      </c>
      <c r="N30" s="41">
        <f t="shared" si="22"/>
        <v>1.4840040800532613E-3</v>
      </c>
      <c r="O30" s="42">
        <f t="shared" si="23"/>
        <v>1.4589894127473999E-2</v>
      </c>
      <c r="P30" s="54">
        <f t="shared" si="24"/>
        <v>100.00000000212852</v>
      </c>
      <c r="Q30" s="54">
        <f t="shared" si="25"/>
        <v>1.4589894127784548</v>
      </c>
      <c r="R30" s="45">
        <v>100</v>
      </c>
      <c r="S30" s="45">
        <v>100</v>
      </c>
      <c r="T30" s="45">
        <v>1993</v>
      </c>
      <c r="U30" s="61">
        <v>87429216.049999997</v>
      </c>
      <c r="V30" s="45">
        <v>98659458.060000002</v>
      </c>
    </row>
    <row r="31" spans="1:23">
      <c r="A31" s="65">
        <v>24</v>
      </c>
      <c r="B31" s="55" t="s">
        <v>223</v>
      </c>
      <c r="C31" s="55" t="s">
        <v>224</v>
      </c>
      <c r="D31" s="45">
        <v>431829365.97000003</v>
      </c>
      <c r="E31" s="45">
        <v>15321107.859999999</v>
      </c>
      <c r="F31" s="45">
        <v>0</v>
      </c>
      <c r="G31" s="45">
        <v>445246.66</v>
      </c>
      <c r="H31" s="38">
        <f t="shared" si="13"/>
        <v>14875861.199999999</v>
      </c>
      <c r="I31" s="16">
        <v>347326796.39999998</v>
      </c>
      <c r="J31" s="40">
        <f t="shared" si="14"/>
        <v>2.9153844781915289E-4</v>
      </c>
      <c r="K31" s="45">
        <v>411171169.77999997</v>
      </c>
      <c r="L31" s="40">
        <f t="shared" si="15"/>
        <v>3.2140755652008008E-4</v>
      </c>
      <c r="M31" s="40">
        <f t="shared" si="21"/>
        <v>0.1838164346711488</v>
      </c>
      <c r="N31" s="41">
        <f t="shared" si="22"/>
        <v>1.0828742205788221E-3</v>
      </c>
      <c r="O31" s="42">
        <f t="shared" si="23"/>
        <v>3.6179241866494273E-2</v>
      </c>
      <c r="P31" s="54">
        <f t="shared" si="24"/>
        <v>1.0151395902985285</v>
      </c>
      <c r="Q31" s="54">
        <f t="shared" si="25"/>
        <v>3.6726980765664365E-2</v>
      </c>
      <c r="R31" s="45">
        <v>1</v>
      </c>
      <c r="S31" s="45">
        <v>1</v>
      </c>
      <c r="T31" s="45">
        <v>191</v>
      </c>
      <c r="U31" s="61">
        <f>(V31+28672786.12)-87398598.67</f>
        <v>346313232.03999996</v>
      </c>
      <c r="V31" s="45">
        <v>405039044.58999997</v>
      </c>
    </row>
    <row r="32" spans="1:23">
      <c r="A32" s="65">
        <v>25</v>
      </c>
      <c r="B32" s="55" t="s">
        <v>243</v>
      </c>
      <c r="C32" s="55" t="s">
        <v>61</v>
      </c>
      <c r="D32" s="61">
        <v>27309818526.34</v>
      </c>
      <c r="E32" s="45">
        <v>532925881.23000002</v>
      </c>
      <c r="F32" s="45">
        <v>0</v>
      </c>
      <c r="G32" s="45">
        <v>43485450.780000001</v>
      </c>
      <c r="H32" s="38">
        <f t="shared" si="13"/>
        <v>489440430.45000005</v>
      </c>
      <c r="I32" s="16">
        <v>25760374263.259998</v>
      </c>
      <c r="J32" s="40">
        <f t="shared" si="14"/>
        <v>2.1622689656522205E-2</v>
      </c>
      <c r="K32" s="45">
        <v>26241671486.57</v>
      </c>
      <c r="L32" s="40">
        <f t="shared" si="15"/>
        <v>2.0512798881336787E-2</v>
      </c>
      <c r="M32" s="40">
        <f t="shared" si="21"/>
        <v>1.8683626968744701E-2</v>
      </c>
      <c r="N32" s="41">
        <f t="shared" si="22"/>
        <v>1.6571143649235548E-3</v>
      </c>
      <c r="O32" s="42">
        <f t="shared" si="23"/>
        <v>1.865126734402138E-2</v>
      </c>
      <c r="P32" s="54">
        <f t="shared" si="24"/>
        <v>99.999999998361389</v>
      </c>
      <c r="Q32" s="54">
        <f t="shared" si="25"/>
        <v>1.8651267343715758</v>
      </c>
      <c r="R32" s="45">
        <v>100</v>
      </c>
      <c r="S32" s="45">
        <v>100</v>
      </c>
      <c r="T32" s="45">
        <v>2876</v>
      </c>
      <c r="U32" s="45">
        <v>257603742.63</v>
      </c>
      <c r="V32" s="45">
        <v>262416714.87</v>
      </c>
    </row>
    <row r="33" spans="1:22">
      <c r="A33" s="65">
        <v>26</v>
      </c>
      <c r="B33" s="55" t="s">
        <v>62</v>
      </c>
      <c r="C33" s="55" t="s">
        <v>63</v>
      </c>
      <c r="D33" s="45">
        <v>3935460119.2800002</v>
      </c>
      <c r="E33" s="61">
        <v>175195166.22</v>
      </c>
      <c r="F33" s="61"/>
      <c r="G33" s="45">
        <v>10770811.74</v>
      </c>
      <c r="H33" s="38">
        <f t="shared" si="13"/>
        <v>164424354.47999999</v>
      </c>
      <c r="I33" s="112">
        <v>9286831000</v>
      </c>
      <c r="J33" s="40">
        <f t="shared" si="14"/>
        <v>7.7951609923604254E-3</v>
      </c>
      <c r="K33" s="61">
        <v>9398422488.2000008</v>
      </c>
      <c r="L33" s="40">
        <f t="shared" si="15"/>
        <v>7.3466337843968808E-3</v>
      </c>
      <c r="M33" s="40">
        <f t="shared" si="21"/>
        <v>1.2016099808427737E-2</v>
      </c>
      <c r="N33" s="41">
        <f t="shared" si="22"/>
        <v>1.1460233622741557E-3</v>
      </c>
      <c r="O33" s="42">
        <f t="shared" si="23"/>
        <v>1.7494888603533165E-2</v>
      </c>
      <c r="P33" s="54">
        <f t="shared" si="24"/>
        <v>99.999999874447028</v>
      </c>
      <c r="Q33" s="54">
        <f t="shared" si="25"/>
        <v>1.7494888581567809</v>
      </c>
      <c r="R33" s="45">
        <v>100</v>
      </c>
      <c r="S33" s="45">
        <v>100</v>
      </c>
      <c r="T33" s="45">
        <v>6201</v>
      </c>
      <c r="U33" s="45">
        <v>92868310</v>
      </c>
      <c r="V33" s="45">
        <v>93984225</v>
      </c>
    </row>
    <row r="34" spans="1:22">
      <c r="A34" s="65">
        <v>27</v>
      </c>
      <c r="B34" s="55" t="s">
        <v>64</v>
      </c>
      <c r="C34" s="45" t="s">
        <v>65</v>
      </c>
      <c r="D34" s="45">
        <v>39263942.280000001</v>
      </c>
      <c r="E34" s="45">
        <v>275433.01</v>
      </c>
      <c r="F34" s="45"/>
      <c r="G34" s="45">
        <v>41437.480000000003</v>
      </c>
      <c r="H34" s="38">
        <f t="shared" si="13"/>
        <v>233995.53</v>
      </c>
      <c r="I34" s="113">
        <v>39203248.560000002</v>
      </c>
      <c r="J34" s="40">
        <f t="shared" si="14"/>
        <v>3.2906341673356823E-5</v>
      </c>
      <c r="K34" s="45">
        <v>39203248.560000002</v>
      </c>
      <c r="L34" s="40">
        <f t="shared" si="15"/>
        <v>3.0644707735858003E-5</v>
      </c>
      <c r="M34" s="40">
        <f t="shared" si="21"/>
        <v>0</v>
      </c>
      <c r="N34" s="41">
        <f t="shared" si="22"/>
        <v>1.056990977076314E-3</v>
      </c>
      <c r="O34" s="42">
        <f t="shared" si="23"/>
        <v>5.9687790832403404E-3</v>
      </c>
      <c r="P34" s="54">
        <f t="shared" si="24"/>
        <v>101.87107246798604</v>
      </c>
      <c r="Q34" s="54">
        <f t="shared" si="25"/>
        <v>0.608045926534176</v>
      </c>
      <c r="R34" s="45">
        <v>10</v>
      </c>
      <c r="S34" s="45">
        <v>10</v>
      </c>
      <c r="T34" s="45">
        <v>86</v>
      </c>
      <c r="U34" s="45">
        <v>384832</v>
      </c>
      <c r="V34" s="45">
        <v>384832</v>
      </c>
    </row>
    <row r="35" spans="1:22">
      <c r="A35" s="65">
        <v>28</v>
      </c>
      <c r="B35" s="55" t="s">
        <v>66</v>
      </c>
      <c r="C35" s="55" t="s">
        <v>67</v>
      </c>
      <c r="D35" s="61">
        <v>6396607420.9300003</v>
      </c>
      <c r="E35" s="99">
        <v>141912696.83000001</v>
      </c>
      <c r="F35" s="99"/>
      <c r="G35" s="98">
        <v>9411610.8800000008</v>
      </c>
      <c r="H35" s="38">
        <f t="shared" si="13"/>
        <v>132501085.95000002</v>
      </c>
      <c r="I35" s="114">
        <v>6374741274.0299997</v>
      </c>
      <c r="J35" s="40">
        <f t="shared" si="14"/>
        <v>5.3508171426516387E-3</v>
      </c>
      <c r="K35" s="69">
        <v>6453757641.8199997</v>
      </c>
      <c r="L35" s="40">
        <f t="shared" si="15"/>
        <v>5.0448247019362329E-3</v>
      </c>
      <c r="M35" s="40">
        <f t="shared" si="21"/>
        <v>1.2395227412899723E-2</v>
      </c>
      <c r="N35" s="41">
        <f t="shared" si="22"/>
        <v>1.4583148922440584E-3</v>
      </c>
      <c r="O35" s="42">
        <f t="shared" si="23"/>
        <v>2.0530843162036357E-2</v>
      </c>
      <c r="P35" s="54">
        <f t="shared" si="24"/>
        <v>1.0315215361136962</v>
      </c>
      <c r="Q35" s="54">
        <f t="shared" si="25"/>
        <v>2.1178006876213119E-2</v>
      </c>
      <c r="R35" s="45">
        <v>1</v>
      </c>
      <c r="S35" s="45">
        <v>1</v>
      </c>
      <c r="T35" s="98">
        <v>2510</v>
      </c>
      <c r="U35" s="61">
        <v>6285472632.1499996</v>
      </c>
      <c r="V35" s="61">
        <v>6256541832.5</v>
      </c>
    </row>
    <row r="36" spans="1:22">
      <c r="A36" s="65">
        <v>29</v>
      </c>
      <c r="B36" s="55" t="s">
        <v>68</v>
      </c>
      <c r="C36" s="55" t="s">
        <v>69</v>
      </c>
      <c r="D36" s="45">
        <v>6758643766.3299999</v>
      </c>
      <c r="E36" s="45">
        <v>292180007.13</v>
      </c>
      <c r="F36" s="45">
        <v>0</v>
      </c>
      <c r="G36" s="45">
        <v>23782454.719999999</v>
      </c>
      <c r="H36" s="38">
        <f t="shared" si="13"/>
        <v>268397552.41</v>
      </c>
      <c r="I36" s="112">
        <v>14882510521.67</v>
      </c>
      <c r="J36" s="40">
        <f t="shared" si="14"/>
        <v>1.2492050893024282E-2</v>
      </c>
      <c r="K36" s="61">
        <v>15740463840.719999</v>
      </c>
      <c r="L36" s="40">
        <f t="shared" si="15"/>
        <v>1.2304131207072227E-2</v>
      </c>
      <c r="M36" s="40">
        <f t="shared" si="21"/>
        <v>5.7648426843089261E-2</v>
      </c>
      <c r="N36" s="41">
        <f t="shared" si="22"/>
        <v>1.5109119375806236E-3</v>
      </c>
      <c r="O36" s="42">
        <f t="shared" si="23"/>
        <v>1.7051438580587785E-2</v>
      </c>
      <c r="P36" s="54">
        <f t="shared" si="24"/>
        <v>100.00000025869632</v>
      </c>
      <c r="Q36" s="54">
        <f t="shared" si="25"/>
        <v>1.7051438624699229</v>
      </c>
      <c r="R36" s="45">
        <v>100</v>
      </c>
      <c r="S36" s="45">
        <v>100</v>
      </c>
      <c r="T36" s="45">
        <v>5802</v>
      </c>
      <c r="U36" s="45">
        <v>148825105</v>
      </c>
      <c r="V36" s="45">
        <v>157404638</v>
      </c>
    </row>
    <row r="37" spans="1:22">
      <c r="A37" s="65">
        <v>30</v>
      </c>
      <c r="B37" s="55" t="s">
        <v>70</v>
      </c>
      <c r="C37" s="55" t="s">
        <v>69</v>
      </c>
      <c r="D37" s="45">
        <v>301277943.13999999</v>
      </c>
      <c r="E37" s="45">
        <v>6593221.2599999998</v>
      </c>
      <c r="F37" s="45">
        <v>0</v>
      </c>
      <c r="G37" s="45">
        <v>628289.51</v>
      </c>
      <c r="H37" s="38">
        <f t="shared" si="13"/>
        <v>5964931.75</v>
      </c>
      <c r="I37" s="16">
        <v>431923411.67000002</v>
      </c>
      <c r="J37" s="40">
        <f t="shared" si="14"/>
        <v>3.6254697973261469E-4</v>
      </c>
      <c r="K37" s="45">
        <v>438147318.26999998</v>
      </c>
      <c r="L37" s="40">
        <f t="shared" si="15"/>
        <v>3.4249448723833273E-4</v>
      </c>
      <c r="M37" s="40">
        <f t="shared" si="21"/>
        <v>1.4409745875861853E-2</v>
      </c>
      <c r="N37" s="41">
        <f t="shared" si="22"/>
        <v>1.4339686306440622E-3</v>
      </c>
      <c r="O37" s="42">
        <f t="shared" si="23"/>
        <v>1.3613986669032227E-2</v>
      </c>
      <c r="P37" s="54">
        <f t="shared" si="24"/>
        <v>1000336.3430821918</v>
      </c>
      <c r="Q37" s="54">
        <f t="shared" si="25"/>
        <v>13618.565639269407</v>
      </c>
      <c r="R37" s="45">
        <v>1000000</v>
      </c>
      <c r="S37" s="45">
        <v>1000000</v>
      </c>
      <c r="T37" s="45">
        <v>21</v>
      </c>
      <c r="U37" s="45">
        <v>438</v>
      </c>
      <c r="V37" s="45">
        <v>438</v>
      </c>
    </row>
    <row r="38" spans="1:22">
      <c r="A38" s="65">
        <v>31</v>
      </c>
      <c r="B38" s="45" t="s">
        <v>71</v>
      </c>
      <c r="C38" s="45" t="s">
        <v>72</v>
      </c>
      <c r="D38" s="61">
        <v>3559475947.4699998</v>
      </c>
      <c r="E38" s="61">
        <v>66088966.93</v>
      </c>
      <c r="F38" s="61"/>
      <c r="G38" s="92">
        <v>6138370.1200000001</v>
      </c>
      <c r="H38" s="38">
        <v>59950596.810000002</v>
      </c>
      <c r="I38" s="115">
        <v>3579498843.6700001</v>
      </c>
      <c r="J38" s="40">
        <f t="shared" si="14"/>
        <v>3.0045523342005077E-3</v>
      </c>
      <c r="K38" s="92">
        <v>3417426686.3200002</v>
      </c>
      <c r="L38" s="40">
        <f t="shared" si="15"/>
        <v>2.6713613248329766E-3</v>
      </c>
      <c r="M38" s="40">
        <f t="shared" si="21"/>
        <v>-4.5277890684783696E-2</v>
      </c>
      <c r="N38" s="41">
        <f t="shared" si="22"/>
        <v>1.7961965781363998E-3</v>
      </c>
      <c r="O38" s="42">
        <f t="shared" si="23"/>
        <v>1.7542613876687672E-2</v>
      </c>
      <c r="P38" s="54">
        <f t="shared" si="24"/>
        <v>0.99627867846412044</v>
      </c>
      <c r="Q38" s="54">
        <f t="shared" si="25"/>
        <v>1.7477332169872736E-2</v>
      </c>
      <c r="R38" s="45">
        <v>1</v>
      </c>
      <c r="S38" s="45">
        <v>1</v>
      </c>
      <c r="T38" s="98">
        <v>910</v>
      </c>
      <c r="U38" s="61">
        <v>3565794592.1700001</v>
      </c>
      <c r="V38" s="61">
        <v>3430191531.9400001</v>
      </c>
    </row>
    <row r="39" spans="1:22" ht="12.75" customHeight="1">
      <c r="A39" s="65">
        <v>32</v>
      </c>
      <c r="B39" s="55" t="s">
        <v>73</v>
      </c>
      <c r="C39" s="55" t="s">
        <v>74</v>
      </c>
      <c r="D39" s="99">
        <v>512513114.67000002</v>
      </c>
      <c r="E39" s="61">
        <v>6514007.3799999999</v>
      </c>
      <c r="F39" s="99"/>
      <c r="G39" s="99">
        <v>1003184.33</v>
      </c>
      <c r="H39" s="38">
        <f t="shared" si="13"/>
        <v>5510823.0499999998</v>
      </c>
      <c r="I39" s="114">
        <v>594477758.42999995</v>
      </c>
      <c r="J39" s="40">
        <f t="shared" si="14"/>
        <v>4.989915110266785E-4</v>
      </c>
      <c r="K39" s="69">
        <v>600910215.42999995</v>
      </c>
      <c r="L39" s="40">
        <f t="shared" si="15"/>
        <v>4.6972428570964879E-4</v>
      </c>
      <c r="M39" s="40">
        <f t="shared" si="21"/>
        <v>1.0820349304552536E-2</v>
      </c>
      <c r="N39" s="41">
        <f t="shared" si="22"/>
        <v>1.669441297951875E-3</v>
      </c>
      <c r="O39" s="42">
        <f t="shared" si="23"/>
        <v>9.1707927548819578E-3</v>
      </c>
      <c r="P39" s="54">
        <f t="shared" si="24"/>
        <v>0.71317711253732052</v>
      </c>
      <c r="Q39" s="54">
        <f t="shared" si="25"/>
        <v>6.5403994966048941E-3</v>
      </c>
      <c r="R39" s="45">
        <v>1</v>
      </c>
      <c r="S39" s="45">
        <v>1</v>
      </c>
      <c r="T39" s="45">
        <v>650</v>
      </c>
      <c r="U39" s="61">
        <v>847826747.11000001</v>
      </c>
      <c r="V39" s="61">
        <v>842582024.66999996</v>
      </c>
    </row>
    <row r="40" spans="1:22">
      <c r="A40" s="65">
        <v>33</v>
      </c>
      <c r="B40" s="55" t="s">
        <v>75</v>
      </c>
      <c r="C40" s="55" t="s">
        <v>76</v>
      </c>
      <c r="D40" s="61">
        <v>297061491705.53003</v>
      </c>
      <c r="E40" s="61">
        <v>5872453460.1800003</v>
      </c>
      <c r="F40" s="61"/>
      <c r="G40" s="61">
        <v>394569369.50999999</v>
      </c>
      <c r="H40" s="38">
        <f t="shared" si="13"/>
        <v>5477884090.6700001</v>
      </c>
      <c r="I40" s="112">
        <v>273335524598.28</v>
      </c>
      <c r="J40" s="40">
        <f t="shared" si="14"/>
        <v>0.22943180716596284</v>
      </c>
      <c r="K40" s="61">
        <v>286394066391.46997</v>
      </c>
      <c r="L40" s="40">
        <f t="shared" si="15"/>
        <v>0.22387079602391272</v>
      </c>
      <c r="M40" s="40">
        <f t="shared" si="21"/>
        <v>4.7774769900041543E-2</v>
      </c>
      <c r="N40" s="41">
        <f t="shared" si="22"/>
        <v>1.3777148894232535E-3</v>
      </c>
      <c r="O40" s="42">
        <f t="shared" si="23"/>
        <v>1.9127086533916943E-2</v>
      </c>
      <c r="P40" s="54">
        <f t="shared" si="24"/>
        <v>100.06384816918863</v>
      </c>
      <c r="Q40" s="54">
        <f t="shared" si="25"/>
        <v>1.9139298828487974</v>
      </c>
      <c r="R40" s="45">
        <v>100</v>
      </c>
      <c r="S40" s="45">
        <v>100</v>
      </c>
      <c r="T40" s="98">
        <v>28309</v>
      </c>
      <c r="U40" s="61">
        <v>2731728282</v>
      </c>
      <c r="V40" s="61">
        <v>2862113257</v>
      </c>
    </row>
    <row r="41" spans="1:22" ht="16.8" customHeight="1">
      <c r="A41" s="65">
        <v>34</v>
      </c>
      <c r="B41" s="55" t="s">
        <v>77</v>
      </c>
      <c r="C41" s="55" t="s">
        <v>78</v>
      </c>
      <c r="D41" s="45">
        <v>789050165.88</v>
      </c>
      <c r="E41" s="45">
        <v>11747944.960000001</v>
      </c>
      <c r="F41" s="45">
        <v>0</v>
      </c>
      <c r="G41" s="45">
        <v>2038158.14</v>
      </c>
      <c r="H41" s="38">
        <f t="shared" si="13"/>
        <v>9709786.8200000003</v>
      </c>
      <c r="I41" s="16">
        <v>780637017.54999995</v>
      </c>
      <c r="J41" s="40">
        <f t="shared" si="14"/>
        <v>6.5524948482408485E-4</v>
      </c>
      <c r="K41" s="45">
        <v>605210816.88999999</v>
      </c>
      <c r="L41" s="40">
        <f t="shared" si="15"/>
        <v>4.7308601412938424E-4</v>
      </c>
      <c r="M41" s="40">
        <f t="shared" si="21"/>
        <v>-0.22472185755496007</v>
      </c>
      <c r="N41" s="41">
        <f t="shared" si="22"/>
        <v>3.3676829348052535E-3</v>
      </c>
      <c r="O41" s="42">
        <f t="shared" si="23"/>
        <v>1.6043643882466829E-2</v>
      </c>
      <c r="P41" s="54">
        <f t="shared" si="24"/>
        <v>7.8419419401910755</v>
      </c>
      <c r="Q41" s="54">
        <f t="shared" si="25"/>
        <v>0.12581332383540661</v>
      </c>
      <c r="R41" s="45">
        <v>10</v>
      </c>
      <c r="S41" s="45">
        <v>10</v>
      </c>
      <c r="T41" s="45">
        <v>374</v>
      </c>
      <c r="U41" s="45">
        <v>78835141</v>
      </c>
      <c r="V41" s="45">
        <v>77176141</v>
      </c>
    </row>
    <row r="42" spans="1:22">
      <c r="A42" s="65">
        <v>35</v>
      </c>
      <c r="B42" s="55" t="s">
        <v>79</v>
      </c>
      <c r="C42" s="55" t="s">
        <v>80</v>
      </c>
      <c r="D42" s="45">
        <v>1467085020.6300001</v>
      </c>
      <c r="E42" s="45">
        <v>49749626.439999998</v>
      </c>
      <c r="F42" s="45"/>
      <c r="G42" s="45">
        <v>7224870.2300000004</v>
      </c>
      <c r="H42" s="38">
        <f t="shared" si="13"/>
        <v>42524756.209999993</v>
      </c>
      <c r="I42" s="16">
        <v>3504807270.5599999</v>
      </c>
      <c r="J42" s="40">
        <f t="shared" si="14"/>
        <v>2.9418578760839432E-3</v>
      </c>
      <c r="K42" s="45">
        <v>3900578115.0999999</v>
      </c>
      <c r="L42" s="40">
        <f t="shared" si="15"/>
        <v>3.0490349838019491E-3</v>
      </c>
      <c r="M42" s="40">
        <f t="shared" si="21"/>
        <v>0.11292228473286735</v>
      </c>
      <c r="N42" s="41">
        <f t="shared" si="22"/>
        <v>1.8522562596633896E-3</v>
      </c>
      <c r="O42" s="42">
        <f t="shared" si="23"/>
        <v>1.0902167564694388E-2</v>
      </c>
      <c r="P42" s="54">
        <f t="shared" si="24"/>
        <v>100.22552578804708</v>
      </c>
      <c r="Q42" s="54">
        <f t="shared" si="25"/>
        <v>1.0926754764008879</v>
      </c>
      <c r="R42" s="45">
        <v>100</v>
      </c>
      <c r="S42" s="45">
        <v>100</v>
      </c>
      <c r="T42" s="45">
        <v>1531</v>
      </c>
      <c r="U42" s="61">
        <v>35023365</v>
      </c>
      <c r="V42" s="61">
        <v>38918011</v>
      </c>
    </row>
    <row r="43" spans="1:22">
      <c r="A43" s="65">
        <v>36</v>
      </c>
      <c r="B43" s="55" t="s">
        <v>265</v>
      </c>
      <c r="C43" s="55" t="s">
        <v>235</v>
      </c>
      <c r="D43" s="45">
        <v>50828008.600000001</v>
      </c>
      <c r="E43" s="45">
        <v>828008.6</v>
      </c>
      <c r="F43" s="45">
        <v>0</v>
      </c>
      <c r="G43" s="45">
        <v>36549.160000000003</v>
      </c>
      <c r="H43" s="38">
        <f t="shared" si="13"/>
        <v>791459.44</v>
      </c>
      <c r="I43" s="45">
        <v>0</v>
      </c>
      <c r="J43" s="40">
        <f t="shared" si="14"/>
        <v>0</v>
      </c>
      <c r="K43" s="45">
        <v>52823913.18</v>
      </c>
      <c r="L43" s="40">
        <f t="shared" si="15"/>
        <v>4.1291817395895864E-5</v>
      </c>
      <c r="M43" s="40" t="e">
        <f t="shared" si="21"/>
        <v>#DIV/0!</v>
      </c>
      <c r="N43" s="41">
        <f t="shared" si="22"/>
        <v>6.9190557457295902E-4</v>
      </c>
      <c r="O43" s="42">
        <f t="shared" si="23"/>
        <v>1.4982976314213303E-2</v>
      </c>
      <c r="P43" s="54">
        <f t="shared" si="24"/>
        <v>1.0072249629135284</v>
      </c>
      <c r="Q43" s="54">
        <f t="shared" si="25"/>
        <v>1.509122776241777E-2</v>
      </c>
      <c r="R43" s="45">
        <v>1</v>
      </c>
      <c r="S43" s="45">
        <v>1</v>
      </c>
      <c r="T43" s="45">
        <v>12</v>
      </c>
      <c r="U43" s="61">
        <v>50000000</v>
      </c>
      <c r="V43" s="61">
        <v>52445000</v>
      </c>
    </row>
    <row r="44" spans="1:22">
      <c r="A44" s="65">
        <v>37</v>
      </c>
      <c r="B44" s="45" t="s">
        <v>81</v>
      </c>
      <c r="C44" s="45" t="s">
        <v>36</v>
      </c>
      <c r="D44" s="61">
        <v>36308095453.529999</v>
      </c>
      <c r="E44" s="61">
        <v>619825863.53999996</v>
      </c>
      <c r="F44" s="61"/>
      <c r="G44" s="61">
        <v>39173435.140000001</v>
      </c>
      <c r="H44" s="38">
        <f t="shared" si="13"/>
        <v>580652428.39999998</v>
      </c>
      <c r="I44" s="112">
        <v>31057478038.290001</v>
      </c>
      <c r="J44" s="40">
        <f t="shared" si="14"/>
        <v>2.6068961664659215E-2</v>
      </c>
      <c r="K44" s="61">
        <v>34917459999.980003</v>
      </c>
      <c r="L44" s="40">
        <f t="shared" si="15"/>
        <v>2.7294558381819458E-2</v>
      </c>
      <c r="M44" s="40">
        <f t="shared" si="21"/>
        <v>0.12428510637377335</v>
      </c>
      <c r="N44" s="41">
        <f t="shared" si="22"/>
        <v>1.1218867334571998E-3</v>
      </c>
      <c r="O44" s="42">
        <f t="shared" si="23"/>
        <v>1.662928599045671E-2</v>
      </c>
      <c r="P44" s="54">
        <f t="shared" si="24"/>
        <v>99.99999999994273</v>
      </c>
      <c r="Q44" s="54">
        <f t="shared" si="25"/>
        <v>1.6629285990447185</v>
      </c>
      <c r="R44" s="45">
        <v>100</v>
      </c>
      <c r="S44" s="45">
        <v>100</v>
      </c>
      <c r="T44" s="45">
        <v>12114</v>
      </c>
      <c r="U44" s="61">
        <v>310574780.38</v>
      </c>
      <c r="V44" s="61">
        <v>349174600</v>
      </c>
    </row>
    <row r="45" spans="1:22">
      <c r="A45" s="65">
        <v>38</v>
      </c>
      <c r="B45" s="55" t="s">
        <v>82</v>
      </c>
      <c r="C45" s="55" t="s">
        <v>38</v>
      </c>
      <c r="D45" s="45">
        <v>4770881861.1599998</v>
      </c>
      <c r="E45" s="45">
        <v>85858154.400000006</v>
      </c>
      <c r="F45" s="45"/>
      <c r="G45" s="45">
        <v>5253441.62</v>
      </c>
      <c r="H45" s="38">
        <f t="shared" si="13"/>
        <v>80604712.780000001</v>
      </c>
      <c r="I45" s="16">
        <v>4176337688.6300001</v>
      </c>
      <c r="J45" s="40">
        <f t="shared" si="14"/>
        <v>3.5055256891541667E-3</v>
      </c>
      <c r="K45" s="45">
        <v>4755424352.8299999</v>
      </c>
      <c r="L45" s="40">
        <f t="shared" si="15"/>
        <v>3.717258002979563E-3</v>
      </c>
      <c r="M45" s="40">
        <f t="shared" si="21"/>
        <v>0.13865896567141883</v>
      </c>
      <c r="N45" s="41">
        <f t="shared" si="22"/>
        <v>1.1047261464423516E-3</v>
      </c>
      <c r="O45" s="42">
        <f t="shared" si="23"/>
        <v>1.6950056777168866E-2</v>
      </c>
      <c r="P45" s="54">
        <f t="shared" si="24"/>
        <v>0.98773506891425034</v>
      </c>
      <c r="Q45" s="54">
        <f t="shared" si="25"/>
        <v>1.6742165498897343E-2</v>
      </c>
      <c r="R45" s="45">
        <v>1</v>
      </c>
      <c r="S45" s="45">
        <v>1</v>
      </c>
      <c r="T45" s="45">
        <v>1024</v>
      </c>
      <c r="U45" s="45">
        <v>4231353834</v>
      </c>
      <c r="V45" s="45">
        <v>4814473539</v>
      </c>
    </row>
    <row r="46" spans="1:22">
      <c r="A46" s="65">
        <v>39</v>
      </c>
      <c r="B46" s="55" t="s">
        <v>83</v>
      </c>
      <c r="C46" s="55" t="s">
        <v>40</v>
      </c>
      <c r="D46" s="45">
        <v>9164860255.8799992</v>
      </c>
      <c r="E46" s="45">
        <v>157574858.84</v>
      </c>
      <c r="F46" s="45"/>
      <c r="G46" s="45">
        <v>11092647.42</v>
      </c>
      <c r="H46" s="38">
        <f t="shared" si="13"/>
        <v>146482211.42000002</v>
      </c>
      <c r="I46" s="112">
        <v>7089539762.21</v>
      </c>
      <c r="J46" s="40">
        <f t="shared" si="14"/>
        <v>5.950803218898632E-3</v>
      </c>
      <c r="K46" s="61">
        <v>9196401651.8099995</v>
      </c>
      <c r="L46" s="40">
        <f t="shared" si="15"/>
        <v>7.188716527150963E-3</v>
      </c>
      <c r="M46" s="40">
        <f t="shared" si="21"/>
        <v>0.29717893689381525</v>
      </c>
      <c r="N46" s="41">
        <f t="shared" si="22"/>
        <v>1.2061943181675616E-3</v>
      </c>
      <c r="O46" s="42">
        <f t="shared" si="23"/>
        <v>1.5928209419949591E-2</v>
      </c>
      <c r="P46" s="54">
        <f t="shared" si="24"/>
        <v>10.211794749943065</v>
      </c>
      <c r="Q46" s="54">
        <f t="shared" si="25"/>
        <v>0.16265560533063489</v>
      </c>
      <c r="R46" s="45">
        <v>10</v>
      </c>
      <c r="S46" s="45">
        <v>10</v>
      </c>
      <c r="T46" s="45">
        <v>2491</v>
      </c>
      <c r="U46" s="45">
        <v>705907898.63999999</v>
      </c>
      <c r="V46" s="45">
        <v>900566636.62</v>
      </c>
    </row>
    <row r="47" spans="1:22" ht="14.1" customHeight="1">
      <c r="A47" s="65">
        <v>40</v>
      </c>
      <c r="B47" s="55" t="s">
        <v>84</v>
      </c>
      <c r="C47" s="55" t="s">
        <v>85</v>
      </c>
      <c r="D47" s="45">
        <v>3507779507.7399998</v>
      </c>
      <c r="E47" s="45">
        <v>132211987.03</v>
      </c>
      <c r="F47" s="45"/>
      <c r="G47" s="45">
        <v>8899592.2200000007</v>
      </c>
      <c r="H47" s="38">
        <f t="shared" si="13"/>
        <v>123312394.81</v>
      </c>
      <c r="I47" s="116">
        <v>6270090312</v>
      </c>
      <c r="J47" s="40">
        <f t="shared" si="14"/>
        <v>5.2629754346428196E-3</v>
      </c>
      <c r="K47" s="102">
        <v>7276799041</v>
      </c>
      <c r="L47" s="40">
        <f t="shared" si="15"/>
        <v>5.6881862614707969E-3</v>
      </c>
      <c r="M47" s="40">
        <f t="shared" si="21"/>
        <v>0.1605572932615201</v>
      </c>
      <c r="N47" s="41">
        <f t="shared" si="22"/>
        <v>1.2230092063634881E-3</v>
      </c>
      <c r="O47" s="42">
        <f t="shared" si="23"/>
        <v>1.6945966779516018E-2</v>
      </c>
      <c r="P47" s="54">
        <f t="shared" si="24"/>
        <v>100.00000056343455</v>
      </c>
      <c r="Q47" s="54">
        <f t="shared" si="25"/>
        <v>1.6945966874995448</v>
      </c>
      <c r="R47" s="45">
        <v>100</v>
      </c>
      <c r="S47" s="45">
        <v>100</v>
      </c>
      <c r="T47" s="45">
        <v>2809</v>
      </c>
      <c r="U47" s="61">
        <v>62700903</v>
      </c>
      <c r="V47" s="61">
        <v>72767990</v>
      </c>
    </row>
    <row r="48" spans="1:22">
      <c r="A48" s="65">
        <v>41</v>
      </c>
      <c r="B48" s="55" t="s">
        <v>86</v>
      </c>
      <c r="C48" s="45" t="s">
        <v>87</v>
      </c>
      <c r="D48" s="45">
        <v>185030803.12</v>
      </c>
      <c r="E48" s="45">
        <v>2814016.38</v>
      </c>
      <c r="F48" s="45"/>
      <c r="G48" s="45">
        <v>2590720.77</v>
      </c>
      <c r="H48" s="38">
        <f t="shared" si="13"/>
        <v>223295.60999999987</v>
      </c>
      <c r="I48" s="112">
        <v>174313960.61000001</v>
      </c>
      <c r="J48" s="40">
        <f t="shared" si="14"/>
        <v>1.463152916394111E-4</v>
      </c>
      <c r="K48" s="61">
        <v>174384682.33000001</v>
      </c>
      <c r="L48" s="40">
        <f t="shared" si="15"/>
        <v>1.3631440811427725E-4</v>
      </c>
      <c r="M48" s="40">
        <f t="shared" si="21"/>
        <v>4.0571460686518104E-4</v>
      </c>
      <c r="N48" s="41">
        <f t="shared" si="22"/>
        <v>1.4856355130420244E-2</v>
      </c>
      <c r="O48" s="42">
        <f t="shared" si="23"/>
        <v>1.2804772014175098E-3</v>
      </c>
      <c r="P48" s="54">
        <f t="shared" si="24"/>
        <v>1.0040542269265835</v>
      </c>
      <c r="Q48" s="54">
        <f t="shared" si="25"/>
        <v>1.2856685465663729E-3</v>
      </c>
      <c r="R48" s="45">
        <v>1</v>
      </c>
      <c r="S48" s="45">
        <v>1</v>
      </c>
      <c r="T48" s="45">
        <v>79</v>
      </c>
      <c r="U48" s="45">
        <v>173608238</v>
      </c>
      <c r="V48" s="61">
        <v>173680542</v>
      </c>
    </row>
    <row r="49" spans="1:23" ht="15" customHeight="1">
      <c r="A49" s="65">
        <v>42</v>
      </c>
      <c r="B49" s="45" t="s">
        <v>88</v>
      </c>
      <c r="C49" s="45" t="s">
        <v>42</v>
      </c>
      <c r="D49" s="45">
        <v>781251926.73000002</v>
      </c>
      <c r="E49" s="45">
        <v>39986579.579999998</v>
      </c>
      <c r="F49" s="45">
        <v>0</v>
      </c>
      <c r="G49" s="45">
        <v>1057045.6000000001</v>
      </c>
      <c r="H49" s="38">
        <f t="shared" si="13"/>
        <v>38929533.979999997</v>
      </c>
      <c r="I49" s="16">
        <v>865281054.62</v>
      </c>
      <c r="J49" s="40">
        <f t="shared" si="14"/>
        <v>7.262978215499253E-4</v>
      </c>
      <c r="K49" s="45">
        <v>791056342.35000002</v>
      </c>
      <c r="L49" s="40">
        <f t="shared" si="15"/>
        <v>6.1835922543028617E-4</v>
      </c>
      <c r="M49" s="40">
        <f t="shared" si="21"/>
        <v>-8.5781044059258613E-2</v>
      </c>
      <c r="N49" s="41">
        <f t="shared" si="22"/>
        <v>1.3362456545886767E-3</v>
      </c>
      <c r="O49" s="42">
        <f t="shared" si="23"/>
        <v>4.9212087554157763E-2</v>
      </c>
      <c r="P49" s="54">
        <f t="shared" si="24"/>
        <v>10.38417716533063</v>
      </c>
      <c r="Q49" s="54">
        <f t="shared" si="25"/>
        <v>0.5110270358381368</v>
      </c>
      <c r="R49" s="45">
        <v>10</v>
      </c>
      <c r="S49" s="45">
        <v>10</v>
      </c>
      <c r="T49" s="45">
        <v>722</v>
      </c>
      <c r="U49" s="45">
        <v>71681997.599999994</v>
      </c>
      <c r="V49" s="45">
        <v>76179010.599999994</v>
      </c>
    </row>
    <row r="50" spans="1:23" ht="15" customHeight="1">
      <c r="A50" s="65">
        <v>43</v>
      </c>
      <c r="B50" s="45" t="s">
        <v>218</v>
      </c>
      <c r="C50" s="45" t="s">
        <v>219</v>
      </c>
      <c r="D50" s="45">
        <v>238365878.38</v>
      </c>
      <c r="E50" s="45">
        <v>11146192</v>
      </c>
      <c r="F50" s="45">
        <v>0</v>
      </c>
      <c r="G50" s="45">
        <v>1585200.01</v>
      </c>
      <c r="H50" s="38">
        <f t="shared" si="13"/>
        <v>9560991.9900000002</v>
      </c>
      <c r="I50" s="16">
        <v>653078000.86000001</v>
      </c>
      <c r="J50" s="40">
        <f t="shared" si="14"/>
        <v>5.4817926128650349E-4</v>
      </c>
      <c r="K50" s="45">
        <v>660368230.69000006</v>
      </c>
      <c r="L50" s="40">
        <f t="shared" si="15"/>
        <v>5.1620190088503995E-4</v>
      </c>
      <c r="M50" s="40">
        <f t="shared" si="21"/>
        <v>1.1162877666067404E-2</v>
      </c>
      <c r="N50" s="41">
        <f t="shared" si="22"/>
        <v>2.4004789090832997E-3</v>
      </c>
      <c r="O50" s="42">
        <f t="shared" si="23"/>
        <v>1.4478273704975163E-2</v>
      </c>
      <c r="P50" s="54">
        <f t="shared" si="24"/>
        <v>1.0000076377516181</v>
      </c>
      <c r="Q50" s="54">
        <f t="shared" si="25"/>
        <v>1.447838428643358E-2</v>
      </c>
      <c r="R50" s="45">
        <v>1</v>
      </c>
      <c r="S50" s="45">
        <v>1</v>
      </c>
      <c r="T50" s="45">
        <v>56</v>
      </c>
      <c r="U50" s="45">
        <v>653077958</v>
      </c>
      <c r="V50" s="45">
        <v>660363187</v>
      </c>
    </row>
    <row r="51" spans="1:23" ht="15" customHeight="1">
      <c r="A51" s="65">
        <v>44</v>
      </c>
      <c r="B51" s="55" t="s">
        <v>220</v>
      </c>
      <c r="C51" s="55" t="s">
        <v>221</v>
      </c>
      <c r="D51" s="45">
        <v>7152124586.8481007</v>
      </c>
      <c r="E51" s="45">
        <v>136066283.4659</v>
      </c>
      <c r="F51" s="45">
        <v>0</v>
      </c>
      <c r="G51" s="45">
        <v>9087862.9906000011</v>
      </c>
      <c r="H51" s="38">
        <f t="shared" si="13"/>
        <v>126978420.4753</v>
      </c>
      <c r="I51" s="16">
        <v>6063960129.5799999</v>
      </c>
      <c r="J51" s="40">
        <f t="shared" si="14"/>
        <v>5.0899543085613256E-3</v>
      </c>
      <c r="K51" s="45">
        <v>7163630494.0579004</v>
      </c>
      <c r="L51" s="40">
        <f t="shared" si="15"/>
        <v>5.5997237698835337E-3</v>
      </c>
      <c r="M51" s="40">
        <f t="shared" si="21"/>
        <v>0.18134524980032571</v>
      </c>
      <c r="N51" s="41">
        <f t="shared" si="22"/>
        <v>1.268611355392802E-3</v>
      </c>
      <c r="O51" s="42">
        <f t="shared" si="23"/>
        <v>1.7725428549200891E-2</v>
      </c>
      <c r="P51" s="54">
        <f t="shared" si="24"/>
        <v>229.3534657777825</v>
      </c>
      <c r="Q51" s="54">
        <f t="shared" si="25"/>
        <v>4.0653884701556757</v>
      </c>
      <c r="R51" s="45">
        <v>100</v>
      </c>
      <c r="S51" s="45">
        <v>100</v>
      </c>
      <c r="T51" s="45">
        <v>57</v>
      </c>
      <c r="U51" s="45">
        <v>100000000</v>
      </c>
      <c r="V51" s="45">
        <v>31234018.940000001</v>
      </c>
    </row>
    <row r="52" spans="1:23" ht="15" customHeight="1">
      <c r="A52" s="65">
        <v>45</v>
      </c>
      <c r="B52" s="55" t="s">
        <v>222</v>
      </c>
      <c r="C52" s="55" t="s">
        <v>114</v>
      </c>
      <c r="D52" s="45">
        <v>50000000</v>
      </c>
      <c r="E52" s="45">
        <v>1004939.92</v>
      </c>
      <c r="F52" s="45">
        <v>0</v>
      </c>
      <c r="G52" s="45">
        <v>616554.9</v>
      </c>
      <c r="H52" s="38">
        <f t="shared" si="13"/>
        <v>388385.02</v>
      </c>
      <c r="I52" s="16">
        <v>50753821.780000001</v>
      </c>
      <c r="J52" s="40">
        <f t="shared" si="14"/>
        <v>4.2601637927153946E-5</v>
      </c>
      <c r="K52" s="45">
        <v>53453894.329999998</v>
      </c>
      <c r="L52" s="40">
        <f t="shared" si="15"/>
        <v>4.1784266081399635E-5</v>
      </c>
      <c r="M52" s="40">
        <f t="shared" si="21"/>
        <v>5.3199393765928873E-2</v>
      </c>
      <c r="N52" s="41">
        <f t="shared" si="22"/>
        <v>1.1534330804668241E-2</v>
      </c>
      <c r="O52" s="42">
        <f t="shared" si="23"/>
        <v>7.26579466039065E-3</v>
      </c>
      <c r="P52" s="54">
        <f t="shared" si="24"/>
        <v>1067.4127227525059</v>
      </c>
      <c r="Q52" s="54">
        <f t="shared" si="25"/>
        <v>7.7556016614082033</v>
      </c>
      <c r="R52" s="45">
        <v>1000</v>
      </c>
      <c r="S52" s="45">
        <v>1000</v>
      </c>
      <c r="T52" s="45">
        <v>17</v>
      </c>
      <c r="U52" s="45">
        <v>50010</v>
      </c>
      <c r="V52" s="45">
        <v>50078</v>
      </c>
    </row>
    <row r="53" spans="1:23">
      <c r="A53" s="65">
        <v>46</v>
      </c>
      <c r="B53" s="55" t="s">
        <v>89</v>
      </c>
      <c r="C53" s="55" t="s">
        <v>46</v>
      </c>
      <c r="D53" s="61">
        <v>578988197448.66003</v>
      </c>
      <c r="E53" s="61">
        <v>10668900899.01</v>
      </c>
      <c r="F53" s="61"/>
      <c r="G53" s="61">
        <v>911649530.88999999</v>
      </c>
      <c r="H53" s="38">
        <f t="shared" si="13"/>
        <v>9757251368.1200008</v>
      </c>
      <c r="I53" s="112">
        <v>529896500131.06</v>
      </c>
      <c r="J53" s="40">
        <f t="shared" si="14"/>
        <v>0.44478342804019477</v>
      </c>
      <c r="K53" s="61">
        <v>577752834884.75</v>
      </c>
      <c r="L53" s="40">
        <f t="shared" si="15"/>
        <v>0.45162243994931295</v>
      </c>
      <c r="M53" s="40">
        <f t="shared" si="21"/>
        <v>9.0312607729723882E-2</v>
      </c>
      <c r="N53" s="41">
        <f t="shared" si="22"/>
        <v>1.5779230768670407E-3</v>
      </c>
      <c r="O53" s="42">
        <f t="shared" si="23"/>
        <v>1.6888279518466363E-2</v>
      </c>
      <c r="P53" s="54">
        <f t="shared" si="24"/>
        <v>1</v>
      </c>
      <c r="Q53" s="54">
        <f t="shared" si="25"/>
        <v>1.6888279518466363E-2</v>
      </c>
      <c r="R53" s="45">
        <v>100</v>
      </c>
      <c r="S53" s="45">
        <v>100</v>
      </c>
      <c r="T53" s="61">
        <v>132554</v>
      </c>
      <c r="U53" s="61">
        <v>529896500131.06</v>
      </c>
      <c r="V53" s="61">
        <v>577752834884.75</v>
      </c>
    </row>
    <row r="54" spans="1:23">
      <c r="A54" s="65">
        <v>47</v>
      </c>
      <c r="B54" s="55" t="s">
        <v>90</v>
      </c>
      <c r="C54" s="55" t="s">
        <v>91</v>
      </c>
      <c r="D54" s="98">
        <v>3513944824.9499998</v>
      </c>
      <c r="E54" s="98">
        <v>63502891.799999997</v>
      </c>
      <c r="F54" s="98">
        <v>0</v>
      </c>
      <c r="G54" s="98">
        <v>5210089.24</v>
      </c>
      <c r="H54" s="38">
        <f t="shared" si="13"/>
        <v>58292802.559999995</v>
      </c>
      <c r="I54" s="16">
        <v>3638701535</v>
      </c>
      <c r="J54" s="40">
        <f t="shared" si="14"/>
        <v>3.0542457667716797E-3</v>
      </c>
      <c r="K54" s="45">
        <v>3488282009.3600001</v>
      </c>
      <c r="L54" s="40">
        <f t="shared" si="15"/>
        <v>2.7267480783763061E-3</v>
      </c>
      <c r="M54" s="40">
        <f t="shared" si="21"/>
        <v>-4.1338791927049291E-2</v>
      </c>
      <c r="N54" s="41">
        <f t="shared" si="22"/>
        <v>1.4935974861034537E-3</v>
      </c>
      <c r="O54" s="42">
        <f t="shared" si="23"/>
        <v>1.6711034946023488E-2</v>
      </c>
      <c r="P54" s="54">
        <f t="shared" si="24"/>
        <v>1.033707483929821</v>
      </c>
      <c r="Q54" s="54">
        <f t="shared" si="25"/>
        <v>1.7274321887917252E-2</v>
      </c>
      <c r="R54" s="45">
        <v>1</v>
      </c>
      <c r="S54" s="45">
        <v>1</v>
      </c>
      <c r="T54" s="98">
        <v>378</v>
      </c>
      <c r="U54" s="98">
        <v>3578659893.46</v>
      </c>
      <c r="V54" s="98">
        <v>3374534927.52</v>
      </c>
    </row>
    <row r="55" spans="1:23">
      <c r="A55" s="65">
        <v>48</v>
      </c>
      <c r="B55" s="55" t="s">
        <v>92</v>
      </c>
      <c r="C55" s="55" t="s">
        <v>50</v>
      </c>
      <c r="D55" s="97">
        <v>14826663684.3069</v>
      </c>
      <c r="E55" s="94">
        <v>708011981.03999996</v>
      </c>
      <c r="F55" s="97"/>
      <c r="G55" s="94">
        <v>51729989</v>
      </c>
      <c r="H55" s="94">
        <v>656281992.03999996</v>
      </c>
      <c r="I55" s="117">
        <v>45908879770</v>
      </c>
      <c r="J55" s="40">
        <f t="shared" si="14"/>
        <v>3.8534900525924148E-2</v>
      </c>
      <c r="K55" s="94">
        <v>51468024961.178001</v>
      </c>
      <c r="L55" s="40">
        <f t="shared" si="15"/>
        <v>4.0231935888252426E-2</v>
      </c>
      <c r="M55" s="40">
        <f t="shared" si="21"/>
        <v>0.12109084819818947</v>
      </c>
      <c r="N55" s="41">
        <f t="shared" si="22"/>
        <v>1.0050898405178671E-3</v>
      </c>
      <c r="O55" s="42">
        <f t="shared" si="23"/>
        <v>1.2751256581829771E-2</v>
      </c>
      <c r="P55" s="54">
        <f t="shared" si="24"/>
        <v>1.0554347738857128</v>
      </c>
      <c r="Q55" s="54">
        <f t="shared" si="25"/>
        <v>1.3458119607202211E-2</v>
      </c>
      <c r="R55" s="94">
        <v>1.0554347738857099</v>
      </c>
      <c r="S55" s="94">
        <v>1.0554347738857099</v>
      </c>
      <c r="T55" s="94">
        <v>8490</v>
      </c>
      <c r="U55" s="94">
        <v>45055217518.879997</v>
      </c>
      <c r="V55" s="94">
        <v>48764761437.309998</v>
      </c>
    </row>
    <row r="56" spans="1:23">
      <c r="A56" s="65">
        <v>49</v>
      </c>
      <c r="B56" s="100" t="s">
        <v>93</v>
      </c>
      <c r="C56" s="55" t="s">
        <v>94</v>
      </c>
      <c r="D56" s="69">
        <v>697978167.13</v>
      </c>
      <c r="E56" s="69">
        <v>21502667.98</v>
      </c>
      <c r="F56" s="69"/>
      <c r="G56" s="69">
        <v>1780319.21</v>
      </c>
      <c r="H56" s="38">
        <f t="shared" si="13"/>
        <v>19722348.77</v>
      </c>
      <c r="I56" s="112">
        <v>1247980185.0699999</v>
      </c>
      <c r="J56" s="40">
        <f t="shared" si="14"/>
        <v>1.0475270259463544E-3</v>
      </c>
      <c r="K56" s="61">
        <v>1231373574.1500001</v>
      </c>
      <c r="L56" s="40">
        <f t="shared" si="15"/>
        <v>9.6254990796828047E-4</v>
      </c>
      <c r="M56" s="40">
        <f t="shared" si="21"/>
        <v>-1.3306790539361299E-2</v>
      </c>
      <c r="N56" s="41">
        <f t="shared" si="22"/>
        <v>1.4457994286818517E-3</v>
      </c>
      <c r="O56" s="42">
        <f t="shared" si="23"/>
        <v>1.6016543788195278E-2</v>
      </c>
      <c r="P56" s="54">
        <f t="shared" si="24"/>
        <v>1.0317924876535371</v>
      </c>
      <c r="Q56" s="54">
        <f t="shared" si="25"/>
        <v>1.6525749558833812E-2</v>
      </c>
      <c r="R56" s="45">
        <v>1</v>
      </c>
      <c r="S56" s="45">
        <v>1</v>
      </c>
      <c r="T56" s="98">
        <v>107</v>
      </c>
      <c r="U56" s="61">
        <v>1229931256.1199999</v>
      </c>
      <c r="V56" s="61">
        <v>1193431420.45</v>
      </c>
    </row>
    <row r="57" spans="1:23">
      <c r="A57" s="65">
        <v>50</v>
      </c>
      <c r="B57" s="55" t="s">
        <v>95</v>
      </c>
      <c r="C57" s="55" t="s">
        <v>96</v>
      </c>
      <c r="D57" s="61">
        <v>1972960197.1900001</v>
      </c>
      <c r="E57" s="61">
        <v>34491740.479999997</v>
      </c>
      <c r="F57" s="61"/>
      <c r="G57" s="61">
        <v>2914138.3</v>
      </c>
      <c r="H57" s="38">
        <f t="shared" si="13"/>
        <v>31577602.179999996</v>
      </c>
      <c r="I57" s="112">
        <v>1816878985.45</v>
      </c>
      <c r="J57" s="40">
        <f t="shared" si="14"/>
        <v>1.5250481240822865E-3</v>
      </c>
      <c r="K57" s="61">
        <v>1969159002.4300001</v>
      </c>
      <c r="L57" s="40">
        <f t="shared" si="15"/>
        <v>1.5392679007849306E-3</v>
      </c>
      <c r="M57" s="40">
        <f t="shared" si="21"/>
        <v>8.381406697941618E-2</v>
      </c>
      <c r="N57" s="41">
        <f t="shared" si="22"/>
        <v>1.4798897886884033E-3</v>
      </c>
      <c r="O57" s="42">
        <f t="shared" si="23"/>
        <v>1.6036085527391292E-2</v>
      </c>
      <c r="P57" s="54">
        <f t="shared" si="24"/>
        <v>1.0276747953966525</v>
      </c>
      <c r="Q57" s="54">
        <f t="shared" si="25"/>
        <v>1.6479880913325067E-2</v>
      </c>
      <c r="R57" s="45">
        <v>1</v>
      </c>
      <c r="S57" s="45">
        <v>1</v>
      </c>
      <c r="T57" s="45">
        <v>296</v>
      </c>
      <c r="U57" s="61">
        <v>1792536011.9100001</v>
      </c>
      <c r="V57" s="61">
        <v>1916130483.3499999</v>
      </c>
    </row>
    <row r="58" spans="1:23">
      <c r="A58" s="65">
        <v>51</v>
      </c>
      <c r="B58" s="55" t="s">
        <v>97</v>
      </c>
      <c r="C58" s="55" t="s">
        <v>98</v>
      </c>
      <c r="D58" s="45">
        <v>38021651949.230003</v>
      </c>
      <c r="E58" s="69">
        <v>682378683.44000006</v>
      </c>
      <c r="F58" s="69"/>
      <c r="G58" s="69">
        <v>43695498.149999999</v>
      </c>
      <c r="H58" s="38">
        <f t="shared" ref="H58" si="26">(E58+F58)-G58</f>
        <v>638683185.29000008</v>
      </c>
      <c r="I58" s="114">
        <v>35563551480.239998</v>
      </c>
      <c r="J58" s="40">
        <f t="shared" si="14"/>
        <v>2.9851260268284059E-2</v>
      </c>
      <c r="K58" s="69">
        <v>38051413104.389999</v>
      </c>
      <c r="L58" s="40">
        <f t="shared" si="15"/>
        <v>2.9744331818210647E-2</v>
      </c>
      <c r="M58" s="40">
        <f t="shared" si="21"/>
        <v>6.9955376237728115E-2</v>
      </c>
      <c r="N58" s="41">
        <f t="shared" si="22"/>
        <v>1.1483278697200037E-3</v>
      </c>
      <c r="O58" s="42">
        <f t="shared" si="23"/>
        <v>1.6784742882947363E-2</v>
      </c>
      <c r="P58" s="54">
        <f t="shared" si="24"/>
        <v>1.032104197616613</v>
      </c>
      <c r="Q58" s="54">
        <f t="shared" si="25"/>
        <v>1.7323603585405543E-2</v>
      </c>
      <c r="R58" s="45">
        <v>1</v>
      </c>
      <c r="S58" s="45">
        <v>1</v>
      </c>
      <c r="T58" s="45">
        <v>3859</v>
      </c>
      <c r="U58" s="61">
        <v>35000713819.190002</v>
      </c>
      <c r="V58" s="61">
        <v>36867801906.300003</v>
      </c>
    </row>
    <row r="59" spans="1:23" ht="15" customHeight="1">
      <c r="A59" s="146" t="s">
        <v>51</v>
      </c>
      <c r="B59" s="146"/>
      <c r="C59" s="146"/>
      <c r="D59" s="146"/>
      <c r="E59" s="146"/>
      <c r="F59" s="146"/>
      <c r="G59" s="146"/>
      <c r="H59" s="146"/>
      <c r="I59" s="53">
        <f>SUM(I25:I58)</f>
        <v>1191358460601.5798</v>
      </c>
      <c r="J59" s="109">
        <f>(I59/$I$195)</f>
        <v>0.36980290770099927</v>
      </c>
      <c r="K59" s="53">
        <f>SUM(K25:K58)</f>
        <v>1279282834018.5955</v>
      </c>
      <c r="L59" s="109">
        <f>(K59/$K$195)</f>
        <v>0.38426084201058169</v>
      </c>
      <c r="M59" s="50">
        <f t="shared" si="16"/>
        <v>7.3801778662500928E-2</v>
      </c>
      <c r="N59" s="41"/>
      <c r="O59" s="41"/>
      <c r="P59" s="59"/>
      <c r="Q59" s="59"/>
      <c r="R59" s="53"/>
      <c r="S59" s="53"/>
      <c r="T59" s="53">
        <f>SUM(T25:T58)</f>
        <v>310278</v>
      </c>
      <c r="U59" s="53"/>
      <c r="V59" s="53"/>
    </row>
    <row r="60" spans="1:23" ht="6.9" customHeight="1">
      <c r="A60" s="149"/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8"/>
    </row>
    <row r="61" spans="1:23">
      <c r="A61" s="148" t="s">
        <v>99</v>
      </c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</row>
    <row r="62" spans="1:23">
      <c r="A62" s="36">
        <v>52</v>
      </c>
      <c r="B62" s="37" t="s">
        <v>100</v>
      </c>
      <c r="C62" s="37" t="s">
        <v>24</v>
      </c>
      <c r="D62" s="45">
        <v>471961234.06</v>
      </c>
      <c r="E62" s="45">
        <v>7097881.21</v>
      </c>
      <c r="F62" s="45"/>
      <c r="G62" s="45">
        <v>670347.76</v>
      </c>
      <c r="H62" s="38">
        <f t="shared" ref="H62:H76" si="27">(E62+F62)-G62</f>
        <v>6427533.4500000002</v>
      </c>
      <c r="I62" s="16">
        <v>455902367.88</v>
      </c>
      <c r="J62" s="40">
        <f t="shared" ref="J62:J94" si="28">(I62/$I$95)</f>
        <v>2.0534686089767836E-3</v>
      </c>
      <c r="K62" s="44">
        <v>473751760.29000002</v>
      </c>
      <c r="L62" s="40">
        <f t="shared" ref="L62:L94" si="29">(K62/$K$95)</f>
        <v>2.2099780978108662E-3</v>
      </c>
      <c r="M62" s="40">
        <f t="shared" ref="M62:M95" si="30">((K62-I62)/I62)</f>
        <v>3.9151787021861312E-2</v>
      </c>
      <c r="N62" s="41">
        <f t="shared" ref="N62" si="31">(G62/K62)</f>
        <v>1.4149768215946188E-3</v>
      </c>
      <c r="O62" s="42">
        <f t="shared" ref="O62" si="32">H62/K62</f>
        <v>1.3567302517389027E-2</v>
      </c>
      <c r="P62" s="54">
        <f t="shared" ref="P62" si="33">K62/V62</f>
        <v>1.2825506885698237</v>
      </c>
      <c r="Q62" s="54">
        <f t="shared" ref="Q62" si="34">H62/V62</f>
        <v>1.7400753185712398E-2</v>
      </c>
      <c r="R62" s="45">
        <v>1.27</v>
      </c>
      <c r="S62" s="45">
        <v>1.27</v>
      </c>
      <c r="T62" s="61">
        <v>358</v>
      </c>
      <c r="U62" s="45">
        <v>369292004.27999997</v>
      </c>
      <c r="V62" s="45">
        <v>369382484.85000002</v>
      </c>
    </row>
    <row r="63" spans="1:23" ht="12.9" customHeight="1">
      <c r="A63" s="36">
        <v>53</v>
      </c>
      <c r="B63" s="37" t="s">
        <v>101</v>
      </c>
      <c r="C63" s="46" t="s">
        <v>26</v>
      </c>
      <c r="D63" s="45">
        <v>1235371240.1099999</v>
      </c>
      <c r="E63" s="45">
        <v>16867470.260000002</v>
      </c>
      <c r="F63" s="45">
        <v>3317500.37</v>
      </c>
      <c r="G63" s="45">
        <v>2853466.53</v>
      </c>
      <c r="H63" s="38">
        <f t="shared" si="27"/>
        <v>17331504.100000001</v>
      </c>
      <c r="I63" s="16">
        <v>1402111290</v>
      </c>
      <c r="J63" s="40">
        <f t="shared" si="28"/>
        <v>6.3153686472292849E-3</v>
      </c>
      <c r="K63" s="44">
        <v>1412830592</v>
      </c>
      <c r="L63" s="40">
        <f t="shared" si="29"/>
        <v>6.5906344333704972E-3</v>
      </c>
      <c r="M63" s="40">
        <f t="shared" ref="M63:M94" si="35">((K63-I63)/I63)</f>
        <v>7.6451149608816006E-3</v>
      </c>
      <c r="N63" s="41">
        <f t="shared" ref="N63:N94" si="36">(G63/K63)</f>
        <v>2.0196805945153257E-3</v>
      </c>
      <c r="O63" s="42">
        <f t="shared" ref="O63:O94" si="37">H63/K63</f>
        <v>1.2267220286804209E-2</v>
      </c>
      <c r="P63" s="54">
        <f t="shared" ref="P63:P94" si="38">K63/V63</f>
        <v>1.1805104708861054</v>
      </c>
      <c r="Q63" s="54">
        <f t="shared" ref="Q63:Q94" si="39">H63/V63</f>
        <v>1.4481581997238823E-2</v>
      </c>
      <c r="R63" s="45">
        <v>1.1805000000000001</v>
      </c>
      <c r="S63" s="45">
        <v>1.1805000000000001</v>
      </c>
      <c r="T63" s="45">
        <v>726</v>
      </c>
      <c r="U63" s="61">
        <v>1202181833</v>
      </c>
      <c r="V63" s="61">
        <v>1196796324</v>
      </c>
    </row>
    <row r="64" spans="1:23" ht="15" customHeight="1">
      <c r="A64" s="36">
        <v>54</v>
      </c>
      <c r="B64" s="37" t="s">
        <v>102</v>
      </c>
      <c r="C64" s="37" t="s">
        <v>103</v>
      </c>
      <c r="D64" s="45">
        <v>773944200.52999997</v>
      </c>
      <c r="E64" s="45">
        <v>10378911.08</v>
      </c>
      <c r="F64" s="45"/>
      <c r="G64" s="45">
        <v>2064916.44</v>
      </c>
      <c r="H64" s="38">
        <f t="shared" si="27"/>
        <v>8313994.6400000006</v>
      </c>
      <c r="I64" s="16">
        <v>870743554</v>
      </c>
      <c r="J64" s="40">
        <f t="shared" si="28"/>
        <v>3.9219900587981141E-3</v>
      </c>
      <c r="K64" s="44">
        <v>847439969</v>
      </c>
      <c r="L64" s="40">
        <f t="shared" si="29"/>
        <v>3.9531753286850026E-3</v>
      </c>
      <c r="M64" s="40">
        <f t="shared" si="35"/>
        <v>-2.6762856748061555E-2</v>
      </c>
      <c r="N64" s="41">
        <f t="shared" si="36"/>
        <v>2.4366521706978869E-3</v>
      </c>
      <c r="O64" s="42">
        <f t="shared" si="37"/>
        <v>9.8107180970124861E-3</v>
      </c>
      <c r="P64" s="54">
        <f t="shared" si="38"/>
        <v>1.075858410634581</v>
      </c>
      <c r="Q64" s="54">
        <f t="shared" si="39"/>
        <v>1.0554943579035775E-2</v>
      </c>
      <c r="R64" s="45">
        <v>1.0759000000000001</v>
      </c>
      <c r="S64" s="45">
        <v>1.08</v>
      </c>
      <c r="T64" s="45">
        <v>180</v>
      </c>
      <c r="U64" s="45">
        <v>816763057</v>
      </c>
      <c r="V64" s="45">
        <v>787687265</v>
      </c>
    </row>
    <row r="65" spans="1:22">
      <c r="A65" s="36">
        <v>55</v>
      </c>
      <c r="B65" s="37" t="s">
        <v>104</v>
      </c>
      <c r="C65" s="46" t="s">
        <v>105</v>
      </c>
      <c r="D65" s="69">
        <v>221654433.24000001</v>
      </c>
      <c r="E65" s="69">
        <v>3569210.35</v>
      </c>
      <c r="F65" s="69"/>
      <c r="G65" s="69">
        <v>424275.94</v>
      </c>
      <c r="H65" s="38">
        <f t="shared" si="27"/>
        <v>3144934.41</v>
      </c>
      <c r="I65" s="114">
        <v>265428585.27000001</v>
      </c>
      <c r="J65" s="40">
        <f t="shared" si="28"/>
        <v>1.1955394535711804E-3</v>
      </c>
      <c r="K65" s="49">
        <v>265428585.27000001</v>
      </c>
      <c r="L65" s="40">
        <f t="shared" si="29"/>
        <v>1.2381829665826483E-3</v>
      </c>
      <c r="M65" s="40">
        <f t="shared" si="35"/>
        <v>0</v>
      </c>
      <c r="N65" s="41">
        <f t="shared" si="36"/>
        <v>1.598456095331318E-3</v>
      </c>
      <c r="O65" s="42">
        <f t="shared" si="37"/>
        <v>1.1848514382129947E-2</v>
      </c>
      <c r="P65" s="54">
        <f t="shared" si="38"/>
        <v>1065.1654772262129</v>
      </c>
      <c r="Q65" s="54">
        <f t="shared" si="39"/>
        <v>12.620628476263093</v>
      </c>
      <c r="R65" s="45">
        <v>1065.08</v>
      </c>
      <c r="S65" s="45">
        <v>1065.08</v>
      </c>
      <c r="T65" s="45">
        <v>109</v>
      </c>
      <c r="U65" s="45">
        <v>248680</v>
      </c>
      <c r="V65" s="45">
        <v>249190</v>
      </c>
    </row>
    <row r="66" spans="1:22">
      <c r="A66" s="36">
        <v>56</v>
      </c>
      <c r="B66" s="37" t="s">
        <v>106</v>
      </c>
      <c r="C66" s="46" t="s">
        <v>107</v>
      </c>
      <c r="D66" s="45">
        <v>1356348766.22</v>
      </c>
      <c r="E66" s="45">
        <v>20400565.850000001</v>
      </c>
      <c r="F66" s="45"/>
      <c r="G66" s="45">
        <v>2285959.9700000002</v>
      </c>
      <c r="H66" s="38">
        <f t="shared" si="27"/>
        <v>18114605.880000003</v>
      </c>
      <c r="I66" s="16">
        <v>1709717082.4300001</v>
      </c>
      <c r="J66" s="40">
        <f t="shared" si="28"/>
        <v>7.7008820448273762E-3</v>
      </c>
      <c r="K66" s="44">
        <v>1563887228.22</v>
      </c>
      <c r="L66" s="40">
        <f t="shared" si="29"/>
        <v>7.2952900896805306E-3</v>
      </c>
      <c r="M66" s="40">
        <f t="shared" si="35"/>
        <v>-8.529472841362376E-2</v>
      </c>
      <c r="N66" s="41">
        <f t="shared" si="36"/>
        <v>1.461716630681776E-3</v>
      </c>
      <c r="O66" s="42">
        <f t="shared" si="37"/>
        <v>1.1583064017101704E-2</v>
      </c>
      <c r="P66" s="54">
        <f t="shared" si="38"/>
        <v>1.0494432704950292</v>
      </c>
      <c r="Q66" s="54">
        <f t="shared" si="39"/>
        <v>1.2155768584460502E-2</v>
      </c>
      <c r="R66" s="38">
        <v>1.0491999999999999</v>
      </c>
      <c r="S66" s="61">
        <v>1.0491999999999999</v>
      </c>
      <c r="T66" s="45">
        <v>877</v>
      </c>
      <c r="U66" s="45">
        <v>1583277474.1400001</v>
      </c>
      <c r="V66" s="45">
        <v>1490206543.02</v>
      </c>
    </row>
    <row r="67" spans="1:22">
      <c r="A67" s="36">
        <v>57</v>
      </c>
      <c r="B67" s="37" t="s">
        <v>108</v>
      </c>
      <c r="C67" s="37" t="s">
        <v>109</v>
      </c>
      <c r="D67" s="45">
        <v>430921145.75999999</v>
      </c>
      <c r="E67" s="45">
        <v>5334138.21</v>
      </c>
      <c r="F67" s="45">
        <v>0</v>
      </c>
      <c r="G67" s="45">
        <v>877714.6</v>
      </c>
      <c r="H67" s="38">
        <f t="shared" si="27"/>
        <v>4456423.6100000003</v>
      </c>
      <c r="I67" s="16">
        <v>420487439.22000003</v>
      </c>
      <c r="J67" s="40">
        <f t="shared" si="28"/>
        <v>1.8939532183666519E-3</v>
      </c>
      <c r="K67" s="44">
        <v>425196862.82999998</v>
      </c>
      <c r="L67" s="40">
        <f t="shared" si="29"/>
        <v>1.9834770714877823E-3</v>
      </c>
      <c r="M67" s="40">
        <f t="shared" si="35"/>
        <v>1.1199915076502375E-2</v>
      </c>
      <c r="N67" s="41">
        <f t="shared" si="36"/>
        <v>2.0642546470313996E-3</v>
      </c>
      <c r="O67" s="42">
        <f t="shared" si="37"/>
        <v>1.0480847813267486E-2</v>
      </c>
      <c r="P67" s="54">
        <f t="shared" si="38"/>
        <v>2.4218137418204191</v>
      </c>
      <c r="Q67" s="54">
        <f t="shared" si="39"/>
        <v>2.5382661260099686E-2</v>
      </c>
      <c r="R67" s="45">
        <v>2.4167999999999998</v>
      </c>
      <c r="S67" s="45">
        <v>2.4167999999999998</v>
      </c>
      <c r="T67" s="45">
        <v>1392</v>
      </c>
      <c r="U67" s="45">
        <v>175464235.71000001</v>
      </c>
      <c r="V67" s="45">
        <v>175569597.06999999</v>
      </c>
    </row>
    <row r="68" spans="1:22">
      <c r="A68" s="36">
        <v>58</v>
      </c>
      <c r="B68" s="47" t="s">
        <v>259</v>
      </c>
      <c r="C68" s="48" t="s">
        <v>224</v>
      </c>
      <c r="D68" s="61">
        <v>142385941.02000001</v>
      </c>
      <c r="E68" s="61">
        <v>7082024.2999999998</v>
      </c>
      <c r="F68" s="61">
        <v>0</v>
      </c>
      <c r="G68" s="61">
        <v>345205.4</v>
      </c>
      <c r="H68" s="38">
        <f t="shared" si="27"/>
        <v>6736818.8999999994</v>
      </c>
      <c r="I68" s="112">
        <v>132376565.02</v>
      </c>
      <c r="J68" s="40">
        <f t="shared" si="28"/>
        <v>5.9624853912646045E-4</v>
      </c>
      <c r="K68" s="82">
        <v>136516325.37</v>
      </c>
      <c r="L68" s="40">
        <f t="shared" si="29"/>
        <v>6.3682737321470206E-4</v>
      </c>
      <c r="M68" s="40">
        <f t="shared" si="35"/>
        <v>3.12726074239391E-2</v>
      </c>
      <c r="N68" s="41">
        <f t="shared" si="36"/>
        <v>2.5286748604197362E-3</v>
      </c>
      <c r="O68" s="42">
        <f t="shared" si="37"/>
        <v>4.9348082595551915E-2</v>
      </c>
      <c r="P68" s="54">
        <f t="shared" si="38"/>
        <v>10.957137622768473</v>
      </c>
      <c r="Q68" s="54">
        <f t="shared" si="39"/>
        <v>0.54071373241920795</v>
      </c>
      <c r="R68" s="61">
        <v>10.96</v>
      </c>
      <c r="S68" s="61">
        <v>10.99</v>
      </c>
      <c r="T68" s="61">
        <v>29</v>
      </c>
      <c r="U68" s="61">
        <v>12459123</v>
      </c>
      <c r="V68" s="61">
        <v>12459123</v>
      </c>
    </row>
    <row r="69" spans="1:22">
      <c r="A69" s="36">
        <v>59</v>
      </c>
      <c r="B69" s="46" t="s">
        <v>110</v>
      </c>
      <c r="C69" s="37" t="s">
        <v>61</v>
      </c>
      <c r="D69" s="45">
        <v>2430017484.8600001</v>
      </c>
      <c r="E69" s="45">
        <v>24853632.219999999</v>
      </c>
      <c r="F69" s="45">
        <v>0</v>
      </c>
      <c r="G69" s="45">
        <v>4353263.91</v>
      </c>
      <c r="H69" s="38">
        <f t="shared" si="27"/>
        <v>20500368.309999999</v>
      </c>
      <c r="I69" s="16">
        <v>2399715199.2399998</v>
      </c>
      <c r="J69" s="40">
        <f t="shared" si="28"/>
        <v>1.0808761215780434E-2</v>
      </c>
      <c r="K69" s="44">
        <v>2388306618.3499999</v>
      </c>
      <c r="L69" s="40">
        <f t="shared" si="29"/>
        <v>1.1141078007138849E-2</v>
      </c>
      <c r="M69" s="40">
        <f t="shared" si="35"/>
        <v>-4.7541395302296762E-3</v>
      </c>
      <c r="N69" s="41">
        <f t="shared" si="36"/>
        <v>1.8227407974138272E-3</v>
      </c>
      <c r="O69" s="42">
        <f t="shared" si="37"/>
        <v>8.5836417118682218E-3</v>
      </c>
      <c r="P69" s="54">
        <f t="shared" si="38"/>
        <v>4258.0749217821813</v>
      </c>
      <c r="Q69" s="54">
        <f t="shared" si="39"/>
        <v>36.549789510869552</v>
      </c>
      <c r="R69" s="45">
        <v>4258.07</v>
      </c>
      <c r="S69" s="45">
        <v>4258.07</v>
      </c>
      <c r="T69" s="45">
        <v>1001</v>
      </c>
      <c r="U69" s="45">
        <v>568425.98</v>
      </c>
      <c r="V69" s="45">
        <v>560888.81999999995</v>
      </c>
    </row>
    <row r="70" spans="1:22">
      <c r="A70" s="36">
        <v>60</v>
      </c>
      <c r="B70" s="37" t="s">
        <v>111</v>
      </c>
      <c r="C70" s="37" t="s">
        <v>63</v>
      </c>
      <c r="D70" s="45">
        <v>312175145.56</v>
      </c>
      <c r="E70" s="45">
        <v>4083917.92</v>
      </c>
      <c r="F70" s="45">
        <v>0</v>
      </c>
      <c r="G70" s="45">
        <v>711799.99</v>
      </c>
      <c r="H70" s="38">
        <f t="shared" si="27"/>
        <v>3372117.9299999997</v>
      </c>
      <c r="I70" s="112">
        <v>341065283.24000001</v>
      </c>
      <c r="J70" s="40">
        <f t="shared" si="28"/>
        <v>1.536221134366782E-3</v>
      </c>
      <c r="K70" s="82">
        <v>355344330.97000003</v>
      </c>
      <c r="L70" s="40">
        <f t="shared" si="29"/>
        <v>1.6576259012615468E-3</v>
      </c>
      <c r="M70" s="40">
        <f t="shared" si="35"/>
        <v>4.1866025161969279E-2</v>
      </c>
      <c r="N70" s="41">
        <f t="shared" si="36"/>
        <v>2.0031274681010566E-3</v>
      </c>
      <c r="O70" s="42">
        <f t="shared" si="37"/>
        <v>9.4897192275305801E-3</v>
      </c>
      <c r="P70" s="54">
        <f t="shared" si="38"/>
        <v>111.02085231069839</v>
      </c>
      <c r="Q70" s="54">
        <f t="shared" si="39"/>
        <v>1.0535567168296673</v>
      </c>
      <c r="R70" s="45">
        <v>110.48</v>
      </c>
      <c r="S70" s="45">
        <v>110.48</v>
      </c>
      <c r="T70" s="45">
        <f>126+5</f>
        <v>131</v>
      </c>
      <c r="U70" s="45">
        <v>3103867</v>
      </c>
      <c r="V70" s="45">
        <v>3200699</v>
      </c>
    </row>
    <row r="71" spans="1:22">
      <c r="A71" s="36">
        <v>61</v>
      </c>
      <c r="B71" s="46" t="s">
        <v>112</v>
      </c>
      <c r="C71" s="46" t="s">
        <v>67</v>
      </c>
      <c r="D71" s="69">
        <v>326495253.13</v>
      </c>
      <c r="E71" s="61">
        <v>-111876.25</v>
      </c>
      <c r="F71" s="61">
        <v>-2465221.29</v>
      </c>
      <c r="G71" s="61">
        <v>695061.33</v>
      </c>
      <c r="H71" s="38">
        <f t="shared" si="27"/>
        <v>-3272158.87</v>
      </c>
      <c r="I71" s="114">
        <v>330396563.64999998</v>
      </c>
      <c r="J71" s="40">
        <f t="shared" si="28"/>
        <v>1.4881672475709862E-3</v>
      </c>
      <c r="K71" s="49">
        <v>-3272158.88</v>
      </c>
      <c r="L71" s="40">
        <f t="shared" si="29"/>
        <v>-1.5264111003895249E-5</v>
      </c>
      <c r="M71" s="40">
        <f t="shared" si="35"/>
        <v>-1.0099037315759323</v>
      </c>
      <c r="N71" s="41">
        <f t="shared" si="36"/>
        <v>-0.21241674242908401</v>
      </c>
      <c r="O71" s="42">
        <f t="shared" si="37"/>
        <v>0.99999999694391373</v>
      </c>
      <c r="P71" s="54">
        <f t="shared" si="38"/>
        <v>-1.3359446085477147E-2</v>
      </c>
      <c r="Q71" s="54">
        <f t="shared" si="39"/>
        <v>-1.3359446044649528E-2</v>
      </c>
      <c r="R71" s="61">
        <v>1.3353999999999999</v>
      </c>
      <c r="S71" s="98">
        <v>1.3353999999999999</v>
      </c>
      <c r="T71" s="98">
        <v>347</v>
      </c>
      <c r="U71" s="99">
        <v>244949240.19</v>
      </c>
      <c r="V71" s="99">
        <v>244932226.91</v>
      </c>
    </row>
    <row r="72" spans="1:22">
      <c r="A72" s="36">
        <v>62</v>
      </c>
      <c r="B72" s="37" t="s">
        <v>253</v>
      </c>
      <c r="C72" s="37" t="s">
        <v>48</v>
      </c>
      <c r="D72" s="45">
        <v>109367184.5</v>
      </c>
      <c r="E72" s="45">
        <v>4070797.97</v>
      </c>
      <c r="F72" s="45">
        <v>0</v>
      </c>
      <c r="G72" s="45">
        <v>2315220.4700000002</v>
      </c>
      <c r="H72" s="38">
        <f>(E72+F72)-G72</f>
        <v>1755577.5</v>
      </c>
      <c r="I72" s="16">
        <v>115719775.73</v>
      </c>
      <c r="J72" s="40">
        <f t="shared" si="28"/>
        <v>5.2122327858129325E-4</v>
      </c>
      <c r="K72" s="44">
        <v>118489182.58</v>
      </c>
      <c r="L72" s="40">
        <f t="shared" si="29"/>
        <v>5.5273356276084348E-4</v>
      </c>
      <c r="M72" s="40">
        <f t="shared" si="35"/>
        <v>2.3932010173106772E-2</v>
      </c>
      <c r="N72" s="41">
        <f t="shared" si="36"/>
        <v>1.9539509173648315E-2</v>
      </c>
      <c r="O72" s="42">
        <f t="shared" si="37"/>
        <v>1.4816352529182923E-2</v>
      </c>
      <c r="P72" s="54">
        <f t="shared" si="38"/>
        <v>121.91036284535831</v>
      </c>
      <c r="Q72" s="54">
        <f t="shared" si="39"/>
        <v>1.8062669128774322</v>
      </c>
      <c r="R72" s="45">
        <v>121.7805</v>
      </c>
      <c r="S72" s="45">
        <v>121.7805</v>
      </c>
      <c r="T72" s="45">
        <v>154</v>
      </c>
      <c r="U72" s="45">
        <v>954797.1</v>
      </c>
      <c r="V72" s="45">
        <v>971936.92</v>
      </c>
    </row>
    <row r="73" spans="1:22">
      <c r="A73" s="36">
        <v>63</v>
      </c>
      <c r="B73" s="37" t="s">
        <v>113</v>
      </c>
      <c r="C73" s="37" t="s">
        <v>114</v>
      </c>
      <c r="D73" s="45">
        <f>731048840.17+707000000</f>
        <v>1438048840.1700001</v>
      </c>
      <c r="E73" s="45">
        <v>22169926.059999999</v>
      </c>
      <c r="F73" s="45">
        <v>0</v>
      </c>
      <c r="G73" s="45">
        <v>20407581.93</v>
      </c>
      <c r="H73" s="38">
        <f t="shared" si="27"/>
        <v>1762344.129999999</v>
      </c>
      <c r="I73" s="118">
        <v>1700808138.6500001</v>
      </c>
      <c r="J73" s="40">
        <f t="shared" si="28"/>
        <v>7.6607545138464789E-3</v>
      </c>
      <c r="K73" s="38">
        <v>1692145076.5599999</v>
      </c>
      <c r="L73" s="40">
        <f t="shared" si="29"/>
        <v>7.8935929551521861E-3</v>
      </c>
      <c r="M73" s="40">
        <f t="shared" si="35"/>
        <v>-5.0934975516264717E-3</v>
      </c>
      <c r="N73" s="41">
        <f t="shared" si="36"/>
        <v>1.2060184562594972E-2</v>
      </c>
      <c r="O73" s="42">
        <f t="shared" si="37"/>
        <v>1.0414852452147354E-3</v>
      </c>
      <c r="P73" s="54">
        <f t="shared" si="38"/>
        <v>1046.3359239737642</v>
      </c>
      <c r="Q73" s="54">
        <f t="shared" si="39"/>
        <v>1.0897434263568029</v>
      </c>
      <c r="R73" s="45">
        <v>1000</v>
      </c>
      <c r="S73" s="45">
        <v>1000</v>
      </c>
      <c r="T73" s="45">
        <v>332</v>
      </c>
      <c r="U73" s="45">
        <v>1619675.02</v>
      </c>
      <c r="V73" s="45">
        <v>1617210.15</v>
      </c>
    </row>
    <row r="74" spans="1:22">
      <c r="A74" s="36">
        <v>64</v>
      </c>
      <c r="B74" s="37" t="s">
        <v>115</v>
      </c>
      <c r="C74" s="37" t="s">
        <v>69</v>
      </c>
      <c r="D74" s="45">
        <v>193691756.06</v>
      </c>
      <c r="E74" s="61">
        <v>2737484.41</v>
      </c>
      <c r="F74" s="61">
        <v>0</v>
      </c>
      <c r="G74" s="45">
        <v>663195.78</v>
      </c>
      <c r="H74" s="38">
        <f t="shared" si="27"/>
        <v>2074288.6300000001</v>
      </c>
      <c r="I74" s="16">
        <v>221855873.37</v>
      </c>
      <c r="J74" s="40">
        <f t="shared" si="28"/>
        <v>9.9927989802048355E-4</v>
      </c>
      <c r="K74" s="44">
        <v>222330012.44</v>
      </c>
      <c r="L74" s="40">
        <f t="shared" si="29"/>
        <v>1.0371348439479112E-3</v>
      </c>
      <c r="M74" s="40">
        <f t="shared" si="35"/>
        <v>2.1371490544640562E-3</v>
      </c>
      <c r="N74" s="41">
        <f t="shared" si="36"/>
        <v>2.9829341199671643E-3</v>
      </c>
      <c r="O74" s="42">
        <f t="shared" si="37"/>
        <v>9.3297733726335607E-3</v>
      </c>
      <c r="P74" s="54">
        <f t="shared" si="38"/>
        <v>1050.7437034306429</v>
      </c>
      <c r="Q74" s="54">
        <f t="shared" si="39"/>
        <v>9.8032006257295858</v>
      </c>
      <c r="R74" s="45">
        <v>1045.43</v>
      </c>
      <c r="S74" s="61">
        <v>1050.74</v>
      </c>
      <c r="T74" s="45">
        <v>281</v>
      </c>
      <c r="U74" s="45">
        <v>211517</v>
      </c>
      <c r="V74" s="45">
        <v>211593</v>
      </c>
    </row>
    <row r="75" spans="1:22">
      <c r="A75" s="36">
        <v>65</v>
      </c>
      <c r="B75" s="37" t="s">
        <v>116</v>
      </c>
      <c r="C75" s="46" t="s">
        <v>72</v>
      </c>
      <c r="D75" s="69">
        <v>965944106.84000003</v>
      </c>
      <c r="E75" s="69">
        <v>15334981.34</v>
      </c>
      <c r="F75" s="69"/>
      <c r="G75" s="61">
        <v>2146270.9</v>
      </c>
      <c r="H75" s="38">
        <f t="shared" si="27"/>
        <v>13188710.439999999</v>
      </c>
      <c r="I75" s="114">
        <v>1090505655.6199999</v>
      </c>
      <c r="J75" s="40">
        <f t="shared" si="28"/>
        <v>4.9118392214991466E-3</v>
      </c>
      <c r="K75" s="49">
        <v>964697556.57000005</v>
      </c>
      <c r="L75" s="40">
        <f t="shared" si="29"/>
        <v>4.5001636927455672E-3</v>
      </c>
      <c r="M75" s="40">
        <f t="shared" si="35"/>
        <v>-0.11536675523106064</v>
      </c>
      <c r="N75" s="41">
        <f t="shared" si="36"/>
        <v>2.2248122070829181E-3</v>
      </c>
      <c r="O75" s="42">
        <f t="shared" si="37"/>
        <v>1.3671342225528902E-2</v>
      </c>
      <c r="P75" s="54">
        <f t="shared" si="38"/>
        <v>1.2003480433756946</v>
      </c>
      <c r="Q75" s="54">
        <f t="shared" si="39"/>
        <v>1.6410368890733131E-2</v>
      </c>
      <c r="R75" s="45">
        <v>1.1893</v>
      </c>
      <c r="S75" s="45">
        <v>1.19</v>
      </c>
      <c r="T75" s="45">
        <v>90</v>
      </c>
      <c r="U75" s="69">
        <v>919276805.11000001</v>
      </c>
      <c r="V75" s="69">
        <v>803681533.77999997</v>
      </c>
    </row>
    <row r="76" spans="1:22">
      <c r="A76" s="36">
        <v>66</v>
      </c>
      <c r="B76" s="37" t="s">
        <v>260</v>
      </c>
      <c r="C76" s="37" t="s">
        <v>30</v>
      </c>
      <c r="D76" s="61">
        <v>32075097385.18</v>
      </c>
      <c r="E76" s="61">
        <v>352089972.18000001</v>
      </c>
      <c r="F76" s="61"/>
      <c r="G76" s="69">
        <v>38905167.329999998</v>
      </c>
      <c r="H76" s="38">
        <f t="shared" si="27"/>
        <v>313184804.85000002</v>
      </c>
      <c r="I76" s="119">
        <v>35043739000.400002</v>
      </c>
      <c r="J76" s="40">
        <f t="shared" si="28"/>
        <v>0.15784348371149076</v>
      </c>
      <c r="K76" s="89">
        <v>31384799510.720001</v>
      </c>
      <c r="L76" s="40">
        <f t="shared" si="29"/>
        <v>0.14640519642696184</v>
      </c>
      <c r="M76" s="40">
        <f t="shared" si="35"/>
        <v>-0.10441064778042765</v>
      </c>
      <c r="N76" s="41">
        <f t="shared" si="36"/>
        <v>1.2396181570862447E-3</v>
      </c>
      <c r="O76" s="42">
        <f t="shared" si="37"/>
        <v>9.9788690618535427E-3</v>
      </c>
      <c r="P76" s="54">
        <f t="shared" si="38"/>
        <v>1663.7085540321855</v>
      </c>
      <c r="Q76" s="54">
        <f t="shared" si="39"/>
        <v>16.60192981777287</v>
      </c>
      <c r="R76" s="90">
        <v>1663.7</v>
      </c>
      <c r="S76" s="90">
        <v>1663.7</v>
      </c>
      <c r="T76" s="98">
        <v>2317</v>
      </c>
      <c r="U76" s="99">
        <v>21192285.920000002</v>
      </c>
      <c r="V76" s="99">
        <v>18864361.449999999</v>
      </c>
    </row>
    <row r="77" spans="1:22" ht="14.4" customHeight="1">
      <c r="A77" s="36">
        <v>67</v>
      </c>
      <c r="B77" s="37" t="s">
        <v>117</v>
      </c>
      <c r="C77" s="37" t="s">
        <v>78</v>
      </c>
      <c r="D77" s="45">
        <v>21954576.25</v>
      </c>
      <c r="E77" s="45">
        <v>282842.58</v>
      </c>
      <c r="F77" s="45">
        <v>0</v>
      </c>
      <c r="G77" s="45">
        <v>244820.57</v>
      </c>
      <c r="H77" s="38">
        <f t="shared" ref="H77:H92" si="40">(E77+F77)-G77</f>
        <v>38022.010000000009</v>
      </c>
      <c r="I77" s="16">
        <v>22918828.399999999</v>
      </c>
      <c r="J77" s="40">
        <f t="shared" si="28"/>
        <v>1.0323064320278608E-4</v>
      </c>
      <c r="K77" s="44">
        <v>22927739.870000001</v>
      </c>
      <c r="L77" s="40">
        <f t="shared" si="29"/>
        <v>1.0695433176646816E-4</v>
      </c>
      <c r="M77" s="40">
        <f t="shared" si="35"/>
        <v>3.8882746728897077E-4</v>
      </c>
      <c r="N77" s="41">
        <f t="shared" si="36"/>
        <v>1.0677919907855269E-2</v>
      </c>
      <c r="O77" s="42">
        <f t="shared" si="37"/>
        <v>1.6583409536039893E-3</v>
      </c>
      <c r="P77" s="54">
        <f t="shared" si="38"/>
        <v>0.69931437910302563</v>
      </c>
      <c r="Q77" s="54">
        <f t="shared" si="39"/>
        <v>1.1597016743106934E-3</v>
      </c>
      <c r="R77" s="38">
        <v>0.69930000000000003</v>
      </c>
      <c r="S77" s="38">
        <v>0.69930000000000003</v>
      </c>
      <c r="T77" s="45">
        <v>746</v>
      </c>
      <c r="U77" s="45">
        <v>32786026.649999999</v>
      </c>
      <c r="V77" s="45">
        <v>32786026.649999999</v>
      </c>
    </row>
    <row r="78" spans="1:22" ht="14.4" customHeight="1">
      <c r="A78" s="36">
        <v>68</v>
      </c>
      <c r="B78" s="37" t="s">
        <v>254</v>
      </c>
      <c r="C78" s="46" t="s">
        <v>36</v>
      </c>
      <c r="D78" s="45">
        <v>11484353784.02</v>
      </c>
      <c r="E78" s="45">
        <v>86382961.219999999</v>
      </c>
      <c r="F78" s="45"/>
      <c r="G78" s="45">
        <v>3085462.82</v>
      </c>
      <c r="H78" s="38">
        <f>(E78+F78)-G78</f>
        <v>83297498.400000006</v>
      </c>
      <c r="I78" s="16">
        <v>9609002690.1499996</v>
      </c>
      <c r="J78" s="40">
        <f t="shared" si="28"/>
        <v>4.3280725826346615E-2</v>
      </c>
      <c r="K78" s="44">
        <v>9581597050.6599998</v>
      </c>
      <c r="L78" s="40">
        <f t="shared" si="29"/>
        <v>4.4696656348138443E-2</v>
      </c>
      <c r="M78" s="40">
        <f t="shared" si="35"/>
        <v>-2.8520794897989523E-3</v>
      </c>
      <c r="N78" s="41">
        <f t="shared" si="36"/>
        <v>3.2201968040259705E-4</v>
      </c>
      <c r="O78" s="42">
        <f t="shared" si="37"/>
        <v>8.6934879393892172E-3</v>
      </c>
      <c r="P78" s="54">
        <f t="shared" si="38"/>
        <v>1</v>
      </c>
      <c r="Q78" s="54">
        <f t="shared" si="39"/>
        <v>8.6934879393892172E-3</v>
      </c>
      <c r="R78" s="45">
        <v>1</v>
      </c>
      <c r="S78" s="45">
        <v>1</v>
      </c>
      <c r="T78" s="45">
        <v>5240</v>
      </c>
      <c r="U78" s="45">
        <v>9609002690.1499996</v>
      </c>
      <c r="V78" s="45">
        <v>9581597050.6599998</v>
      </c>
    </row>
    <row r="79" spans="1:22">
      <c r="A79" s="36">
        <v>69</v>
      </c>
      <c r="B79" s="46" t="s">
        <v>118</v>
      </c>
      <c r="C79" s="46" t="s">
        <v>119</v>
      </c>
      <c r="D79" s="61">
        <v>1198688022.6600001</v>
      </c>
      <c r="E79" s="61">
        <v>57786174.420000002</v>
      </c>
      <c r="F79" s="61">
        <v>0</v>
      </c>
      <c r="G79" s="61">
        <v>1947512.93</v>
      </c>
      <c r="H79" s="38">
        <f t="shared" si="40"/>
        <v>55838661.490000002</v>
      </c>
      <c r="I79" s="112">
        <v>1183798781.4300001</v>
      </c>
      <c r="J79" s="40">
        <f t="shared" si="28"/>
        <v>5.3320487198068676E-3</v>
      </c>
      <c r="K79" s="82">
        <v>1187032630.8099999</v>
      </c>
      <c r="L79" s="40">
        <f t="shared" si="29"/>
        <v>5.537322149201278E-3</v>
      </c>
      <c r="M79" s="40">
        <f t="shared" si="35"/>
        <v>2.7317559628617497E-3</v>
      </c>
      <c r="N79" s="41">
        <f t="shared" si="36"/>
        <v>1.64065660829481E-3</v>
      </c>
      <c r="O79" s="42">
        <f t="shared" si="37"/>
        <v>4.7040544666322411E-2</v>
      </c>
      <c r="P79" s="54">
        <f t="shared" si="38"/>
        <v>225.5068743310934</v>
      </c>
      <c r="Q79" s="54">
        <f t="shared" si="39"/>
        <v>10.607966194534555</v>
      </c>
      <c r="R79" s="61">
        <v>228.14609999999999</v>
      </c>
      <c r="S79" s="92">
        <v>230.38630000000001</v>
      </c>
      <c r="T79" s="45">
        <v>490</v>
      </c>
      <c r="U79" s="103">
        <v>5263842.33</v>
      </c>
      <c r="V79" s="103">
        <v>5263842.33</v>
      </c>
    </row>
    <row r="80" spans="1:22">
      <c r="A80" s="36">
        <v>70</v>
      </c>
      <c r="B80" s="37" t="s">
        <v>120</v>
      </c>
      <c r="C80" s="46" t="s">
        <v>38</v>
      </c>
      <c r="D80" s="45">
        <v>1061659706.34</v>
      </c>
      <c r="E80" s="45">
        <v>11722715.300000001</v>
      </c>
      <c r="F80" s="45"/>
      <c r="G80" s="45">
        <v>1391781.07</v>
      </c>
      <c r="H80" s="38">
        <f t="shared" si="40"/>
        <v>10330934.23</v>
      </c>
      <c r="I80" s="16">
        <v>1054001294.5700001</v>
      </c>
      <c r="J80" s="40">
        <f t="shared" si="28"/>
        <v>4.7474168258544273E-3</v>
      </c>
      <c r="K80" s="44">
        <v>1053709456.3200001</v>
      </c>
      <c r="L80" s="40">
        <f t="shared" si="29"/>
        <v>4.915390326988827E-3</v>
      </c>
      <c r="M80" s="40">
        <f t="shared" si="35"/>
        <v>-2.7688604511540089E-4</v>
      </c>
      <c r="N80" s="41">
        <f t="shared" si="36"/>
        <v>1.320839498641959E-3</v>
      </c>
      <c r="O80" s="42">
        <f t="shared" si="37"/>
        <v>9.8043480278520046E-3</v>
      </c>
      <c r="P80" s="54">
        <f t="shared" si="38"/>
        <v>3.5078797261538694</v>
      </c>
      <c r="Q80" s="54">
        <f t="shared" si="39"/>
        <v>3.4392473675058717E-2</v>
      </c>
      <c r="R80" s="38">
        <v>3.51</v>
      </c>
      <c r="S80" s="45">
        <v>3.51</v>
      </c>
      <c r="T80" s="45">
        <v>771</v>
      </c>
      <c r="U80" s="61">
        <v>302681637</v>
      </c>
      <c r="V80" s="61">
        <v>300383576</v>
      </c>
    </row>
    <row r="81" spans="1:23">
      <c r="A81" s="36">
        <v>71</v>
      </c>
      <c r="B81" s="47" t="s">
        <v>258</v>
      </c>
      <c r="C81" s="48" t="s">
        <v>40</v>
      </c>
      <c r="D81" s="45">
        <v>508488376.88</v>
      </c>
      <c r="E81" s="45">
        <v>7217744.0700000003</v>
      </c>
      <c r="F81" s="45">
        <v>0</v>
      </c>
      <c r="G81" s="45">
        <v>1044487.7</v>
      </c>
      <c r="H81" s="38">
        <f>(E81+F81)-G81</f>
        <v>6173256.3700000001</v>
      </c>
      <c r="I81" s="16">
        <v>531752989.85000002</v>
      </c>
      <c r="J81" s="40">
        <f t="shared" si="28"/>
        <v>2.395113843045314E-3</v>
      </c>
      <c r="K81" s="44">
        <v>531752989.85000002</v>
      </c>
      <c r="L81" s="40">
        <f t="shared" si="29"/>
        <v>2.4805447905767901E-3</v>
      </c>
      <c r="M81" s="40">
        <f t="shared" si="35"/>
        <v>0</v>
      </c>
      <c r="N81" s="41">
        <f t="shared" si="36"/>
        <v>1.9642347479694191E-3</v>
      </c>
      <c r="O81" s="42">
        <f t="shared" si="37"/>
        <v>1.1609255590159236E-2</v>
      </c>
      <c r="P81" s="54">
        <f t="shared" si="38"/>
        <v>105.88006273599871</v>
      </c>
      <c r="Q81" s="54">
        <f t="shared" si="39"/>
        <v>1.2291887102043035</v>
      </c>
      <c r="R81" s="38">
        <v>105.32</v>
      </c>
      <c r="S81" s="45">
        <v>105.32</v>
      </c>
      <c r="T81" s="45">
        <v>64</v>
      </c>
      <c r="U81" s="61">
        <v>5197988.5</v>
      </c>
      <c r="V81" s="61">
        <v>5022220.2</v>
      </c>
    </row>
    <row r="82" spans="1:23">
      <c r="A82" s="36">
        <v>72</v>
      </c>
      <c r="B82" s="37" t="s">
        <v>257</v>
      </c>
      <c r="C82" s="37" t="s">
        <v>44</v>
      </c>
      <c r="D82" s="45">
        <v>1815630836.6099999</v>
      </c>
      <c r="E82" s="45">
        <v>20196053.199999999</v>
      </c>
      <c r="F82" s="45"/>
      <c r="G82" s="45">
        <v>3250641.95</v>
      </c>
      <c r="H82" s="38">
        <f>(E82+F82)-G82</f>
        <v>16945411.25</v>
      </c>
      <c r="I82" s="16">
        <v>1757727077.04</v>
      </c>
      <c r="J82" s="40">
        <f t="shared" si="28"/>
        <v>7.9171279426217232E-3</v>
      </c>
      <c r="K82" s="44">
        <v>1811952111.4300001</v>
      </c>
      <c r="L82" s="40">
        <f t="shared" si="29"/>
        <v>8.4524740933758988E-3</v>
      </c>
      <c r="M82" s="40">
        <f t="shared" si="35"/>
        <v>3.0849518732632076E-2</v>
      </c>
      <c r="N82" s="41">
        <f t="shared" si="36"/>
        <v>1.7939999238912447E-3</v>
      </c>
      <c r="O82" s="42">
        <f t="shared" si="37"/>
        <v>9.3520193735289244E-3</v>
      </c>
      <c r="P82" s="54">
        <f t="shared" si="38"/>
        <v>99.017510027973742</v>
      </c>
      <c r="Q82" s="54">
        <f t="shared" si="39"/>
        <v>0.92601367210020491</v>
      </c>
      <c r="R82" s="45">
        <v>99.02</v>
      </c>
      <c r="S82" s="45">
        <v>99.02</v>
      </c>
      <c r="T82" s="45">
        <v>162</v>
      </c>
      <c r="U82" s="45">
        <v>17921563</v>
      </c>
      <c r="V82" s="45">
        <v>18299310</v>
      </c>
    </row>
    <row r="83" spans="1:23">
      <c r="A83" s="36">
        <v>73</v>
      </c>
      <c r="B83" s="37" t="s">
        <v>123</v>
      </c>
      <c r="C83" s="37" t="s">
        <v>22</v>
      </c>
      <c r="D83" s="45">
        <v>1316323701.4400001</v>
      </c>
      <c r="E83" s="45">
        <v>15729273.08</v>
      </c>
      <c r="F83" s="45">
        <v>72413000</v>
      </c>
      <c r="G83" s="45">
        <v>2042062.64</v>
      </c>
      <c r="H83" s="38">
        <f t="shared" si="40"/>
        <v>86100210.439999998</v>
      </c>
      <c r="I83" s="16">
        <v>1277703839.21</v>
      </c>
      <c r="J83" s="40">
        <f t="shared" si="28"/>
        <v>5.7550144729177112E-3</v>
      </c>
      <c r="K83" s="44">
        <v>1292392318.9100001</v>
      </c>
      <c r="L83" s="40">
        <f t="shared" si="29"/>
        <v>6.0288086672685747E-3</v>
      </c>
      <c r="M83" s="40">
        <f t="shared" si="35"/>
        <v>1.149599715461596E-2</v>
      </c>
      <c r="N83" s="41">
        <f t="shared" si="36"/>
        <v>1.5800640487574776E-3</v>
      </c>
      <c r="O83" s="42">
        <f t="shared" si="37"/>
        <v>6.6620800185981197E-2</v>
      </c>
      <c r="P83" s="54">
        <f t="shared" si="38"/>
        <v>339.48331223532529</v>
      </c>
      <c r="Q83" s="54">
        <f t="shared" si="39"/>
        <v>22.61664991090467</v>
      </c>
      <c r="R83" s="98">
        <v>339.48</v>
      </c>
      <c r="S83" s="98">
        <v>339.48</v>
      </c>
      <c r="T83" s="98">
        <v>105</v>
      </c>
      <c r="U83" s="98">
        <v>3804237.12</v>
      </c>
      <c r="V83" s="98">
        <v>3806939.17</v>
      </c>
    </row>
    <row r="84" spans="1:23">
      <c r="A84" s="36">
        <v>74</v>
      </c>
      <c r="B84" s="47" t="s">
        <v>261</v>
      </c>
      <c r="C84" s="48" t="s">
        <v>262</v>
      </c>
      <c r="D84" s="45">
        <v>1463424151.55</v>
      </c>
      <c r="E84" s="45">
        <v>17018231.739999998</v>
      </c>
      <c r="F84" s="45">
        <v>0</v>
      </c>
      <c r="G84" s="45">
        <v>3269857.74</v>
      </c>
      <c r="H84" s="38">
        <f t="shared" si="40"/>
        <v>13748373.999999998</v>
      </c>
      <c r="I84" s="16">
        <v>1557616600.3599999</v>
      </c>
      <c r="J84" s="40">
        <f t="shared" si="28"/>
        <v>7.0157933342918956E-3</v>
      </c>
      <c r="K84" s="44">
        <v>1518477257.4100001</v>
      </c>
      <c r="L84" s="40">
        <f t="shared" si="29"/>
        <v>7.0834596558455197E-3</v>
      </c>
      <c r="M84" s="40">
        <f t="shared" si="35"/>
        <v>-2.512771303346012E-2</v>
      </c>
      <c r="N84" s="41">
        <f t="shared" si="36"/>
        <v>2.1533794622497363E-3</v>
      </c>
      <c r="O84" s="42">
        <f t="shared" si="37"/>
        <v>9.054053284571411E-3</v>
      </c>
      <c r="P84" s="54">
        <f t="shared" si="38"/>
        <v>103.23721380376668</v>
      </c>
      <c r="Q84" s="54">
        <f t="shared" si="39"/>
        <v>0.93471523472999463</v>
      </c>
      <c r="R84" s="98">
        <v>103.24</v>
      </c>
      <c r="S84" s="98">
        <v>103.24</v>
      </c>
      <c r="T84" s="98">
        <f>376+16+9</f>
        <v>401</v>
      </c>
      <c r="U84" s="98">
        <v>15222614</v>
      </c>
      <c r="V84" s="98">
        <v>14708623</v>
      </c>
    </row>
    <row r="85" spans="1:23">
      <c r="A85" s="36">
        <v>75</v>
      </c>
      <c r="B85" s="46" t="s">
        <v>124</v>
      </c>
      <c r="C85" s="46" t="s">
        <v>42</v>
      </c>
      <c r="D85" s="45">
        <v>57361793.649999999</v>
      </c>
      <c r="E85" s="45">
        <v>1804772.39</v>
      </c>
      <c r="F85" s="45">
        <v>0</v>
      </c>
      <c r="G85" s="45">
        <v>158310.35</v>
      </c>
      <c r="H85" s="38">
        <f t="shared" si="40"/>
        <v>1646462.0399999998</v>
      </c>
      <c r="I85" s="16">
        <v>52997543.630000003</v>
      </c>
      <c r="J85" s="40">
        <f t="shared" si="28"/>
        <v>2.3871074130004912E-4</v>
      </c>
      <c r="K85" s="44">
        <v>58686552.969999999</v>
      </c>
      <c r="L85" s="40">
        <f t="shared" si="29"/>
        <v>2.7376361962291342E-4</v>
      </c>
      <c r="M85" s="40">
        <f t="shared" si="35"/>
        <v>0.10734477393362912</v>
      </c>
      <c r="N85" s="41">
        <f t="shared" si="36"/>
        <v>2.6975574810285201E-3</v>
      </c>
      <c r="O85" s="42">
        <f t="shared" si="37"/>
        <v>2.8055183967640004E-2</v>
      </c>
      <c r="P85" s="54">
        <f t="shared" si="38"/>
        <v>12.821580498665993</v>
      </c>
      <c r="Q85" s="54">
        <f t="shared" si="39"/>
        <v>0.35971179964597988</v>
      </c>
      <c r="R85" s="45">
        <v>12.62</v>
      </c>
      <c r="S85" s="45">
        <v>12.84</v>
      </c>
      <c r="T85" s="45">
        <v>56</v>
      </c>
      <c r="U85" s="45">
        <v>4578362.95</v>
      </c>
      <c r="V85" s="45">
        <v>4577169.95</v>
      </c>
    </row>
    <row r="86" spans="1:23">
      <c r="A86" s="36">
        <v>76</v>
      </c>
      <c r="B86" s="37" t="s">
        <v>125</v>
      </c>
      <c r="C86" s="37" t="s">
        <v>126</v>
      </c>
      <c r="D86" s="45">
        <v>7573842276.6899996</v>
      </c>
      <c r="E86" s="45">
        <v>109473370.70999999</v>
      </c>
      <c r="F86" s="45">
        <v>0</v>
      </c>
      <c r="G86" s="45">
        <v>10197295.02</v>
      </c>
      <c r="H86" s="38">
        <f t="shared" si="40"/>
        <v>99276075.689999998</v>
      </c>
      <c r="I86" s="16">
        <v>6845805127</v>
      </c>
      <c r="J86" s="40">
        <f t="shared" si="28"/>
        <v>3.0834772797598182E-2</v>
      </c>
      <c r="K86" s="44">
        <v>7487680551</v>
      </c>
      <c r="L86" s="40">
        <f t="shared" si="29"/>
        <v>3.4928862345514088E-2</v>
      </c>
      <c r="M86" s="40">
        <f t="shared" si="35"/>
        <v>9.3761860306018616E-2</v>
      </c>
      <c r="N86" s="41">
        <f t="shared" si="36"/>
        <v>1.3618763448232474E-3</v>
      </c>
      <c r="O86" s="42">
        <f t="shared" si="37"/>
        <v>1.3258588559409283E-2</v>
      </c>
      <c r="P86" s="54">
        <f t="shared" si="38"/>
        <v>1.0900000000262031</v>
      </c>
      <c r="Q86" s="54">
        <f t="shared" si="39"/>
        <v>1.4451861530103534E-2</v>
      </c>
      <c r="R86" s="45">
        <v>1.0900000000000001</v>
      </c>
      <c r="S86" s="45">
        <v>1.0900000000000001</v>
      </c>
      <c r="T86" s="38">
        <v>4535</v>
      </c>
      <c r="U86" s="45">
        <v>6338708451</v>
      </c>
      <c r="V86" s="45">
        <v>6869431698</v>
      </c>
    </row>
    <row r="87" spans="1:23">
      <c r="A87" s="36">
        <v>77</v>
      </c>
      <c r="B87" s="46" t="s">
        <v>127</v>
      </c>
      <c r="C87" s="37" t="s">
        <v>46</v>
      </c>
      <c r="D87" s="61">
        <v>13309805143.15</v>
      </c>
      <c r="E87" s="61">
        <v>91302676.790000007</v>
      </c>
      <c r="F87" s="61"/>
      <c r="G87" s="61">
        <v>17393931.050000001</v>
      </c>
      <c r="H87" s="38">
        <v>73908745.739999995</v>
      </c>
      <c r="I87" s="112">
        <v>15844428504.17</v>
      </c>
      <c r="J87" s="40">
        <f t="shared" si="28"/>
        <v>7.1366237275288777E-2</v>
      </c>
      <c r="K87" s="82">
        <v>13397136605.059999</v>
      </c>
      <c r="L87" s="40">
        <f t="shared" si="29"/>
        <v>6.2495553478131904E-2</v>
      </c>
      <c r="M87" s="40">
        <f t="shared" si="35"/>
        <v>-0.15445756837906224</v>
      </c>
      <c r="N87" s="41">
        <f t="shared" si="36"/>
        <v>1.2983319915862051E-3</v>
      </c>
      <c r="O87" s="42">
        <f t="shared" si="37"/>
        <v>5.5167568950580982E-3</v>
      </c>
      <c r="P87" s="54">
        <f t="shared" si="38"/>
        <v>5164.5459547885212</v>
      </c>
      <c r="Q87" s="54">
        <f t="shared" si="39"/>
        <v>28.491544505923986</v>
      </c>
      <c r="R87" s="61">
        <v>5164.55</v>
      </c>
      <c r="S87" s="61">
        <v>5164.55</v>
      </c>
      <c r="T87" s="61">
        <v>328</v>
      </c>
      <c r="U87" s="61">
        <v>3068706</v>
      </c>
      <c r="V87" s="61">
        <v>2594058.94</v>
      </c>
    </row>
    <row r="88" spans="1:23">
      <c r="A88" s="36">
        <v>78</v>
      </c>
      <c r="B88" s="37" t="s">
        <v>128</v>
      </c>
      <c r="C88" s="37" t="s">
        <v>46</v>
      </c>
      <c r="D88" s="61">
        <v>25424374862.880001</v>
      </c>
      <c r="E88" s="61">
        <v>235105588.84999999</v>
      </c>
      <c r="F88" s="61"/>
      <c r="G88" s="61">
        <v>42818209.079999998</v>
      </c>
      <c r="H88" s="38">
        <v>192287379.77000001</v>
      </c>
      <c r="I88" s="112">
        <v>25808517808.709999</v>
      </c>
      <c r="J88" s="40">
        <f t="shared" si="28"/>
        <v>0.11624633890551284</v>
      </c>
      <c r="K88" s="82">
        <v>25214657986.970001</v>
      </c>
      <c r="L88" s="40">
        <f t="shared" si="29"/>
        <v>0.11762244822242986</v>
      </c>
      <c r="M88" s="40">
        <f t="shared" si="35"/>
        <v>-2.3010225776684424E-2</v>
      </c>
      <c r="N88" s="41">
        <f t="shared" si="36"/>
        <v>1.6981475260194629E-3</v>
      </c>
      <c r="O88" s="42">
        <f t="shared" si="37"/>
        <v>7.6260157829373294E-3</v>
      </c>
      <c r="P88" s="54">
        <f t="shared" si="38"/>
        <v>258.40977733846114</v>
      </c>
      <c r="Q88" s="54">
        <f t="shared" si="39"/>
        <v>1.9706370404484257</v>
      </c>
      <c r="R88" s="61">
        <v>258.41000000000003</v>
      </c>
      <c r="S88" s="61">
        <v>258.41000000000003</v>
      </c>
      <c r="T88" s="61">
        <v>6475</v>
      </c>
      <c r="U88" s="61">
        <v>99880271.409999996</v>
      </c>
      <c r="V88" s="61">
        <v>97576253.680000007</v>
      </c>
    </row>
    <row r="89" spans="1:23">
      <c r="A89" s="36">
        <v>79</v>
      </c>
      <c r="B89" s="46" t="s">
        <v>129</v>
      </c>
      <c r="C89" s="37" t="s">
        <v>46</v>
      </c>
      <c r="D89" s="61">
        <v>358936014.24000001</v>
      </c>
      <c r="E89" s="61">
        <v>3684561.22</v>
      </c>
      <c r="F89" s="61">
        <v>15773172.800000001</v>
      </c>
      <c r="G89" s="61">
        <v>414870.07</v>
      </c>
      <c r="H89" s="38">
        <v>19042863.949999999</v>
      </c>
      <c r="I89" s="112">
        <v>340873597.08999997</v>
      </c>
      <c r="J89" s="40">
        <f t="shared" si="28"/>
        <v>1.5353577444843581E-3</v>
      </c>
      <c r="K89" s="82">
        <v>360533623.85000002</v>
      </c>
      <c r="L89" s="40">
        <f t="shared" si="29"/>
        <v>1.681833143469799E-3</v>
      </c>
      <c r="M89" s="40">
        <f t="shared" si="35"/>
        <v>5.7675416717033863E-2</v>
      </c>
      <c r="N89" s="41">
        <f t="shared" si="36"/>
        <v>1.150711175201253E-3</v>
      </c>
      <c r="O89" s="42">
        <f t="shared" si="37"/>
        <v>5.2818551974843767E-2</v>
      </c>
      <c r="P89" s="54">
        <f t="shared" si="38"/>
        <v>6269.1033123165525</v>
      </c>
      <c r="Q89" s="54">
        <f t="shared" si="39"/>
        <v>331.12495913725706</v>
      </c>
      <c r="R89" s="61">
        <v>6249.42</v>
      </c>
      <c r="S89" s="61">
        <v>6282.6</v>
      </c>
      <c r="T89" s="45">
        <v>15</v>
      </c>
      <c r="U89" s="61">
        <v>57509.599999999999</v>
      </c>
      <c r="V89" s="61">
        <v>57509.599999999999</v>
      </c>
    </row>
    <row r="90" spans="1:23">
      <c r="A90" s="36">
        <v>80</v>
      </c>
      <c r="B90" s="37" t="s">
        <v>130</v>
      </c>
      <c r="C90" s="37" t="s">
        <v>46</v>
      </c>
      <c r="D90" s="61">
        <v>10633290361.33</v>
      </c>
      <c r="E90" s="61">
        <v>160605244.06</v>
      </c>
      <c r="F90" s="61"/>
      <c r="G90" s="61">
        <v>15785446.52</v>
      </c>
      <c r="H90" s="38">
        <v>144819797.53999999</v>
      </c>
      <c r="I90" s="112">
        <v>11429074151.4</v>
      </c>
      <c r="J90" s="40">
        <f t="shared" si="28"/>
        <v>5.1478664409449412E-2</v>
      </c>
      <c r="K90" s="82">
        <v>10627002302.42</v>
      </c>
      <c r="L90" s="40">
        <f t="shared" si="29"/>
        <v>4.9573308855586279E-2</v>
      </c>
      <c r="M90" s="40">
        <f t="shared" si="35"/>
        <v>-7.0178199769729388E-2</v>
      </c>
      <c r="N90" s="41">
        <f t="shared" si="36"/>
        <v>1.4854091559202269E-3</v>
      </c>
      <c r="O90" s="42">
        <f t="shared" si="37"/>
        <v>1.3627530456732975E-2</v>
      </c>
      <c r="P90" s="54">
        <f t="shared" si="38"/>
        <v>133.80922932508594</v>
      </c>
      <c r="Q90" s="54">
        <f t="shared" si="39"/>
        <v>1.8234893480195755</v>
      </c>
      <c r="R90" s="61">
        <v>133.81</v>
      </c>
      <c r="S90" s="61">
        <v>133.81</v>
      </c>
      <c r="T90" s="45">
        <v>4448</v>
      </c>
      <c r="U90" s="61">
        <v>86257056.980000004</v>
      </c>
      <c r="V90" s="61">
        <v>79419053.200000003</v>
      </c>
    </row>
    <row r="91" spans="1:23">
      <c r="A91" s="36">
        <v>81</v>
      </c>
      <c r="B91" s="37" t="s">
        <v>131</v>
      </c>
      <c r="C91" s="37" t="s">
        <v>46</v>
      </c>
      <c r="D91" s="61">
        <v>9740429069.9099998</v>
      </c>
      <c r="E91" s="61">
        <v>75402043.430000007</v>
      </c>
      <c r="F91" s="61">
        <v>56440043.149999999</v>
      </c>
      <c r="G91" s="61">
        <v>16503389.01</v>
      </c>
      <c r="H91" s="38">
        <f t="shared" si="40"/>
        <v>115338697.57000001</v>
      </c>
      <c r="I91" s="112">
        <v>9719359421.4899998</v>
      </c>
      <c r="J91" s="40">
        <f t="shared" si="28"/>
        <v>4.3777792960807346E-2</v>
      </c>
      <c r="K91" s="82">
        <v>9079478283.8899994</v>
      </c>
      <c r="L91" s="40">
        <f t="shared" si="29"/>
        <v>4.2354350587876496E-2</v>
      </c>
      <c r="M91" s="40">
        <f t="shared" si="35"/>
        <v>-6.5835731538561121E-2</v>
      </c>
      <c r="N91" s="41">
        <f t="shared" si="36"/>
        <v>1.8176582942306802E-3</v>
      </c>
      <c r="O91" s="42">
        <f t="shared" si="37"/>
        <v>1.2703229631007439E-2</v>
      </c>
      <c r="P91" s="54">
        <f t="shared" si="38"/>
        <v>358.58383447862673</v>
      </c>
      <c r="Q91" s="54">
        <f t="shared" si="39"/>
        <v>4.5551727913491584</v>
      </c>
      <c r="R91" s="97">
        <v>358.26</v>
      </c>
      <c r="S91" s="45">
        <v>358.81</v>
      </c>
      <c r="T91" s="45">
        <v>10202</v>
      </c>
      <c r="U91" s="45">
        <v>27174010.91</v>
      </c>
      <c r="V91" s="45">
        <v>25320378.140000001</v>
      </c>
    </row>
    <row r="92" spans="1:23">
      <c r="A92" s="36">
        <v>82</v>
      </c>
      <c r="B92" s="37" t="s">
        <v>132</v>
      </c>
      <c r="C92" s="37" t="s">
        <v>50</v>
      </c>
      <c r="D92" s="94">
        <v>81369911900.044495</v>
      </c>
      <c r="E92" s="94">
        <v>674475066</v>
      </c>
      <c r="F92" s="69"/>
      <c r="G92" s="94">
        <v>132647577</v>
      </c>
      <c r="H92" s="38">
        <f t="shared" si="40"/>
        <v>541827489</v>
      </c>
      <c r="I92" s="114">
        <v>85836894231</v>
      </c>
      <c r="J92" s="40">
        <f t="shared" si="28"/>
        <v>0.38662525183859958</v>
      </c>
      <c r="K92" s="86">
        <v>86265500654.831207</v>
      </c>
      <c r="L92" s="40">
        <f t="shared" si="29"/>
        <v>0.40241511066294616</v>
      </c>
      <c r="M92" s="40">
        <f t="shared" si="35"/>
        <v>4.9932657474507742E-3</v>
      </c>
      <c r="N92" s="41">
        <f t="shared" si="36"/>
        <v>1.5376665757816039E-3</v>
      </c>
      <c r="O92" s="42">
        <f t="shared" si="37"/>
        <v>6.2809290491222056E-3</v>
      </c>
      <c r="P92" s="54">
        <f t="shared" si="38"/>
        <v>1.9159529086420806</v>
      </c>
      <c r="Q92" s="54">
        <f t="shared" si="39"/>
        <v>1.2033964280640227E-2</v>
      </c>
      <c r="R92" s="94">
        <v>1.9159529086420799</v>
      </c>
      <c r="S92" s="94">
        <v>1.9159529086420799</v>
      </c>
      <c r="T92" s="94">
        <v>1488</v>
      </c>
      <c r="U92" s="94">
        <v>45038611421.889999</v>
      </c>
      <c r="V92" s="94">
        <v>45024854350.919998</v>
      </c>
    </row>
    <row r="93" spans="1:23">
      <c r="A93" s="36">
        <v>83</v>
      </c>
      <c r="B93" s="47" t="s">
        <v>255</v>
      </c>
      <c r="C93" s="47" t="s">
        <v>256</v>
      </c>
      <c r="D93" s="61">
        <v>87997233.439999998</v>
      </c>
      <c r="E93" s="61">
        <v>1022124.06</v>
      </c>
      <c r="F93" s="61">
        <v>0</v>
      </c>
      <c r="G93" s="61">
        <v>425786.55</v>
      </c>
      <c r="H93" s="38">
        <f>(E93+F93)-G93</f>
        <v>596337.51</v>
      </c>
      <c r="I93" s="112">
        <v>87036236.349999994</v>
      </c>
      <c r="J93" s="40">
        <f t="shared" si="28"/>
        <v>3.9202731062641097E-4</v>
      </c>
      <c r="K93" s="82">
        <v>87132945.099999994</v>
      </c>
      <c r="L93" s="40">
        <f t="shared" si="29"/>
        <v>4.0646160375400555E-4</v>
      </c>
      <c r="M93" s="40">
        <f t="shared" si="35"/>
        <v>1.1111320302397245E-3</v>
      </c>
      <c r="N93" s="41">
        <f t="shared" si="36"/>
        <v>4.8866309925750459E-3</v>
      </c>
      <c r="O93" s="42">
        <f t="shared" si="37"/>
        <v>6.8439957964877745E-3</v>
      </c>
      <c r="P93" s="54">
        <f t="shared" si="38"/>
        <v>107.05369464976299</v>
      </c>
      <c r="Q93" s="54">
        <f t="shared" si="39"/>
        <v>0.73267503618146368</v>
      </c>
      <c r="R93" s="61">
        <v>107.05370000000001</v>
      </c>
      <c r="S93" s="61">
        <v>107.05370000000001</v>
      </c>
      <c r="T93" s="61">
        <v>55</v>
      </c>
      <c r="U93" s="61">
        <v>812003.5</v>
      </c>
      <c r="V93" s="61">
        <v>813918.15</v>
      </c>
    </row>
    <row r="94" spans="1:23">
      <c r="A94" s="36">
        <v>84</v>
      </c>
      <c r="B94" s="46" t="s">
        <v>133</v>
      </c>
      <c r="C94" s="46" t="s">
        <v>98</v>
      </c>
      <c r="D94" s="69">
        <v>2546050275.9699998</v>
      </c>
      <c r="E94" s="69">
        <v>28642897.800000001</v>
      </c>
      <c r="F94" s="69"/>
      <c r="G94" s="61">
        <v>4410516.32</v>
      </c>
      <c r="H94" s="38">
        <f>(E94+F94)-G94</f>
        <v>24232381.48</v>
      </c>
      <c r="I94" s="114">
        <v>2555666253.5799999</v>
      </c>
      <c r="J94" s="40">
        <f t="shared" si="28"/>
        <v>1.1511193616193661E-2</v>
      </c>
      <c r="K94" s="49">
        <v>2543894341.54</v>
      </c>
      <c r="L94" s="40">
        <f t="shared" si="29"/>
        <v>1.1866870477709681E-2</v>
      </c>
      <c r="M94" s="40">
        <f t="shared" si="35"/>
        <v>-4.6062008384348948E-3</v>
      </c>
      <c r="N94" s="41">
        <f t="shared" si="36"/>
        <v>1.7337655294794993E-3</v>
      </c>
      <c r="O94" s="42">
        <f t="shared" si="37"/>
        <v>9.5257028109628234E-3</v>
      </c>
      <c r="P94" s="54">
        <f t="shared" si="38"/>
        <v>27.240125485659085</v>
      </c>
      <c r="Q94" s="54">
        <f t="shared" si="39"/>
        <v>0.25948133990972283</v>
      </c>
      <c r="R94" s="45">
        <v>27.240200000000002</v>
      </c>
      <c r="S94" s="45">
        <v>27.240200000000002</v>
      </c>
      <c r="T94" s="69">
        <v>1312</v>
      </c>
      <c r="U94" s="61">
        <v>94756360.900000006</v>
      </c>
      <c r="V94" s="61">
        <v>93387761.480000004</v>
      </c>
    </row>
    <row r="95" spans="1:23">
      <c r="A95" s="150" t="s">
        <v>51</v>
      </c>
      <c r="B95" s="150"/>
      <c r="C95" s="150"/>
      <c r="D95" s="150"/>
      <c r="E95" s="150"/>
      <c r="F95" s="150"/>
      <c r="G95" s="150"/>
      <c r="H95" s="150"/>
      <c r="I95" s="52">
        <f>SUM(I62:I94)</f>
        <v>222015747349.14996</v>
      </c>
      <c r="J95" s="109">
        <f>(I95/$I$195)</f>
        <v>6.8914664763171624E-2</v>
      </c>
      <c r="K95" s="52">
        <f>SUM(K62:K94)</f>
        <v>214369436855.18124</v>
      </c>
      <c r="L95" s="109">
        <f>(K95/$K$195)</f>
        <v>6.4390593007917121E-2</v>
      </c>
      <c r="M95" s="50">
        <f t="shared" si="30"/>
        <v>-3.4440397067618166E-2</v>
      </c>
      <c r="N95" s="41"/>
      <c r="O95" s="41"/>
      <c r="P95" s="59"/>
      <c r="Q95" s="59"/>
      <c r="R95" s="53"/>
      <c r="S95" s="53"/>
      <c r="T95" s="53">
        <f>SUM(T62:T94)</f>
        <v>45217</v>
      </c>
      <c r="U95" s="53"/>
      <c r="V95" s="45"/>
    </row>
    <row r="96" spans="1:23" ht="6.9" customHeight="1">
      <c r="A96" s="149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8"/>
    </row>
    <row r="97" spans="1:24">
      <c r="A97" s="148" t="s">
        <v>134</v>
      </c>
      <c r="B97" s="148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</row>
    <row r="98" spans="1:24">
      <c r="A98" s="151" t="s">
        <v>135</v>
      </c>
      <c r="B98" s="151"/>
      <c r="C98" s="151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</row>
    <row r="99" spans="1:24">
      <c r="A99" s="63">
        <v>85</v>
      </c>
      <c r="B99" s="37" t="s">
        <v>136</v>
      </c>
      <c r="C99" s="37" t="s">
        <v>22</v>
      </c>
      <c r="D99" s="61">
        <v>2964335071.8400002</v>
      </c>
      <c r="E99" s="61">
        <v>18751390.030000001</v>
      </c>
      <c r="F99" s="61">
        <v>162627553.19999999</v>
      </c>
      <c r="G99" s="61">
        <v>5979735.96</v>
      </c>
      <c r="H99" s="38">
        <f>(E99+F99)-G99</f>
        <v>175399207.26999998</v>
      </c>
      <c r="I99" s="120">
        <v>2887074335.1999998</v>
      </c>
      <c r="J99" s="40">
        <f t="shared" ref="J99:J113" si="41">(I99/$I$128)</f>
        <v>1.8283754386728382E-3</v>
      </c>
      <c r="K99" s="74">
        <v>2971542372.6300001</v>
      </c>
      <c r="L99" s="40">
        <f t="shared" ref="L99:L113" si="42">(K99/$K$128)</f>
        <v>1.8491070526847947E-3</v>
      </c>
      <c r="M99" s="40">
        <f t="shared" ref="M99" si="43">((K99-I99)/I99)</f>
        <v>2.9257312982954021E-2</v>
      </c>
      <c r="N99" s="41">
        <f t="shared" ref="N99" si="44">(G99/K99)</f>
        <v>2.0123340710459267E-3</v>
      </c>
      <c r="O99" s="42">
        <f t="shared" ref="O99" si="45">H99/K99</f>
        <v>5.9026318751349574E-2</v>
      </c>
      <c r="P99" s="54">
        <f t="shared" ref="P99" si="46">K99/V99</f>
        <v>175828.93284809226</v>
      </c>
      <c r="Q99" s="54">
        <f t="shared" ref="Q99" si="47">H99/V99</f>
        <v>10378.534636001134</v>
      </c>
      <c r="R99" s="45">
        <f>1596.64*110.0209</f>
        <v>175663.769776</v>
      </c>
      <c r="S99" s="45">
        <f>1596.64*110.0209</f>
        <v>175663.769776</v>
      </c>
      <c r="T99" s="45">
        <v>245</v>
      </c>
      <c r="U99" s="45">
        <v>16380.62</v>
      </c>
      <c r="V99" s="45">
        <v>16900.189999999999</v>
      </c>
    </row>
    <row r="100" spans="1:24">
      <c r="A100" s="63">
        <v>86</v>
      </c>
      <c r="B100" s="47" t="s">
        <v>244</v>
      </c>
      <c r="C100" s="48" t="s">
        <v>55</v>
      </c>
      <c r="D100" s="61">
        <f>981646.36*1596.64</f>
        <v>1567335844.2304001</v>
      </c>
      <c r="E100" s="61">
        <f>6920.56*1596.64</f>
        <v>11049642.918400001</v>
      </c>
      <c r="F100" s="61">
        <v>0</v>
      </c>
      <c r="G100" s="61">
        <f>1568.64*1596.64</f>
        <v>2504553.3696000003</v>
      </c>
      <c r="H100" s="38">
        <f t="shared" ref="H100:H113" si="48">(E100+F100)-G100</f>
        <v>8545089.5488000009</v>
      </c>
      <c r="I100" s="120">
        <f>957445.1*1610.917</f>
        <v>1542364588.1566999</v>
      </c>
      <c r="J100" s="40">
        <f t="shared" si="41"/>
        <v>9.7677482567108979E-4</v>
      </c>
      <c r="K100" s="74">
        <f>972297.02*1596.64</f>
        <v>1552408314.0128002</v>
      </c>
      <c r="L100" s="40">
        <f t="shared" si="42"/>
        <v>9.6601993245243464E-4</v>
      </c>
      <c r="M100" s="40">
        <f t="shared" ref="M100:M113" si="49">((K100-I100)/I100)</f>
        <v>6.5119012282975905E-3</v>
      </c>
      <c r="N100" s="41">
        <f t="shared" ref="N100:N113" si="50">(G100/K100)</f>
        <v>1.6133341640808484E-3</v>
      </c>
      <c r="O100" s="42">
        <f t="shared" ref="O100:O113" si="51">H100/K100</f>
        <v>5.5044085191169254E-3</v>
      </c>
      <c r="P100" s="54">
        <f t="shared" ref="P100:P113" si="52">K100/V100</f>
        <v>165343.30748884869</v>
      </c>
      <c r="Q100" s="54">
        <f t="shared" ref="Q100:Q113" si="53">H100/V100</f>
        <v>910.11711032058804</v>
      </c>
      <c r="R100" s="45">
        <f>100*1596.64</f>
        <v>159664</v>
      </c>
      <c r="S100" s="45">
        <f>100*1596.64</f>
        <v>159664</v>
      </c>
      <c r="T100" s="45">
        <v>15</v>
      </c>
      <c r="U100" s="45">
        <v>9294</v>
      </c>
      <c r="V100" s="45">
        <v>9389</v>
      </c>
    </row>
    <row r="101" spans="1:24" ht="12.9" customHeight="1">
      <c r="A101" s="63">
        <v>87</v>
      </c>
      <c r="B101" s="37" t="s">
        <v>137</v>
      </c>
      <c r="C101" s="46" t="s">
        <v>26</v>
      </c>
      <c r="D101" s="45">
        <f>8555228.95*1596.64</f>
        <v>13659620750.727999</v>
      </c>
      <c r="E101" s="74">
        <f>80678.79*1596.64</f>
        <v>128814983.2656</v>
      </c>
      <c r="F101" s="74">
        <f>1060*1596.64</f>
        <v>1692438.4000000001</v>
      </c>
      <c r="G101" s="74">
        <f>17771.86*1596.64</f>
        <v>28375262.550400004</v>
      </c>
      <c r="H101" s="38">
        <f t="shared" si="48"/>
        <v>102132159.1152</v>
      </c>
      <c r="I101" s="120">
        <f>10951958*1610.917</f>
        <v>17642695325.486</v>
      </c>
      <c r="J101" s="40">
        <f t="shared" si="41"/>
        <v>1.1173065553531057E-2</v>
      </c>
      <c r="K101" s="74">
        <f>11045434*1596.64</f>
        <v>17635581741.760002</v>
      </c>
      <c r="L101" s="40">
        <f t="shared" si="42"/>
        <v>1.09741253825789E-2</v>
      </c>
      <c r="M101" s="40">
        <f t="shared" si="49"/>
        <v>-4.0320277569617712E-4</v>
      </c>
      <c r="N101" s="41">
        <f t="shared" si="50"/>
        <v>1.6089779722553228E-3</v>
      </c>
      <c r="O101" s="42">
        <f t="shared" si="51"/>
        <v>5.7912554635698331E-3</v>
      </c>
      <c r="P101" s="54">
        <f t="shared" si="52"/>
        <v>1821.7360434169375</v>
      </c>
      <c r="Q101" s="54">
        <f t="shared" si="53"/>
        <v>10.550138814620428</v>
      </c>
      <c r="R101" s="45">
        <f>1.141*1596.64</f>
        <v>1821.7662400000002</v>
      </c>
      <c r="S101" s="45">
        <f>1.141*1596.64</f>
        <v>1821.7662400000002</v>
      </c>
      <c r="T101" s="45">
        <v>301</v>
      </c>
      <c r="U101" s="45">
        <v>9643431</v>
      </c>
      <c r="V101" s="45">
        <v>9680646</v>
      </c>
    </row>
    <row r="102" spans="1:24" ht="12.9" customHeight="1">
      <c r="A102" s="63">
        <v>88</v>
      </c>
      <c r="B102" s="47" t="s">
        <v>249</v>
      </c>
      <c r="C102" s="48" t="s">
        <v>107</v>
      </c>
      <c r="D102" s="45">
        <f>1877707.71*1596.64</f>
        <v>2998023238.0943999</v>
      </c>
      <c r="E102" s="74">
        <f>16135.96*1596.64</f>
        <v>25763319.174400002</v>
      </c>
      <c r="F102" s="74">
        <v>0</v>
      </c>
      <c r="G102" s="74">
        <f>2905.61*1596.64</f>
        <v>4639213.1504000006</v>
      </c>
      <c r="H102" s="38">
        <f t="shared" si="48"/>
        <v>21124106.024</v>
      </c>
      <c r="I102" s="120">
        <f>1795239.64*1610.917</f>
        <v>2891982055.1498795</v>
      </c>
      <c r="J102" s="40">
        <f t="shared" si="41"/>
        <v>1.8314834828637484E-3</v>
      </c>
      <c r="K102" s="74">
        <f>1909045.77*1596.64</f>
        <v>3048058838.2128</v>
      </c>
      <c r="L102" s="40">
        <f t="shared" si="42"/>
        <v>1.8967210922687038E-3</v>
      </c>
      <c r="M102" s="40">
        <f t="shared" si="49"/>
        <v>5.396879374994315E-2</v>
      </c>
      <c r="N102" s="41">
        <f t="shared" si="50"/>
        <v>1.5220221776034214E-3</v>
      </c>
      <c r="O102" s="42">
        <f t="shared" si="51"/>
        <v>6.9303471964425453E-3</v>
      </c>
      <c r="P102" s="54">
        <f t="shared" si="52"/>
        <v>1659.3994692696174</v>
      </c>
      <c r="Q102" s="54">
        <f t="shared" si="53"/>
        <v>11.500214459630941</v>
      </c>
      <c r="R102" s="45">
        <f>1.0393*16596.64</f>
        <v>17248.887951999997</v>
      </c>
      <c r="S102" s="45">
        <f>1.0393*16596.64</f>
        <v>17248.887951999997</v>
      </c>
      <c r="T102" s="45">
        <v>224</v>
      </c>
      <c r="U102" s="45">
        <v>1738042.35</v>
      </c>
      <c r="V102" s="45">
        <v>1836844.53</v>
      </c>
    </row>
    <row r="103" spans="1:24" ht="12.9" customHeight="1">
      <c r="A103" s="63">
        <v>89</v>
      </c>
      <c r="B103" s="47" t="s">
        <v>250</v>
      </c>
      <c r="C103" s="48" t="s">
        <v>224</v>
      </c>
      <c r="D103" s="45">
        <f>1537.4253*1596.64</f>
        <v>2454714.7309920006</v>
      </c>
      <c r="E103" s="74">
        <f>8639.76*1596.64</f>
        <v>13794586.406400001</v>
      </c>
      <c r="F103" s="74">
        <v>0</v>
      </c>
      <c r="G103" s="74">
        <f>862.84*1596.64</f>
        <v>1377644.8576000002</v>
      </c>
      <c r="H103" s="38">
        <f t="shared" si="48"/>
        <v>12416941.548800001</v>
      </c>
      <c r="I103" s="120">
        <f>381890.65*1610.917</f>
        <v>615194140.22605002</v>
      </c>
      <c r="J103" s="40">
        <f t="shared" si="41"/>
        <v>3.896005871032911E-4</v>
      </c>
      <c r="K103" s="74">
        <f>384544.38*1596.64</f>
        <v>613978938.88320005</v>
      </c>
      <c r="L103" s="40">
        <f t="shared" si="42"/>
        <v>3.820617860091388E-4</v>
      </c>
      <c r="M103" s="40">
        <f t="shared" si="49"/>
        <v>-1.9753135854048451E-3</v>
      </c>
      <c r="N103" s="41">
        <f t="shared" si="50"/>
        <v>2.2437982320792208E-3</v>
      </c>
      <c r="O103" s="42">
        <f t="shared" si="51"/>
        <v>2.0223725542419836E-2</v>
      </c>
      <c r="P103" s="54">
        <f t="shared" si="52"/>
        <v>1676.4852882637854</v>
      </c>
      <c r="Q103" s="54">
        <f t="shared" si="53"/>
        <v>33.904778345751403</v>
      </c>
      <c r="R103" s="45">
        <v>1596.64</v>
      </c>
      <c r="S103" s="45">
        <v>1596.64</v>
      </c>
      <c r="T103" s="45">
        <v>15</v>
      </c>
      <c r="U103" s="45">
        <v>366229.84</v>
      </c>
      <c r="V103" s="45">
        <v>366229.84</v>
      </c>
    </row>
    <row r="104" spans="1:24" ht="12.9" customHeight="1">
      <c r="A104" s="63">
        <v>90</v>
      </c>
      <c r="B104" s="47" t="s">
        <v>251</v>
      </c>
      <c r="C104" s="48" t="s">
        <v>48</v>
      </c>
      <c r="D104" s="45">
        <f>379573.65*1596.64</f>
        <v>606042472.53600013</v>
      </c>
      <c r="E104" s="74">
        <f>4601.56*1596.64</f>
        <v>7347034.7584000016</v>
      </c>
      <c r="F104" s="74">
        <v>0</v>
      </c>
      <c r="G104" s="74">
        <f>6942.95*1596.64</f>
        <v>11085391.688000001</v>
      </c>
      <c r="H104" s="38">
        <f t="shared" si="48"/>
        <v>-3738356.9295999995</v>
      </c>
      <c r="I104" s="120">
        <f>506742.26*1610.917</f>
        <v>816319721.25241995</v>
      </c>
      <c r="J104" s="40">
        <f t="shared" si="41"/>
        <v>5.1697280885522746E-4</v>
      </c>
      <c r="K104" s="74">
        <f>474540.3*1596.64</f>
        <v>757670024.59200001</v>
      </c>
      <c r="L104" s="40">
        <f t="shared" si="42"/>
        <v>4.7147669808960026E-4</v>
      </c>
      <c r="M104" s="40">
        <f t="shared" si="49"/>
        <v>-7.1846477713950085E-2</v>
      </c>
      <c r="N104" s="41">
        <f t="shared" si="50"/>
        <v>1.4630896469699202E-2</v>
      </c>
      <c r="O104" s="42">
        <f t="shared" si="51"/>
        <v>-4.9340171951676171E-3</v>
      </c>
      <c r="P104" s="54">
        <f t="shared" si="52"/>
        <v>1764.376786477721</v>
      </c>
      <c r="Q104" s="54">
        <f t="shared" si="53"/>
        <v>-8.7054654032356584</v>
      </c>
      <c r="R104" s="61">
        <v>1.1617</v>
      </c>
      <c r="S104" s="61">
        <v>1.1617</v>
      </c>
      <c r="T104" s="45">
        <v>35</v>
      </c>
      <c r="U104" s="61">
        <v>443574.88</v>
      </c>
      <c r="V104" s="61">
        <v>429426.43</v>
      </c>
    </row>
    <row r="105" spans="1:24" ht="12.9" customHeight="1">
      <c r="A105" s="63">
        <v>91</v>
      </c>
      <c r="B105" s="47" t="s">
        <v>252</v>
      </c>
      <c r="C105" s="48" t="s">
        <v>175</v>
      </c>
      <c r="D105" s="45">
        <f>333701.34*1596.64</f>
        <v>532800907.49760008</v>
      </c>
      <c r="E105" s="74">
        <f>2403.17*1596.64</f>
        <v>3836997.3488000003</v>
      </c>
      <c r="F105" s="74">
        <v>0</v>
      </c>
      <c r="G105" s="74">
        <f>917.26*1596.64</f>
        <v>1464534.0064000001</v>
      </c>
      <c r="H105" s="38">
        <f t="shared" si="48"/>
        <v>2372463.3424000004</v>
      </c>
      <c r="I105" s="120">
        <f>433289.72*1610.917</f>
        <v>697993775.87323987</v>
      </c>
      <c r="J105" s="40">
        <f t="shared" si="41"/>
        <v>4.4203734576329787E-4</v>
      </c>
      <c r="K105" s="74">
        <f>379951.67*1596.64</f>
        <v>606646034.38880002</v>
      </c>
      <c r="L105" s="40">
        <f t="shared" si="42"/>
        <v>3.7749872625197364E-4</v>
      </c>
      <c r="M105" s="40">
        <f t="shared" si="49"/>
        <v>-0.1308718568015271</v>
      </c>
      <c r="N105" s="41">
        <f t="shared" si="50"/>
        <v>2.4141491469165011E-3</v>
      </c>
      <c r="O105" s="42">
        <f t="shared" si="51"/>
        <v>3.9107868640240488E-3</v>
      </c>
      <c r="P105" s="54">
        <f t="shared" si="52"/>
        <v>168653.33177336669</v>
      </c>
      <c r="Q105" s="54">
        <f t="shared" si="53"/>
        <v>659.56723447317222</v>
      </c>
      <c r="R105" s="45">
        <f>105.8*1596.64</f>
        <v>168924.51200000002</v>
      </c>
      <c r="S105" s="45">
        <f>106.51*1596.64</f>
        <v>170058.12640000001</v>
      </c>
      <c r="T105" s="45">
        <v>45</v>
      </c>
      <c r="U105" s="45">
        <v>4101.6000000000004</v>
      </c>
      <c r="V105" s="45">
        <v>3597</v>
      </c>
    </row>
    <row r="106" spans="1:24" ht="15" customHeight="1">
      <c r="A106" s="63">
        <v>92</v>
      </c>
      <c r="B106" s="37" t="s">
        <v>138</v>
      </c>
      <c r="C106" s="46" t="s">
        <v>72</v>
      </c>
      <c r="D106" s="61">
        <f>455814.98*1596.64</f>
        <v>727772429.66719997</v>
      </c>
      <c r="E106" s="74">
        <f>40771.97*1596.64</f>
        <v>65098158.180800006</v>
      </c>
      <c r="F106" s="74"/>
      <c r="G106" s="74">
        <f>5119.13*1596.64</f>
        <v>8173407.7232000008</v>
      </c>
      <c r="H106" s="38">
        <f t="shared" si="48"/>
        <v>56924750.457600005</v>
      </c>
      <c r="I106" s="112">
        <f>3022592.91*1610.917</f>
        <v>4869146302.7984695</v>
      </c>
      <c r="J106" s="40">
        <f t="shared" si="41"/>
        <v>3.0836156169580086E-3</v>
      </c>
      <c r="K106" s="61">
        <f>2978896.49*1596.64</f>
        <v>4756225291.793601</v>
      </c>
      <c r="L106" s="40">
        <f t="shared" si="42"/>
        <v>2.9596649242559594E-3</v>
      </c>
      <c r="M106" s="40">
        <f t="shared" si="49"/>
        <v>-2.3191131254357428E-2</v>
      </c>
      <c r="N106" s="41">
        <f t="shared" si="50"/>
        <v>1.71846521595653E-3</v>
      </c>
      <c r="O106" s="42">
        <f t="shared" si="51"/>
        <v>1.1968472257993763E-2</v>
      </c>
      <c r="P106" s="54">
        <f t="shared" si="52"/>
        <v>172494.74821868807</v>
      </c>
      <c r="Q106" s="54">
        <f t="shared" si="53"/>
        <v>2064.4986087049874</v>
      </c>
      <c r="R106" s="74">
        <f>108.95*1596.64</f>
        <v>173953.92800000001</v>
      </c>
      <c r="S106" s="74">
        <f>108.95*1596.64</f>
        <v>173953.92800000001</v>
      </c>
      <c r="T106" s="45">
        <v>89</v>
      </c>
      <c r="U106" s="61">
        <v>28019.62</v>
      </c>
      <c r="V106" s="61">
        <v>27573.16</v>
      </c>
    </row>
    <row r="107" spans="1:24" ht="15" customHeight="1">
      <c r="A107" s="63">
        <v>93</v>
      </c>
      <c r="B107" s="37" t="s">
        <v>139</v>
      </c>
      <c r="C107" s="37" t="s">
        <v>140</v>
      </c>
      <c r="D107" s="61">
        <v>56565371877.589996</v>
      </c>
      <c r="E107" s="61">
        <v>417747130.77999997</v>
      </c>
      <c r="F107" s="61"/>
      <c r="G107" s="61">
        <v>91878170.090000004</v>
      </c>
      <c r="H107" s="38">
        <f t="shared" si="48"/>
        <v>325868960.68999994</v>
      </c>
      <c r="I107" s="114">
        <v>56646559025.910004</v>
      </c>
      <c r="J107" s="40">
        <f t="shared" si="41"/>
        <v>3.5874094388750895E-2</v>
      </c>
      <c r="K107" s="69">
        <v>55908647690.150002</v>
      </c>
      <c r="L107" s="40">
        <f t="shared" si="42"/>
        <v>3.4790375429991638E-2</v>
      </c>
      <c r="M107" s="40">
        <f t="shared" si="49"/>
        <v>-1.302658711224601E-2</v>
      </c>
      <c r="N107" s="41">
        <f t="shared" si="50"/>
        <v>1.6433624114680048E-3</v>
      </c>
      <c r="O107" s="42">
        <f t="shared" si="51"/>
        <v>5.8285967225676898E-3</v>
      </c>
      <c r="P107" s="54">
        <f t="shared" si="52"/>
        <v>208357.02058334669</v>
      </c>
      <c r="Q107" s="54">
        <f t="shared" si="53"/>
        <v>1214.4290472960631</v>
      </c>
      <c r="R107" s="69">
        <f>130.33*1596.64</f>
        <v>208090.09120000002</v>
      </c>
      <c r="S107" s="69">
        <f>1596.64*130.33</f>
        <v>208090.09120000002</v>
      </c>
      <c r="T107" s="45">
        <v>2169</v>
      </c>
      <c r="U107" s="45">
        <v>271487</v>
      </c>
      <c r="V107" s="45">
        <v>268331</v>
      </c>
    </row>
    <row r="108" spans="1:24">
      <c r="A108" s="63">
        <v>94</v>
      </c>
      <c r="B108" s="37" t="s">
        <v>141</v>
      </c>
      <c r="C108" s="37" t="s">
        <v>140</v>
      </c>
      <c r="D108" s="61">
        <v>90350416155.509995</v>
      </c>
      <c r="E108" s="45">
        <v>716149314.88999999</v>
      </c>
      <c r="F108" s="45"/>
      <c r="G108" s="45">
        <v>144162606.94999999</v>
      </c>
      <c r="H108" s="38">
        <f t="shared" si="48"/>
        <v>571986707.94000006</v>
      </c>
      <c r="I108" s="114">
        <v>86396900971.869995</v>
      </c>
      <c r="J108" s="40">
        <f t="shared" si="41"/>
        <v>5.4714895902904973E-2</v>
      </c>
      <c r="K108" s="69">
        <v>90005068151.229996</v>
      </c>
      <c r="L108" s="40">
        <f t="shared" si="42"/>
        <v>5.6007616727509403E-2</v>
      </c>
      <c r="M108" s="40">
        <f t="shared" si="49"/>
        <v>4.1762692165715355E-2</v>
      </c>
      <c r="N108" s="41">
        <f t="shared" si="50"/>
        <v>1.601716546759038E-3</v>
      </c>
      <c r="O108" s="42">
        <f t="shared" si="51"/>
        <v>6.355049995394991E-3</v>
      </c>
      <c r="P108" s="54">
        <f t="shared" si="52"/>
        <v>190062.14291705732</v>
      </c>
      <c r="Q108" s="54">
        <f t="shared" si="53"/>
        <v>1207.8544204698073</v>
      </c>
      <c r="R108" s="69">
        <f>118.96*1596.64</f>
        <v>189936.29440000001</v>
      </c>
      <c r="S108" s="69">
        <f>118.96*1596.64</f>
        <v>189936.29440000001</v>
      </c>
      <c r="T108" s="45">
        <v>497</v>
      </c>
      <c r="U108" s="69">
        <v>454148</v>
      </c>
      <c r="V108" s="69">
        <v>473556</v>
      </c>
    </row>
    <row r="109" spans="1:24" s="6" customFormat="1">
      <c r="A109" s="63">
        <v>95</v>
      </c>
      <c r="B109" s="47" t="s">
        <v>142</v>
      </c>
      <c r="C109" s="48" t="s">
        <v>143</v>
      </c>
      <c r="D109" s="45">
        <f>118591.95*1596.64</f>
        <v>189348651.04800001</v>
      </c>
      <c r="E109" s="45">
        <f>1865.8*1596.64</f>
        <v>2979010.912</v>
      </c>
      <c r="F109" s="45"/>
      <c r="G109" s="45">
        <f>14792.21*1596.64</f>
        <v>23617834.174400002</v>
      </c>
      <c r="H109" s="38">
        <f t="shared" si="48"/>
        <v>-20638823.262400001</v>
      </c>
      <c r="I109" s="120">
        <f>97970.08*1610.917</f>
        <v>157821667.36335999</v>
      </c>
      <c r="J109" s="40">
        <f t="shared" si="41"/>
        <v>9.9947984289629481E-5</v>
      </c>
      <c r="K109" s="74">
        <f>117184.74*1596.64</f>
        <v>187101843.27360001</v>
      </c>
      <c r="L109" s="40">
        <f t="shared" si="42"/>
        <v>1.1642820279265703E-4</v>
      </c>
      <c r="M109" s="40">
        <f t="shared" si="49"/>
        <v>0.18552697103894453</v>
      </c>
      <c r="N109" s="41">
        <f t="shared" si="50"/>
        <v>0.12622983163166127</v>
      </c>
      <c r="O109" s="42">
        <f t="shared" si="51"/>
        <v>-0.11030796330648512</v>
      </c>
      <c r="P109" s="54">
        <f t="shared" si="52"/>
        <v>216462.86648340971</v>
      </c>
      <c r="Q109" s="54">
        <f t="shared" si="53"/>
        <v>-23877.577933268545</v>
      </c>
      <c r="R109" s="69">
        <f>114.33*1596.64</f>
        <v>182543.8512</v>
      </c>
      <c r="S109" s="69">
        <f>114.33*1596.64</f>
        <v>182543.8512</v>
      </c>
      <c r="T109" s="45">
        <v>5</v>
      </c>
      <c r="U109" s="45">
        <v>1024.96</v>
      </c>
      <c r="V109" s="45">
        <v>864.36</v>
      </c>
      <c r="W109" s="9"/>
      <c r="X109" s="9"/>
    </row>
    <row r="110" spans="1:24">
      <c r="A110" s="63">
        <v>96</v>
      </c>
      <c r="B110" s="37" t="s">
        <v>144</v>
      </c>
      <c r="C110" s="37" t="s">
        <v>145</v>
      </c>
      <c r="D110" s="61">
        <f>10071546.65*1596.64</f>
        <v>16080634243.256002</v>
      </c>
      <c r="E110" s="38">
        <f>58774.49*1596.64</f>
        <v>93841701.71360001</v>
      </c>
      <c r="F110" s="38"/>
      <c r="G110" s="38">
        <f>16719.27*1596.64</f>
        <v>26694655.252800003</v>
      </c>
      <c r="H110" s="38">
        <f t="shared" si="48"/>
        <v>67147046.460800007</v>
      </c>
      <c r="I110" s="112">
        <f>10296146.24*1610.917</f>
        <v>16586237012.502079</v>
      </c>
      <c r="J110" s="40">
        <f t="shared" si="41"/>
        <v>1.0504013701318277E-2</v>
      </c>
      <c r="K110" s="61">
        <f>10016320.35*1596.64</f>
        <v>15992457723.624001</v>
      </c>
      <c r="L110" s="40">
        <f t="shared" si="42"/>
        <v>9.9516556246659546E-3</v>
      </c>
      <c r="M110" s="40">
        <f t="shared" si="49"/>
        <v>-3.5799517903338178E-2</v>
      </c>
      <c r="N110" s="41">
        <f t="shared" si="50"/>
        <v>1.6692028026040523E-3</v>
      </c>
      <c r="O110" s="42">
        <f t="shared" si="51"/>
        <v>4.1986696242198368E-3</v>
      </c>
      <c r="P110" s="54">
        <f t="shared" si="52"/>
        <v>2178.0054066733965</v>
      </c>
      <c r="Q110" s="54">
        <f t="shared" si="53"/>
        <v>9.1447251423861609</v>
      </c>
      <c r="R110" s="69">
        <f>1.36*1596.64</f>
        <v>2171.4304000000002</v>
      </c>
      <c r="S110" s="69">
        <f>1.36*1596.64</f>
        <v>2171.4304000000002</v>
      </c>
      <c r="T110" s="45">
        <v>112</v>
      </c>
      <c r="U110" s="45">
        <v>7577218</v>
      </c>
      <c r="V110" s="45">
        <v>7342708</v>
      </c>
    </row>
    <row r="111" spans="1:24">
      <c r="A111" s="63">
        <v>97</v>
      </c>
      <c r="B111" s="37" t="s">
        <v>146</v>
      </c>
      <c r="C111" s="37" t="s">
        <v>50</v>
      </c>
      <c r="D111" s="45">
        <f>134668057*1596.64</f>
        <v>215016406528.48001</v>
      </c>
      <c r="E111" s="74">
        <f>997786*1596.64</f>
        <v>1593105039.0400002</v>
      </c>
      <c r="F111" s="74"/>
      <c r="G111" s="45">
        <f>197948*1596.64</f>
        <v>316051694.72000003</v>
      </c>
      <c r="H111" s="38">
        <f t="shared" si="48"/>
        <v>1277053344.3200002</v>
      </c>
      <c r="I111" s="120">
        <f>144577031*1610.917</f>
        <v>232901597047.427</v>
      </c>
      <c r="J111" s="40">
        <f t="shared" si="41"/>
        <v>0.14749587652709151</v>
      </c>
      <c r="K111" s="74">
        <f>142740453*1596.64</f>
        <v>227905116877.92001</v>
      </c>
      <c r="L111" s="40">
        <f t="shared" si="42"/>
        <v>0.14181892973948426</v>
      </c>
      <c r="M111" s="40">
        <f t="shared" si="49"/>
        <v>-2.1453181226960535E-2</v>
      </c>
      <c r="N111" s="41">
        <f t="shared" si="50"/>
        <v>1.38676875293369E-3</v>
      </c>
      <c r="O111" s="42">
        <f t="shared" si="51"/>
        <v>5.6034430547869992E-3</v>
      </c>
      <c r="P111" s="54">
        <f t="shared" si="52"/>
        <v>195111.04717910348</v>
      </c>
      <c r="Q111" s="54">
        <f t="shared" si="53"/>
        <v>1093.2936422279658</v>
      </c>
      <c r="R111" s="74">
        <f>122*1596.64</f>
        <v>194790.08000000002</v>
      </c>
      <c r="S111" s="74">
        <f>122*1596.64</f>
        <v>194790.08000000002</v>
      </c>
      <c r="T111" s="45">
        <v>1089</v>
      </c>
      <c r="U111" s="45">
        <v>1227839</v>
      </c>
      <c r="V111" s="45">
        <v>1168079</v>
      </c>
    </row>
    <row r="112" spans="1:24" ht="13.8" customHeight="1">
      <c r="A112" s="63">
        <v>98</v>
      </c>
      <c r="B112" s="37" t="s">
        <v>147</v>
      </c>
      <c r="C112" s="37" t="s">
        <v>148</v>
      </c>
      <c r="D112" s="92">
        <v>24477958877.119999</v>
      </c>
      <c r="E112" s="74">
        <v>239974569.58000001</v>
      </c>
      <c r="F112" s="74">
        <v>0</v>
      </c>
      <c r="G112" s="61">
        <v>50888957.210000001</v>
      </c>
      <c r="H112" s="38">
        <f t="shared" si="48"/>
        <v>189085612.37</v>
      </c>
      <c r="I112" s="120">
        <v>22566403317.5</v>
      </c>
      <c r="J112" s="40">
        <f t="shared" si="41"/>
        <v>1.4291234923136819E-2</v>
      </c>
      <c r="K112" s="74">
        <v>24767036114.720001</v>
      </c>
      <c r="L112" s="40">
        <f t="shared" si="42"/>
        <v>1.5411828407916882E-2</v>
      </c>
      <c r="M112" s="40">
        <f t="shared" si="49"/>
        <v>9.7518100968860835E-2</v>
      </c>
      <c r="N112" s="41">
        <f t="shared" si="50"/>
        <v>2.0547051724027141E-3</v>
      </c>
      <c r="O112" s="42">
        <f t="shared" si="51"/>
        <v>7.6345676363599744E-3</v>
      </c>
      <c r="P112" s="54">
        <f t="shared" si="52"/>
        <v>163437.79193812775</v>
      </c>
      <c r="Q112" s="54">
        <f t="shared" si="53"/>
        <v>1247.7768768889653</v>
      </c>
      <c r="R112" s="74">
        <v>163437.79</v>
      </c>
      <c r="S112" s="74">
        <v>163437.79</v>
      </c>
      <c r="T112" s="45">
        <v>426</v>
      </c>
      <c r="U112" s="45">
        <v>135925</v>
      </c>
      <c r="V112" s="45">
        <v>151538</v>
      </c>
    </row>
    <row r="113" spans="1:22">
      <c r="A113" s="63">
        <v>99</v>
      </c>
      <c r="B113" s="37" t="s">
        <v>149</v>
      </c>
      <c r="C113" s="37" t="s">
        <v>42</v>
      </c>
      <c r="D113" s="45">
        <f>1907785.15*1596.64</f>
        <v>3046046081.8959999</v>
      </c>
      <c r="E113" s="45">
        <f>28914.19*1596.64</f>
        <v>46165552.321599998</v>
      </c>
      <c r="F113" s="45">
        <v>0</v>
      </c>
      <c r="G113" s="45">
        <f>2116.6*1596.64</f>
        <v>3379448.2239999999</v>
      </c>
      <c r="H113" s="38">
        <f t="shared" si="48"/>
        <v>42786104.097599998</v>
      </c>
      <c r="I113" s="120">
        <f>2182338.16*1610.917</f>
        <v>3515565641.6927199</v>
      </c>
      <c r="J113" s="40">
        <f t="shared" si="41"/>
        <v>2.2263970809285748E-3</v>
      </c>
      <c r="K113" s="74">
        <f>1972911.8*1596.64</f>
        <v>3150029896.3520002</v>
      </c>
      <c r="L113" s="40">
        <f t="shared" si="42"/>
        <v>1.9601748072524293E-3</v>
      </c>
      <c r="M113" s="40">
        <f t="shared" si="49"/>
        <v>-0.10397636755965019</v>
      </c>
      <c r="N113" s="41">
        <f t="shared" si="50"/>
        <v>1.0728305238987368E-3</v>
      </c>
      <c r="O113" s="42">
        <f t="shared" si="51"/>
        <v>1.3582761277011976E-2</v>
      </c>
      <c r="P113" s="54">
        <f t="shared" si="52"/>
        <v>222610.0316564008</v>
      </c>
      <c r="Q113" s="54">
        <f t="shared" si="53"/>
        <v>3023.6589178569711</v>
      </c>
      <c r="R113" s="61">
        <f>135.62*1596.64</f>
        <v>216536.31680000003</v>
      </c>
      <c r="S113" s="61">
        <f>139.55*1596.64</f>
        <v>222811.11200000002</v>
      </c>
      <c r="T113" s="45">
        <v>47</v>
      </c>
      <c r="U113" s="45">
        <v>14243.44</v>
      </c>
      <c r="V113" s="61">
        <v>14150.44</v>
      </c>
    </row>
    <row r="114" spans="1:22" ht="8.1" customHeight="1">
      <c r="A114" s="152"/>
      <c r="B114" s="152"/>
      <c r="C114" s="152"/>
      <c r="D114" s="152"/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</row>
    <row r="115" spans="1:22">
      <c r="A115" s="151" t="s">
        <v>150</v>
      </c>
      <c r="B115" s="151"/>
      <c r="C115" s="151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  <c r="R115" s="151"/>
      <c r="S115" s="151"/>
      <c r="T115" s="151"/>
      <c r="U115" s="151"/>
      <c r="V115" s="151"/>
    </row>
    <row r="116" spans="1:22">
      <c r="A116" s="36">
        <v>100</v>
      </c>
      <c r="B116" s="37" t="s">
        <v>151</v>
      </c>
      <c r="C116" s="46" t="s">
        <v>105</v>
      </c>
      <c r="D116" s="83">
        <f>951594.09*1596.64</f>
        <v>1519353187.8576</v>
      </c>
      <c r="E116" s="44">
        <f>7993.63*1596.64</f>
        <v>12762949.403200001</v>
      </c>
      <c r="F116" s="44"/>
      <c r="G116" s="44">
        <f>1817.06*1596.64</f>
        <v>2901190.6784000001</v>
      </c>
      <c r="H116" s="38">
        <f t="shared" ref="H116:H127" si="54">(E116+F116)-G116</f>
        <v>9861758.7248</v>
      </c>
      <c r="I116" s="16">
        <v>1077072.02</v>
      </c>
      <c r="J116" s="40">
        <f t="shared" ref="J116:J127" si="55">(I116/$I$128)</f>
        <v>6.8210645047811653E-7</v>
      </c>
      <c r="K116" s="44">
        <f>1105699.61*1596.64</f>
        <v>1765404225.3104002</v>
      </c>
      <c r="L116" s="40">
        <f t="shared" ref="L116" si="56">(K116/$K$128)</f>
        <v>1.0985612838398738E-3</v>
      </c>
      <c r="M116" s="40">
        <f t="shared" ref="M116:M128" si="57">((K116-I116)/I116)</f>
        <v>1638.0772320966989</v>
      </c>
      <c r="N116" s="41">
        <f t="shared" ref="N116" si="58">(G116/K116)</f>
        <v>1.643357728958591E-3</v>
      </c>
      <c r="O116" s="42">
        <f t="shared" ref="O116" si="59">H116/K116</f>
        <v>5.5861193620209372E-3</v>
      </c>
      <c r="P116" s="43">
        <f t="shared" ref="P116" si="60">K116/V116</f>
        <v>163433.08880859101</v>
      </c>
      <c r="Q116" s="43">
        <f t="shared" ref="Q116" si="61">H116/V116</f>
        <v>912.95674178855768</v>
      </c>
      <c r="R116" s="45">
        <f>106.61*1596.64</f>
        <v>170217.7904</v>
      </c>
      <c r="S116" s="45">
        <f>106.61*1596.64</f>
        <v>170217.7904</v>
      </c>
      <c r="T116" s="45">
        <v>21</v>
      </c>
      <c r="U116" s="61">
        <v>10707</v>
      </c>
      <c r="V116" s="61">
        <v>10802</v>
      </c>
    </row>
    <row r="117" spans="1:22">
      <c r="A117" s="36">
        <v>101</v>
      </c>
      <c r="B117" s="37" t="s">
        <v>152</v>
      </c>
      <c r="C117" s="46" t="s">
        <v>28</v>
      </c>
      <c r="D117" s="44">
        <f>7905328.27*1596.64</f>
        <v>12621963329.0128</v>
      </c>
      <c r="E117" s="44">
        <f>53610.92*1596.64</f>
        <v>85597339.308799997</v>
      </c>
      <c r="F117" s="44"/>
      <c r="G117" s="44">
        <f>10614.91*1596.64</f>
        <v>16948189.902400002</v>
      </c>
      <c r="H117" s="38">
        <f t="shared" si="54"/>
        <v>68649149.406399995</v>
      </c>
      <c r="I117" s="16">
        <f>9134005.89*1610.917</f>
        <v>14714125366.30113</v>
      </c>
      <c r="J117" s="40">
        <f t="shared" si="55"/>
        <v>9.3184110617762408E-3</v>
      </c>
      <c r="K117" s="44">
        <f>9410468.54*1596.64</f>
        <v>15025130489.705599</v>
      </c>
      <c r="L117" s="40">
        <f t="shared" ref="L117:L127" si="62">(K117/$K$128)</f>
        <v>9.3497151553098047E-3</v>
      </c>
      <c r="M117" s="40">
        <f t="shared" ref="M117:M127" si="63">((K117-I117)/I117)</f>
        <v>2.1136500856295863E-2</v>
      </c>
      <c r="N117" s="41">
        <f t="shared" ref="N117:N127" si="64">(G117/K117)</f>
        <v>1.1279895315393087E-3</v>
      </c>
      <c r="O117" s="42">
        <f t="shared" ref="O117:O127" si="65">H117/K117</f>
        <v>4.5689552881710178E-3</v>
      </c>
      <c r="P117" s="43">
        <f t="shared" ref="P117:P127" si="66">K117/V117</f>
        <v>209745.1348583978</v>
      </c>
      <c r="Q117" s="43">
        <f t="shared" ref="Q117:Q127" si="67">H117/V117</f>
        <v>958.31614307941993</v>
      </c>
      <c r="R117" s="45">
        <f>131.36*1596.64</f>
        <v>209734.63040000002</v>
      </c>
      <c r="S117" s="45">
        <f>131.36*1596.64</f>
        <v>209734.63040000002</v>
      </c>
      <c r="T117" s="45">
        <v>464</v>
      </c>
      <c r="U117" s="45">
        <v>69520.86</v>
      </c>
      <c r="V117" s="45">
        <v>71635.179999999993</v>
      </c>
    </row>
    <row r="118" spans="1:22" ht="14.1" customHeight="1">
      <c r="A118" s="36">
        <v>102</v>
      </c>
      <c r="B118" s="37" t="s">
        <v>153</v>
      </c>
      <c r="C118" s="37" t="s">
        <v>63</v>
      </c>
      <c r="D118" s="44">
        <f>9318154.22*1596.64</f>
        <v>14877737753.820803</v>
      </c>
      <c r="E118" s="44">
        <f>76295.39*1596.64</f>
        <v>121816271.4896</v>
      </c>
      <c r="F118" s="44"/>
      <c r="G118" s="44">
        <f>17771.16*1596.64</f>
        <v>28374144.902400002</v>
      </c>
      <c r="H118" s="38">
        <f t="shared" si="54"/>
        <v>93442126.587200001</v>
      </c>
      <c r="I118" s="16">
        <f>10278035.98*1610.917</f>
        <v>16557062886.793659</v>
      </c>
      <c r="J118" s="40">
        <f t="shared" si="55"/>
        <v>1.0485537815803423E-2</v>
      </c>
      <c r="K118" s="44">
        <f>10195650.75*1596.64</f>
        <v>16278783813.480001</v>
      </c>
      <c r="L118" s="40">
        <f t="shared" si="62"/>
        <v>1.012982827904133E-2</v>
      </c>
      <c r="M118" s="40">
        <f t="shared" si="63"/>
        <v>-1.6807272836755385E-2</v>
      </c>
      <c r="N118" s="41">
        <f t="shared" si="64"/>
        <v>1.7430138041948915E-3</v>
      </c>
      <c r="O118" s="42">
        <f t="shared" si="65"/>
        <v>5.7401171769246801E-3</v>
      </c>
      <c r="P118" s="43">
        <f t="shared" si="66"/>
        <v>184673.49389647075</v>
      </c>
      <c r="Q118" s="43">
        <f t="shared" si="67"/>
        <v>1060.0474944378268</v>
      </c>
      <c r="R118" s="45">
        <f>113.96*1596.64</f>
        <v>181953.0944</v>
      </c>
      <c r="S118" s="45">
        <f>113.96*1596.64</f>
        <v>181953.0944</v>
      </c>
      <c r="T118" s="45">
        <v>619</v>
      </c>
      <c r="U118" s="61">
        <v>90579</v>
      </c>
      <c r="V118" s="61">
        <v>88149</v>
      </c>
    </row>
    <row r="119" spans="1:22" ht="15" customHeight="1">
      <c r="A119" s="36">
        <v>103</v>
      </c>
      <c r="B119" s="37" t="s">
        <v>154</v>
      </c>
      <c r="C119" s="46" t="s">
        <v>61</v>
      </c>
      <c r="D119" s="44">
        <f>4325785.1*1596.64</f>
        <v>6906721522.0640001</v>
      </c>
      <c r="E119" s="44">
        <f>26802.73*1596.64</f>
        <v>42794310.827200003</v>
      </c>
      <c r="F119" s="44">
        <v>0</v>
      </c>
      <c r="G119" s="44">
        <f>5940.93*1596.64</f>
        <v>9485526.4752000012</v>
      </c>
      <c r="H119" s="38">
        <f t="shared" si="54"/>
        <v>33308784.352000002</v>
      </c>
      <c r="I119" s="16">
        <f>4547396.29*1610.917</f>
        <v>7325477989.2979298</v>
      </c>
      <c r="J119" s="40">
        <f t="shared" si="55"/>
        <v>4.6392030398631845E-3</v>
      </c>
      <c r="K119" s="44">
        <f>4377472.04*1596.64</f>
        <v>6989246957.9456005</v>
      </c>
      <c r="L119" s="40">
        <f t="shared" si="62"/>
        <v>4.3492113597069556E-3</v>
      </c>
      <c r="M119" s="40">
        <f t="shared" si="63"/>
        <v>-4.5898852176409786E-2</v>
      </c>
      <c r="N119" s="41">
        <f t="shared" si="64"/>
        <v>1.3571600105525747E-3</v>
      </c>
      <c r="O119" s="42">
        <f t="shared" si="65"/>
        <v>4.7657186178166888E-3</v>
      </c>
      <c r="P119" s="43">
        <f t="shared" si="66"/>
        <v>1977.8777669071264</v>
      </c>
      <c r="Q119" s="43">
        <f t="shared" si="67"/>
        <v>9.426008897514988</v>
      </c>
      <c r="R119" s="45">
        <f>1.24*1596.64</f>
        <v>1979.8336000000002</v>
      </c>
      <c r="S119" s="45">
        <f>1.24*1596.64</f>
        <v>1979.8336000000002</v>
      </c>
      <c r="T119" s="45">
        <v>210</v>
      </c>
      <c r="U119" s="45">
        <v>3687879.96</v>
      </c>
      <c r="V119" s="45">
        <v>3533710.26</v>
      </c>
    </row>
    <row r="120" spans="1:22" ht="15" customHeight="1">
      <c r="A120" s="36">
        <v>104</v>
      </c>
      <c r="B120" s="47" t="s">
        <v>246</v>
      </c>
      <c r="C120" s="48" t="s">
        <v>247</v>
      </c>
      <c r="D120" s="44">
        <f>1035520.88*1596.64</f>
        <v>1653354057.8432002</v>
      </c>
      <c r="E120" s="44">
        <f>71422.54*1596.64</f>
        <v>114036084.2656</v>
      </c>
      <c r="F120" s="44">
        <v>0</v>
      </c>
      <c r="G120" s="44">
        <f>2318.24*1596.64</f>
        <v>3701394.7135999999</v>
      </c>
      <c r="H120" s="38">
        <f t="shared" si="54"/>
        <v>110334689.552</v>
      </c>
      <c r="I120" s="16">
        <f>926827.52*1610.917</f>
        <v>1493042208.03584</v>
      </c>
      <c r="J120" s="40"/>
      <c r="K120" s="44">
        <f>1014906.45*1596.64</f>
        <v>1620440234.3280001</v>
      </c>
      <c r="L120" s="40">
        <f t="shared" si="62"/>
        <v>1.0083542786900037E-3</v>
      </c>
      <c r="M120" s="40">
        <f t="shared" si="63"/>
        <v>8.5327812975734635E-2</v>
      </c>
      <c r="N120" s="41">
        <f t="shared" si="64"/>
        <v>2.284190823696115E-3</v>
      </c>
      <c r="O120" s="42">
        <f t="shared" si="65"/>
        <v>6.8089329809658802E-2</v>
      </c>
      <c r="P120" s="43">
        <f t="shared" si="66"/>
        <v>1720.8619782936983</v>
      </c>
      <c r="Q120" s="43">
        <f t="shared" si="67"/>
        <v>117.17233879694153</v>
      </c>
      <c r="R120" s="45">
        <f>1.0778*1596.64</f>
        <v>1720.8585920000003</v>
      </c>
      <c r="S120" s="45">
        <f>1.0997*1596.64</f>
        <v>1755.825008</v>
      </c>
      <c r="T120" s="45">
        <v>36</v>
      </c>
      <c r="U120" s="45">
        <v>880733.45</v>
      </c>
      <c r="V120" s="45">
        <v>941644.51</v>
      </c>
    </row>
    <row r="121" spans="1:22" ht="15" customHeight="1">
      <c r="A121" s="36">
        <v>105</v>
      </c>
      <c r="B121" s="47" t="s">
        <v>248</v>
      </c>
      <c r="C121" s="48" t="s">
        <v>40</v>
      </c>
      <c r="D121" s="44">
        <f>1431557.98*1596.64</f>
        <v>2285682733.1872001</v>
      </c>
      <c r="E121" s="44">
        <f>14577.16*1596.64</f>
        <v>23274476.742400002</v>
      </c>
      <c r="F121" s="44">
        <f>-6077.4*1596.64</f>
        <v>-9703419.9360000007</v>
      </c>
      <c r="G121" s="44">
        <f>3525.36*1596.64</f>
        <v>5628730.7904000003</v>
      </c>
      <c r="H121" s="38">
        <f t="shared" si="54"/>
        <v>7942326.0160000008</v>
      </c>
      <c r="I121" s="16">
        <f>1802941.21*1610.917</f>
        <v>2904388645.18957</v>
      </c>
      <c r="J121" s="40"/>
      <c r="K121" s="44">
        <f>1730131.08*1596.64</f>
        <v>2762396487.5712004</v>
      </c>
      <c r="L121" s="40">
        <f t="shared" si="62"/>
        <v>1.7189614640960823E-3</v>
      </c>
      <c r="M121" s="40">
        <f t="shared" si="63"/>
        <v>-4.8888828240513153E-2</v>
      </c>
      <c r="N121" s="41">
        <f t="shared" si="64"/>
        <v>2.0376259583753616E-3</v>
      </c>
      <c r="O121" s="42">
        <f t="shared" si="65"/>
        <v>2.8751578753212154E-3</v>
      </c>
      <c r="P121" s="43">
        <f t="shared" si="66"/>
        <v>16454.469937561807</v>
      </c>
      <c r="Q121" s="43">
        <f t="shared" si="67"/>
        <v>47.309198825217024</v>
      </c>
      <c r="R121" s="45">
        <f>10.36*1596.64</f>
        <v>16541.190399999999</v>
      </c>
      <c r="S121" s="45">
        <f>10.36*1596.64</f>
        <v>16541.190399999999</v>
      </c>
      <c r="T121" s="45">
        <v>65</v>
      </c>
      <c r="U121" s="45">
        <v>175636.87</v>
      </c>
      <c r="V121" s="45">
        <v>167881.22</v>
      </c>
    </row>
    <row r="122" spans="1:22">
      <c r="A122" s="36">
        <v>106</v>
      </c>
      <c r="B122" s="46" t="s">
        <v>155</v>
      </c>
      <c r="C122" s="46" t="s">
        <v>44</v>
      </c>
      <c r="D122" s="44">
        <f>12313363.21*1596.64</f>
        <v>19660008235.614403</v>
      </c>
      <c r="E122" s="44">
        <f>82187.22*1596.64</f>
        <v>131223402.94080001</v>
      </c>
      <c r="F122" s="44">
        <f>195732.86*1596.64</f>
        <v>312514913.59039998</v>
      </c>
      <c r="G122" s="44">
        <f>21018.95*1596.64</f>
        <v>33559696.328000002</v>
      </c>
      <c r="H122" s="38">
        <f t="shared" si="54"/>
        <v>410178620.20319998</v>
      </c>
      <c r="I122" s="16">
        <f>11755553.44*1610.917</f>
        <v>18937220880.90448</v>
      </c>
      <c r="J122" s="40">
        <f t="shared" si="55"/>
        <v>1.1992884669860635E-2</v>
      </c>
      <c r="K122" s="44">
        <f>12619334.72*1596.64</f>
        <v>20148534587.340801</v>
      </c>
      <c r="L122" s="40">
        <f t="shared" si="62"/>
        <v>1.2537865099914697E-2</v>
      </c>
      <c r="M122" s="40">
        <f t="shared" si="63"/>
        <v>6.396470284917892E-2</v>
      </c>
      <c r="N122" s="41">
        <f t="shared" si="64"/>
        <v>1.665614746448377E-3</v>
      </c>
      <c r="O122" s="42">
        <f t="shared" si="65"/>
        <v>2.0357739587717343E-2</v>
      </c>
      <c r="P122" s="43">
        <f t="shared" si="66"/>
        <v>1670.8529140584099</v>
      </c>
      <c r="Q122" s="43">
        <f t="shared" si="67"/>
        <v>34.014788513779777</v>
      </c>
      <c r="R122" s="45">
        <f>1.046*1596.64</f>
        <v>1670.0854400000001</v>
      </c>
      <c r="S122" s="45">
        <f>1.051*1596.64</f>
        <v>1678.06864</v>
      </c>
      <c r="T122" s="45">
        <v>468</v>
      </c>
      <c r="U122" s="61">
        <v>11393804</v>
      </c>
      <c r="V122" s="45">
        <v>12058832</v>
      </c>
    </row>
    <row r="123" spans="1:22">
      <c r="A123" s="36">
        <v>107</v>
      </c>
      <c r="B123" s="37" t="s">
        <v>156</v>
      </c>
      <c r="C123" s="46" t="s">
        <v>87</v>
      </c>
      <c r="D123" s="44">
        <f>334667.46*1596.64</f>
        <v>534343453.33440006</v>
      </c>
      <c r="E123" s="44">
        <f>1646.17*1596.64</f>
        <v>2628340.8688000003</v>
      </c>
      <c r="F123" s="44">
        <f>3911.82*1596.64</f>
        <v>6245768.2848000005</v>
      </c>
      <c r="G123" s="44">
        <f>113.17*1596.64</f>
        <v>180691.7488</v>
      </c>
      <c r="H123" s="38">
        <f t="shared" si="54"/>
        <v>8693417.4047999997</v>
      </c>
      <c r="I123" s="16">
        <f>299589.86*1483.482</f>
        <v>444436164.69251996</v>
      </c>
      <c r="J123" s="40">
        <f t="shared" si="55"/>
        <v>2.8146007800158287E-4</v>
      </c>
      <c r="K123" s="44">
        <f>329077.42*1596.64</f>
        <v>525418171.86879998</v>
      </c>
      <c r="L123" s="40">
        <f t="shared" si="62"/>
        <v>3.2695291716519035E-4</v>
      </c>
      <c r="M123" s="40">
        <f t="shared" si="63"/>
        <v>0.1822129106714501</v>
      </c>
      <c r="N123" s="41">
        <f t="shared" si="64"/>
        <v>3.4390083646577757E-4</v>
      </c>
      <c r="O123" s="42">
        <f t="shared" si="65"/>
        <v>1.654571134051069E-2</v>
      </c>
      <c r="P123" s="43">
        <f t="shared" si="66"/>
        <v>1729.5269208599275</v>
      </c>
      <c r="Q123" s="43">
        <f t="shared" si="67"/>
        <v>28.61625318819064</v>
      </c>
      <c r="R123" s="45">
        <f>1.08*1596.64</f>
        <v>1724.3712000000003</v>
      </c>
      <c r="S123" s="45">
        <f>1.08*1596.64</f>
        <v>1724.3712000000003</v>
      </c>
      <c r="T123" s="45">
        <v>3</v>
      </c>
      <c r="U123" s="45">
        <v>294132</v>
      </c>
      <c r="V123" s="45">
        <v>303793</v>
      </c>
    </row>
    <row r="124" spans="1:22">
      <c r="A124" s="36">
        <v>108</v>
      </c>
      <c r="B124" s="37" t="s">
        <v>157</v>
      </c>
      <c r="C124" s="37" t="s">
        <v>46</v>
      </c>
      <c r="D124" s="44">
        <f>564768434.61*1596.64</f>
        <v>901731873435.71045</v>
      </c>
      <c r="E124" s="82">
        <f>4553386.9*1596.64</f>
        <v>7270119660.0160007</v>
      </c>
      <c r="F124" s="82"/>
      <c r="G124" s="44">
        <f>977221.23*1596.64</f>
        <v>1560270504.6672001</v>
      </c>
      <c r="H124" s="38">
        <f t="shared" si="54"/>
        <v>5709849155.3488007</v>
      </c>
      <c r="I124" s="16">
        <f>572360416.79*1610.917</f>
        <v>922025125534.09631</v>
      </c>
      <c r="J124" s="40">
        <f t="shared" si="55"/>
        <v>0.58391572146652015</v>
      </c>
      <c r="K124" s="44">
        <f>583206351.66*1596.64</f>
        <v>931170589314.42236</v>
      </c>
      <c r="L124" s="40">
        <f t="shared" si="62"/>
        <v>0.57944120865085436</v>
      </c>
      <c r="M124" s="40">
        <f t="shared" si="63"/>
        <v>9.9188878123341907E-3</v>
      </c>
      <c r="N124" s="41">
        <f t="shared" si="64"/>
        <v>1.6756011439493109E-3</v>
      </c>
      <c r="O124" s="42">
        <f t="shared" si="65"/>
        <v>6.1319045305680215E-3</v>
      </c>
      <c r="P124" s="43">
        <f t="shared" si="66"/>
        <v>2454.8165160028661</v>
      </c>
      <c r="Q124" s="43">
        <f t="shared" si="67"/>
        <v>15.052700516191178</v>
      </c>
      <c r="R124" s="45">
        <f>1.5375*1596.64</f>
        <v>2454.8340000000003</v>
      </c>
      <c r="S124" s="45">
        <f>1.5375*1596.64</f>
        <v>2454.8340000000003</v>
      </c>
      <c r="T124" s="45">
        <v>8234</v>
      </c>
      <c r="U124" s="45">
        <v>374605011</v>
      </c>
      <c r="V124" s="45">
        <v>379323905.98000002</v>
      </c>
    </row>
    <row r="125" spans="1:22">
      <c r="A125" s="36">
        <v>109</v>
      </c>
      <c r="B125" s="37" t="s">
        <v>158</v>
      </c>
      <c r="C125" s="37" t="s">
        <v>50</v>
      </c>
      <c r="D125" s="44">
        <f>34628528*1596.64</f>
        <v>55289292945.920006</v>
      </c>
      <c r="E125" s="44">
        <f>463902*1596.64</f>
        <v>740684489.28000009</v>
      </c>
      <c r="F125" s="44"/>
      <c r="G125" s="85">
        <f>110399*1596.64</f>
        <v>176267459.36000001</v>
      </c>
      <c r="H125" s="38">
        <f t="shared" si="54"/>
        <v>564417029.92000008</v>
      </c>
      <c r="I125" s="16">
        <f>48321846*1610.917</f>
        <v>77842483192.781998</v>
      </c>
      <c r="J125" s="40">
        <f t="shared" si="55"/>
        <v>4.9297409013587569E-2</v>
      </c>
      <c r="K125" s="44">
        <f>59724361*1596.64</f>
        <v>95358303747.040009</v>
      </c>
      <c r="L125" s="40">
        <f t="shared" si="62"/>
        <v>5.9338784334631425E-2</v>
      </c>
      <c r="M125" s="40">
        <f t="shared" si="63"/>
        <v>0.22501621011856646</v>
      </c>
      <c r="N125" s="41">
        <f t="shared" si="64"/>
        <v>1.8484751975831101E-3</v>
      </c>
      <c r="O125" s="42">
        <f t="shared" si="65"/>
        <v>5.9189080315149795E-3</v>
      </c>
      <c r="P125" s="43">
        <f t="shared" si="66"/>
        <v>1747.8166420695377</v>
      </c>
      <c r="Q125" s="43">
        <f t="shared" si="67"/>
        <v>10.345165960360928</v>
      </c>
      <c r="R125" s="45">
        <f>1.09*1596.64</f>
        <v>1740.3376000000003</v>
      </c>
      <c r="S125" s="45">
        <f>1.09*1596.64</f>
        <v>1740.3376000000003</v>
      </c>
      <c r="T125" s="45">
        <v>220</v>
      </c>
      <c r="U125" s="45">
        <v>43033869.380000003</v>
      </c>
      <c r="V125" s="45">
        <v>54558528.310000002</v>
      </c>
    </row>
    <row r="126" spans="1:22">
      <c r="A126" s="36">
        <v>110</v>
      </c>
      <c r="B126" s="37" t="s">
        <v>245</v>
      </c>
      <c r="C126" s="46" t="s">
        <v>221</v>
      </c>
      <c r="D126" s="44">
        <f>57639.28*1596.64</f>
        <v>92029180.019199997</v>
      </c>
      <c r="E126" s="44">
        <f>344.22*1596.64</f>
        <v>549595.42080000008</v>
      </c>
      <c r="F126" s="44">
        <v>0</v>
      </c>
      <c r="G126" s="44">
        <f>173*1596.64</f>
        <v>276218.72000000003</v>
      </c>
      <c r="H126" s="38">
        <f t="shared" si="54"/>
        <v>273376.70080000005</v>
      </c>
      <c r="I126" s="16">
        <f>39251.63*1610.917</f>
        <v>63231118.044709995</v>
      </c>
      <c r="J126" s="40"/>
      <c r="K126" s="44">
        <f>63493.14*1596.64</f>
        <v>101375687.04960001</v>
      </c>
      <c r="L126" s="40">
        <f t="shared" si="62"/>
        <v>6.30832323377819E-5</v>
      </c>
      <c r="M126" s="40">
        <f t="shared" si="63"/>
        <v>0.6032562792566537</v>
      </c>
      <c r="N126" s="41">
        <f t="shared" si="64"/>
        <v>2.7247038026470263E-3</v>
      </c>
      <c r="O126" s="42">
        <f t="shared" si="65"/>
        <v>2.6966692779723921E-3</v>
      </c>
      <c r="P126" s="43">
        <f t="shared" si="66"/>
        <v>4159.6544381355361</v>
      </c>
      <c r="Q126" s="43">
        <f t="shared" si="67"/>
        <v>11.217212330301612</v>
      </c>
      <c r="R126" s="45">
        <f>100.97*1596.64</f>
        <v>161212.7408</v>
      </c>
      <c r="S126" s="45">
        <f>100.97*1596.64</f>
        <v>161212.7408</v>
      </c>
      <c r="T126" s="45">
        <v>5</v>
      </c>
      <c r="U126" s="45">
        <v>25000</v>
      </c>
      <c r="V126" s="45">
        <v>24371.18</v>
      </c>
    </row>
    <row r="127" spans="1:22">
      <c r="A127" s="36">
        <v>111</v>
      </c>
      <c r="B127" s="46" t="s">
        <v>159</v>
      </c>
      <c r="C127" s="46" t="s">
        <v>36</v>
      </c>
      <c r="D127" s="44">
        <f>42337463.78*1596.64</f>
        <v>67597688169.699203</v>
      </c>
      <c r="E127" s="44">
        <f>1105476.88*1596.64</f>
        <v>1765048605.6831999</v>
      </c>
      <c r="F127" s="44"/>
      <c r="G127" s="44">
        <f>60367.45*1596.64</f>
        <v>96385085.368000001</v>
      </c>
      <c r="H127" s="38">
        <f t="shared" si="54"/>
        <v>1668663520.3151999</v>
      </c>
      <c r="I127" s="16">
        <f>40968278*1610.917</f>
        <v>65996495490.925995</v>
      </c>
      <c r="J127" s="40">
        <f t="shared" si="55"/>
        <v>4.1795380854207462E-2</v>
      </c>
      <c r="K127" s="44">
        <f>40968278*1596.64</f>
        <v>65411591385.920006</v>
      </c>
      <c r="L127" s="40">
        <f t="shared" si="62"/>
        <v>4.0703789410207761E-2</v>
      </c>
      <c r="M127" s="40">
        <f t="shared" si="63"/>
        <v>-8.8626540038994773E-3</v>
      </c>
      <c r="N127" s="41">
        <f t="shared" si="64"/>
        <v>1.4735169000757121E-3</v>
      </c>
      <c r="O127" s="42">
        <f t="shared" si="65"/>
        <v>2.5510211339612562E-2</v>
      </c>
      <c r="P127" s="43">
        <f t="shared" si="66"/>
        <v>159663.99220548192</v>
      </c>
      <c r="Q127" s="43">
        <f t="shared" si="67"/>
        <v>4073.0621844880966</v>
      </c>
      <c r="R127" s="45">
        <f>100*1596.64</f>
        <v>159664</v>
      </c>
      <c r="S127" s="45">
        <f>100*1596.64</f>
        <v>159664</v>
      </c>
      <c r="T127" s="45">
        <v>1554</v>
      </c>
      <c r="U127" s="45">
        <v>382834.2</v>
      </c>
      <c r="V127" s="45">
        <v>409682.8</v>
      </c>
    </row>
    <row r="128" spans="1:22" ht="15" customHeight="1">
      <c r="A128" s="150" t="s">
        <v>51</v>
      </c>
      <c r="B128" s="150"/>
      <c r="C128" s="150"/>
      <c r="D128" s="150"/>
      <c r="E128" s="150"/>
      <c r="F128" s="150"/>
      <c r="G128" s="150"/>
      <c r="H128" s="150"/>
      <c r="I128" s="52">
        <f>SUM(I99:I127)</f>
        <v>1579038021477.4919</v>
      </c>
      <c r="J128" s="109">
        <f>(I128/$I$195)</f>
        <v>0.49014034904150589</v>
      </c>
      <c r="K128" s="52">
        <f>SUM(K99:K127)</f>
        <v>1607014784955.5251</v>
      </c>
      <c r="L128" s="109">
        <f>(K128/$K$195)</f>
        <v>0.4827023688347935</v>
      </c>
      <c r="M128" s="50">
        <f t="shared" si="57"/>
        <v>1.7717599638199712E-2</v>
      </c>
      <c r="N128" s="41"/>
      <c r="O128" s="41"/>
      <c r="P128" s="51"/>
      <c r="Q128" s="51"/>
      <c r="R128" s="53"/>
      <c r="S128" s="53"/>
      <c r="T128" s="64">
        <f>SUM(T99:T127)</f>
        <v>17213</v>
      </c>
      <c r="U128" s="64"/>
      <c r="V128" s="53"/>
    </row>
    <row r="129" spans="1:22" ht="6.9" customHeight="1">
      <c r="A129" s="153"/>
      <c r="B129" s="153"/>
      <c r="C129" s="153"/>
      <c r="D129" s="153"/>
      <c r="E129" s="153"/>
      <c r="F129" s="153"/>
      <c r="G129" s="153"/>
      <c r="H129" s="153"/>
      <c r="I129" s="153"/>
      <c r="J129" s="153"/>
      <c r="K129" s="153"/>
      <c r="L129" s="153"/>
      <c r="M129" s="153"/>
      <c r="N129" s="153"/>
      <c r="O129" s="153"/>
      <c r="P129" s="153"/>
      <c r="Q129" s="153"/>
      <c r="R129" s="153"/>
      <c r="S129" s="153"/>
      <c r="T129" s="153"/>
      <c r="U129" s="153"/>
      <c r="V129" s="153"/>
    </row>
    <row r="130" spans="1:22">
      <c r="A130" s="148" t="s">
        <v>160</v>
      </c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</row>
    <row r="131" spans="1:22">
      <c r="A131" s="65">
        <v>112</v>
      </c>
      <c r="B131" s="66" t="s">
        <v>238</v>
      </c>
      <c r="C131" s="66" t="s">
        <v>239</v>
      </c>
      <c r="D131" s="67">
        <v>2377099702.9000001</v>
      </c>
      <c r="E131" s="67" t="s">
        <v>240</v>
      </c>
      <c r="F131" s="67" t="s">
        <v>241</v>
      </c>
      <c r="G131" s="67" t="s">
        <v>242</v>
      </c>
      <c r="H131" s="38">
        <f t="shared" ref="H131:H135" si="68">(E131+F131)-G131</f>
        <v>28549745</v>
      </c>
      <c r="I131" s="67">
        <v>2364317255.1999998</v>
      </c>
      <c r="J131" s="40">
        <f>(I131/$I$136)</f>
        <v>2.3944956158482689E-2</v>
      </c>
      <c r="K131" s="68">
        <v>2396161960.54</v>
      </c>
      <c r="L131" s="40">
        <f>(K131/$K$136)</f>
        <v>2.4570510015875319E-2</v>
      </c>
      <c r="M131" s="40">
        <f>((K131-I131)/I131)</f>
        <v>1.3468879977914123E-2</v>
      </c>
      <c r="N131" s="41">
        <f>(G131/K131)</f>
        <v>1.6469486891907122E-3</v>
      </c>
      <c r="O131" s="42">
        <f>H131/K131</f>
        <v>1.1914780999847781E-2</v>
      </c>
      <c r="P131" s="43">
        <f>K131/V131</f>
        <v>112.91997929029218</v>
      </c>
      <c r="Q131" s="43">
        <f>H131/V131</f>
        <v>1.3454168237511781</v>
      </c>
      <c r="R131" s="67">
        <v>112.92</v>
      </c>
      <c r="S131" s="67">
        <v>112.92</v>
      </c>
      <c r="T131" s="69">
        <v>7</v>
      </c>
      <c r="U131" s="67">
        <v>21220000</v>
      </c>
      <c r="V131" s="67">
        <v>21220000</v>
      </c>
    </row>
    <row r="132" spans="1:22">
      <c r="A132" s="36">
        <v>113</v>
      </c>
      <c r="B132" s="37" t="s">
        <v>161</v>
      </c>
      <c r="C132" s="37" t="s">
        <v>44</v>
      </c>
      <c r="D132" s="45">
        <v>35688048011</v>
      </c>
      <c r="E132" s="45">
        <v>307671295</v>
      </c>
      <c r="F132" s="45"/>
      <c r="G132" s="45">
        <v>93036025</v>
      </c>
      <c r="H132" s="38">
        <f t="shared" si="68"/>
        <v>214635270</v>
      </c>
      <c r="I132" s="45">
        <v>54107897914</v>
      </c>
      <c r="J132" s="40">
        <f t="shared" ref="J132:J135" si="69">(I132/$I$136)</f>
        <v>0.54798536047937862</v>
      </c>
      <c r="K132" s="45">
        <v>54322533183</v>
      </c>
      <c r="L132" s="40">
        <f t="shared" ref="L132:L135" si="70">(K132/$K$136)</f>
        <v>0.55702926915667472</v>
      </c>
      <c r="M132" s="40">
        <f t="shared" ref="M132:M135" si="71">((K132-I132)/I132)</f>
        <v>3.9668011006663926E-3</v>
      </c>
      <c r="N132" s="41">
        <f t="shared" ref="N132:N135" si="72">(G132/K132)</f>
        <v>1.7126599138258746E-3</v>
      </c>
      <c r="O132" s="42">
        <f t="shared" ref="O132:O135" si="73">H132/K132</f>
        <v>3.9511277811169745E-3</v>
      </c>
      <c r="P132" s="43">
        <f t="shared" ref="P132:P135" si="74">K132/V132</f>
        <v>102.3701835925133</v>
      </c>
      <c r="Q132" s="43">
        <f t="shared" ref="Q132:Q135" si="75">H132/V132</f>
        <v>0.40447767635042436</v>
      </c>
      <c r="R132" s="45">
        <v>102.37</v>
      </c>
      <c r="S132" s="45">
        <v>102.37</v>
      </c>
      <c r="T132" s="45">
        <v>634</v>
      </c>
      <c r="U132" s="45">
        <v>530648000</v>
      </c>
      <c r="V132" s="45">
        <v>530648000</v>
      </c>
    </row>
    <row r="133" spans="1:22">
      <c r="A133" s="36">
        <v>114</v>
      </c>
      <c r="B133" s="37" t="s">
        <v>162</v>
      </c>
      <c r="C133" s="37" t="s">
        <v>126</v>
      </c>
      <c r="D133" s="45">
        <v>2764240379.1999998</v>
      </c>
      <c r="E133" s="45">
        <v>28354488.629999999</v>
      </c>
      <c r="F133" s="45">
        <v>0</v>
      </c>
      <c r="G133" s="45">
        <v>6185548</v>
      </c>
      <c r="H133" s="38">
        <f t="shared" si="68"/>
        <v>22168940.629999999</v>
      </c>
      <c r="I133" s="45">
        <v>2462664363.3099999</v>
      </c>
      <c r="J133" s="40">
        <f t="shared" si="69"/>
        <v>2.4940980353978529E-2</v>
      </c>
      <c r="K133" s="45">
        <v>2401381024.9099998</v>
      </c>
      <c r="L133" s="40">
        <f t="shared" si="70"/>
        <v>2.4624026879713556E-2</v>
      </c>
      <c r="M133" s="40">
        <f t="shared" si="71"/>
        <v>-2.4884973897795325E-2</v>
      </c>
      <c r="N133" s="41">
        <f t="shared" si="72"/>
        <v>2.5758294647272085E-3</v>
      </c>
      <c r="O133" s="42">
        <f t="shared" si="73"/>
        <v>9.231746399274916E-3</v>
      </c>
      <c r="P133" s="43">
        <f t="shared" si="74"/>
        <v>120.06905124549999</v>
      </c>
      <c r="Q133" s="43">
        <f t="shared" si="75"/>
        <v>1.1084470314999999</v>
      </c>
      <c r="R133" s="69">
        <v>134.9</v>
      </c>
      <c r="S133" s="69">
        <v>134.9</v>
      </c>
      <c r="T133" s="45">
        <v>2835</v>
      </c>
      <c r="U133" s="45">
        <v>20000000</v>
      </c>
      <c r="V133" s="45">
        <v>20000000</v>
      </c>
    </row>
    <row r="134" spans="1:22">
      <c r="A134" s="36">
        <v>115</v>
      </c>
      <c r="B134" s="37" t="s">
        <v>163</v>
      </c>
      <c r="C134" s="37" t="s">
        <v>126</v>
      </c>
      <c r="D134" s="45">
        <v>11517012488.9</v>
      </c>
      <c r="E134" s="45">
        <v>67763855.409999996</v>
      </c>
      <c r="F134" s="45">
        <v>0</v>
      </c>
      <c r="G134" s="69" t="s">
        <v>264</v>
      </c>
      <c r="H134" s="38">
        <f t="shared" si="68"/>
        <v>49983715.329999998</v>
      </c>
      <c r="I134" s="45">
        <v>10070925635</v>
      </c>
      <c r="J134" s="40">
        <f t="shared" si="69"/>
        <v>0.10199471846472462</v>
      </c>
      <c r="K134" s="61">
        <v>10120909350</v>
      </c>
      <c r="L134" s="40">
        <f t="shared" si="70"/>
        <v>0.10378092493292877</v>
      </c>
      <c r="M134" s="40">
        <f t="shared" si="71"/>
        <v>4.9631699023066017E-3</v>
      </c>
      <c r="N134" s="41">
        <f t="shared" si="72"/>
        <v>1.7567729800879995E-3</v>
      </c>
      <c r="O134" s="42">
        <f t="shared" si="73"/>
        <v>4.9386585336820546E-3</v>
      </c>
      <c r="P134" s="43">
        <f t="shared" si="74"/>
        <v>53.798262871967609</v>
      </c>
      <c r="Q134" s="43">
        <f t="shared" si="75"/>
        <v>0.26569125002991328</v>
      </c>
      <c r="R134" s="69">
        <v>36.6</v>
      </c>
      <c r="S134" s="69">
        <v>36.6</v>
      </c>
      <c r="T134" s="45">
        <v>5261</v>
      </c>
      <c r="U134" s="45">
        <v>188127066</v>
      </c>
      <c r="V134" s="45">
        <v>188127066</v>
      </c>
    </row>
    <row r="135" spans="1:22" ht="15.9" customHeight="1">
      <c r="A135" s="36">
        <v>116</v>
      </c>
      <c r="B135" s="37" t="s">
        <v>164</v>
      </c>
      <c r="C135" s="46" t="s">
        <v>165</v>
      </c>
      <c r="D135" s="61">
        <v>28346063118.080002</v>
      </c>
      <c r="E135" s="61">
        <v>208310184.47999999</v>
      </c>
      <c r="F135" s="61"/>
      <c r="G135" s="61">
        <v>31330802.129999999</v>
      </c>
      <c r="H135" s="38">
        <f t="shared" si="68"/>
        <v>176979382.34999999</v>
      </c>
      <c r="I135" s="45">
        <v>29733872598.09</v>
      </c>
      <c r="J135" s="40">
        <f t="shared" si="69"/>
        <v>0.3011339845434356</v>
      </c>
      <c r="K135" s="61">
        <v>28280879473.029999</v>
      </c>
      <c r="L135" s="40">
        <f t="shared" si="70"/>
        <v>0.28999526901480771</v>
      </c>
      <c r="M135" s="40">
        <f t="shared" si="71"/>
        <v>-4.8866595505401358E-2</v>
      </c>
      <c r="N135" s="41">
        <f t="shared" si="72"/>
        <v>1.1078439820048224E-3</v>
      </c>
      <c r="O135" s="42">
        <f t="shared" si="73"/>
        <v>6.2579165021645101E-3</v>
      </c>
      <c r="P135" s="43">
        <f t="shared" si="74"/>
        <v>10.59895916549284</v>
      </c>
      <c r="Q135" s="43">
        <f t="shared" si="75"/>
        <v>6.6327401467505431E-2</v>
      </c>
      <c r="R135" s="69">
        <v>10.6</v>
      </c>
      <c r="S135" s="69">
        <v>10.6</v>
      </c>
      <c r="T135" s="45">
        <v>208255</v>
      </c>
      <c r="U135" s="61">
        <v>2668269500</v>
      </c>
      <c r="V135" s="61">
        <v>2668269500</v>
      </c>
    </row>
    <row r="136" spans="1:22" ht="15" customHeight="1">
      <c r="A136" s="150" t="s">
        <v>51</v>
      </c>
      <c r="B136" s="150"/>
      <c r="C136" s="150"/>
      <c r="D136" s="150"/>
      <c r="E136" s="150"/>
      <c r="F136" s="150"/>
      <c r="G136" s="150"/>
      <c r="H136" s="150"/>
      <c r="I136" s="52">
        <f>SUM(I131:I135)</f>
        <v>98739677765.599991</v>
      </c>
      <c r="J136" s="109">
        <f>(I136/$I$195)</f>
        <v>3.0649230395980588E-2</v>
      </c>
      <c r="K136" s="52">
        <f>SUM(K131:K135)</f>
        <v>97521864991.479996</v>
      </c>
      <c r="L136" s="109">
        <f>(K136/$K$195)</f>
        <v>2.9292845146958065E-2</v>
      </c>
      <c r="M136" s="50">
        <f>((K136-I136)/I136)</f>
        <v>-1.2333570472155926E-2</v>
      </c>
      <c r="N136" s="41"/>
      <c r="O136" s="41"/>
      <c r="P136" s="59"/>
      <c r="Q136" s="59"/>
      <c r="R136" s="53"/>
      <c r="S136" s="53"/>
      <c r="T136" s="53">
        <f>SUM(T131:T135)</f>
        <v>216992</v>
      </c>
      <c r="U136" s="53"/>
      <c r="V136" s="53"/>
    </row>
    <row r="137" spans="1:22" ht="8.1" customHeight="1">
      <c r="A137" s="153"/>
      <c r="B137" s="153"/>
      <c r="C137" s="153"/>
      <c r="D137" s="153"/>
      <c r="E137" s="153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</row>
    <row r="138" spans="1:22">
      <c r="A138" s="148" t="s">
        <v>166</v>
      </c>
      <c r="B138" s="148"/>
      <c r="C138" s="148"/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  <c r="O138" s="148"/>
      <c r="P138" s="148"/>
      <c r="Q138" s="148"/>
      <c r="R138" s="148"/>
      <c r="S138" s="148"/>
      <c r="T138" s="148"/>
      <c r="U138" s="148"/>
      <c r="V138" s="148"/>
    </row>
    <row r="139" spans="1:22">
      <c r="A139" s="36">
        <v>117</v>
      </c>
      <c r="B139" s="37" t="s">
        <v>167</v>
      </c>
      <c r="C139" s="37" t="s">
        <v>55</v>
      </c>
      <c r="D139" s="74">
        <v>245533362.66999999</v>
      </c>
      <c r="E139" s="74">
        <v>2536404.31</v>
      </c>
      <c r="F139" s="74">
        <v>2470635.2999999998</v>
      </c>
      <c r="G139" s="45">
        <v>638471.59</v>
      </c>
      <c r="H139" s="38">
        <f t="shared" ref="H139:H164" si="76">(E139+F139)-G139</f>
        <v>4368568.0199999996</v>
      </c>
      <c r="I139" s="16">
        <v>239801080.80000001</v>
      </c>
      <c r="J139" s="40">
        <f>(I139/$I$166)</f>
        <v>4.927706863289502E-3</v>
      </c>
      <c r="K139" s="44">
        <v>242592023.03999999</v>
      </c>
      <c r="L139" s="40">
        <f>(K139/$K$166)</f>
        <v>4.838814534410576E-3</v>
      </c>
      <c r="M139" s="40">
        <f t="shared" ref="M139:M166" si="77">((K139-I139)/I139)</f>
        <v>1.1638572397960517E-2</v>
      </c>
      <c r="N139" s="41">
        <f t="shared" ref="N139" si="78">(G139/K139)</f>
        <v>2.6318738019457675E-3</v>
      </c>
      <c r="O139" s="42">
        <f t="shared" ref="O139" si="79">H139/K139</f>
        <v>1.8007879918127748E-2</v>
      </c>
      <c r="P139" s="43">
        <f t="shared" ref="P139" si="80">K139/V139</f>
        <v>5.4733873917000624</v>
      </c>
      <c r="Q139" s="43">
        <f t="shared" ref="Q139" si="81">H139/V139</f>
        <v>9.8564102895129166E-2</v>
      </c>
      <c r="R139" s="45">
        <v>5.4324000000000003</v>
      </c>
      <c r="S139" s="45">
        <v>5.5090000000000003</v>
      </c>
      <c r="T139" s="45">
        <v>11835</v>
      </c>
      <c r="U139" s="45">
        <v>44349588.310000002</v>
      </c>
      <c r="V139" s="45">
        <v>44322099.950000003</v>
      </c>
    </row>
    <row r="140" spans="1:22">
      <c r="A140" s="36">
        <v>118</v>
      </c>
      <c r="B140" s="47" t="s">
        <v>231</v>
      </c>
      <c r="C140" s="47" t="s">
        <v>232</v>
      </c>
      <c r="D140" s="74">
        <v>624420136.60000002</v>
      </c>
      <c r="E140" s="74">
        <v>3524638.46</v>
      </c>
      <c r="F140" s="74">
        <v>7247311.4000000004</v>
      </c>
      <c r="G140" s="45">
        <v>1289142.24</v>
      </c>
      <c r="H140" s="38">
        <f t="shared" si="76"/>
        <v>9482807.6199999992</v>
      </c>
      <c r="I140" s="16">
        <v>594677432.45000005</v>
      </c>
      <c r="J140" s="40"/>
      <c r="K140" s="44">
        <v>605644759.00999999</v>
      </c>
      <c r="L140" s="40"/>
      <c r="M140" s="40">
        <f t="shared" ref="M140:M165" si="82">((K140-I140)/I140)</f>
        <v>1.8442479841240766E-2</v>
      </c>
      <c r="N140" s="41">
        <f t="shared" ref="N140:N165" si="83">(G140/K140)</f>
        <v>2.1285451922464578E-3</v>
      </c>
      <c r="O140" s="42">
        <f t="shared" ref="O140:O165" si="84">H140/K140</f>
        <v>1.5657375844382444E-2</v>
      </c>
      <c r="P140" s="43">
        <f t="shared" ref="P140:P165" si="85">K140/V140</f>
        <v>1161.7189695876932</v>
      </c>
      <c r="Q140" s="43">
        <f t="shared" ref="Q140:Q165" si="86">H140/V140</f>
        <v>18.189470532383208</v>
      </c>
      <c r="R140" s="45">
        <v>1174.0913</v>
      </c>
      <c r="S140" s="45">
        <v>1184.9673</v>
      </c>
      <c r="T140" s="45">
        <v>169</v>
      </c>
      <c r="U140" s="45">
        <v>520979</v>
      </c>
      <c r="V140" s="45">
        <v>521335</v>
      </c>
    </row>
    <row r="141" spans="1:22">
      <c r="A141" s="36">
        <v>119</v>
      </c>
      <c r="B141" s="37" t="s">
        <v>168</v>
      </c>
      <c r="C141" s="46" t="s">
        <v>58</v>
      </c>
      <c r="D141" s="74">
        <v>6010753799.71</v>
      </c>
      <c r="E141" s="74">
        <v>90937061.930000007</v>
      </c>
      <c r="F141" s="74">
        <v>-72966254.719999999</v>
      </c>
      <c r="G141" s="45">
        <v>22509557.920000002</v>
      </c>
      <c r="H141" s="38">
        <f t="shared" si="76"/>
        <v>-4538750.7099999934</v>
      </c>
      <c r="I141" s="16">
        <v>6412494754</v>
      </c>
      <c r="J141" s="40">
        <f t="shared" ref="J141:J147" si="87">(I141/$I$166)</f>
        <v>0.13177127602876812</v>
      </c>
      <c r="K141" s="44">
        <v>6379761167</v>
      </c>
      <c r="L141" s="40">
        <f t="shared" ref="L141:L147" si="88">(K141/$K$166)</f>
        <v>0.12725266343921654</v>
      </c>
      <c r="M141" s="40">
        <f t="shared" si="82"/>
        <v>-5.1046571195370368E-3</v>
      </c>
      <c r="N141" s="41">
        <f t="shared" si="83"/>
        <v>3.5282759543465527E-3</v>
      </c>
      <c r="O141" s="42">
        <f t="shared" si="84"/>
        <v>-7.1142956471116332E-4</v>
      </c>
      <c r="P141" s="43">
        <f t="shared" si="85"/>
        <v>744616.86825763877</v>
      </c>
      <c r="Q141" s="43">
        <f t="shared" si="86"/>
        <v>-529.74245446112161</v>
      </c>
      <c r="R141" s="45">
        <v>740.89369999999997</v>
      </c>
      <c r="S141" s="45">
        <v>763.23220000000003</v>
      </c>
      <c r="T141" s="45">
        <v>21319</v>
      </c>
      <c r="U141" s="45">
        <v>8357714</v>
      </c>
      <c r="V141" s="45">
        <v>8567.8439999999991</v>
      </c>
    </row>
    <row r="142" spans="1:22">
      <c r="A142" s="36">
        <v>120</v>
      </c>
      <c r="B142" s="37" t="s">
        <v>169</v>
      </c>
      <c r="C142" s="37" t="s">
        <v>109</v>
      </c>
      <c r="D142" s="45">
        <v>1251258038.79</v>
      </c>
      <c r="E142" s="61">
        <v>10112127.73</v>
      </c>
      <c r="F142" s="61"/>
      <c r="G142" s="61">
        <v>2511670.3199999998</v>
      </c>
      <c r="H142" s="38">
        <f t="shared" si="76"/>
        <v>7600457.4100000001</v>
      </c>
      <c r="I142" s="16">
        <v>1560831558.0999999</v>
      </c>
      <c r="J142" s="40">
        <f t="shared" si="87"/>
        <v>3.2073751943190641E-2</v>
      </c>
      <c r="K142" s="44">
        <v>1183279978.28</v>
      </c>
      <c r="L142" s="40">
        <f t="shared" si="88"/>
        <v>2.3602063602207617E-2</v>
      </c>
      <c r="M142" s="40">
        <f t="shared" si="82"/>
        <v>-0.24189130329962924</v>
      </c>
      <c r="N142" s="41">
        <f t="shared" si="83"/>
        <v>2.1226340055638653E-3</v>
      </c>
      <c r="O142" s="42">
        <f t="shared" si="84"/>
        <v>6.4232113696776347E-3</v>
      </c>
      <c r="P142" s="43">
        <f t="shared" si="85"/>
        <v>2.7931623970803847</v>
      </c>
      <c r="Q142" s="43">
        <f t="shared" si="86"/>
        <v>1.7941072466282765E-2</v>
      </c>
      <c r="R142" s="45">
        <v>2.7349000000000001</v>
      </c>
      <c r="S142" s="45">
        <v>2.7984</v>
      </c>
      <c r="T142" s="45">
        <v>2762</v>
      </c>
      <c r="U142" s="45">
        <v>424615432.19349998</v>
      </c>
      <c r="V142" s="45">
        <v>423634508.15350002</v>
      </c>
    </row>
    <row r="143" spans="1:22">
      <c r="A143" s="36">
        <v>121</v>
      </c>
      <c r="B143" s="37" t="s">
        <v>170</v>
      </c>
      <c r="C143" s="37" t="s">
        <v>61</v>
      </c>
      <c r="D143" s="74">
        <v>3010205807.1399999</v>
      </c>
      <c r="E143" s="74">
        <v>47053741.520000003</v>
      </c>
      <c r="F143" s="74">
        <v>715988503.24000001</v>
      </c>
      <c r="G143" s="45">
        <v>7860474.4000000004</v>
      </c>
      <c r="H143" s="38">
        <f t="shared" si="76"/>
        <v>755181770.36000001</v>
      </c>
      <c r="I143" s="16">
        <v>2726033219.9699998</v>
      </c>
      <c r="J143" s="40">
        <f t="shared" si="87"/>
        <v>5.6017648305784234E-2</v>
      </c>
      <c r="K143" s="44">
        <v>3097771074.3499999</v>
      </c>
      <c r="L143" s="40">
        <f t="shared" si="88"/>
        <v>6.1789087336849007E-2</v>
      </c>
      <c r="M143" s="40">
        <f t="shared" si="82"/>
        <v>0.13636585631340586</v>
      </c>
      <c r="N143" s="41">
        <f t="shared" si="83"/>
        <v>2.5374613589383295E-3</v>
      </c>
      <c r="O143" s="42">
        <f t="shared" si="84"/>
        <v>0.24378230419058922</v>
      </c>
      <c r="P143" s="43">
        <f t="shared" si="85"/>
        <v>7037.4334031949029</v>
      </c>
      <c r="Q143" s="43">
        <f t="shared" si="86"/>
        <v>1715.6017306186734</v>
      </c>
      <c r="R143" s="45">
        <v>7037.43</v>
      </c>
      <c r="S143" s="45">
        <v>7084.9</v>
      </c>
      <c r="T143" s="45">
        <v>874</v>
      </c>
      <c r="U143" s="45">
        <v>425584.67</v>
      </c>
      <c r="V143" s="45">
        <v>440184.78</v>
      </c>
    </row>
    <row r="144" spans="1:22" ht="14.1" customHeight="1">
      <c r="A144" s="36">
        <v>122</v>
      </c>
      <c r="B144" s="37" t="s">
        <v>171</v>
      </c>
      <c r="C144" s="46" t="s">
        <v>63</v>
      </c>
      <c r="D144" s="74">
        <v>611110850.01999998</v>
      </c>
      <c r="E144" s="74">
        <v>6475925.5999999996</v>
      </c>
      <c r="F144" s="74">
        <v>22987685.199999999</v>
      </c>
      <c r="G144" s="45">
        <v>1347119.12</v>
      </c>
      <c r="H144" s="38">
        <f t="shared" si="76"/>
        <v>28116491.679999996</v>
      </c>
      <c r="I144" s="16">
        <v>678772526.40999997</v>
      </c>
      <c r="J144" s="40">
        <f t="shared" si="87"/>
        <v>1.3948194169285461E-2</v>
      </c>
      <c r="K144" s="44">
        <v>708710315.90999997</v>
      </c>
      <c r="L144" s="40">
        <f t="shared" si="88"/>
        <v>1.4136152270540953E-2</v>
      </c>
      <c r="M144" s="40">
        <f t="shared" si="82"/>
        <v>4.410577672956173E-2</v>
      </c>
      <c r="N144" s="41">
        <f t="shared" si="83"/>
        <v>1.9008036002273636E-3</v>
      </c>
      <c r="O144" s="42">
        <f t="shared" si="84"/>
        <v>3.9672756341775257E-2</v>
      </c>
      <c r="P144" s="43">
        <f t="shared" si="85"/>
        <v>179.95267415379419</v>
      </c>
      <c r="Q144" s="43">
        <f t="shared" si="86"/>
        <v>7.1392185947543547</v>
      </c>
      <c r="R144" s="45">
        <v>178.01</v>
      </c>
      <c r="S144" s="45">
        <v>179.2</v>
      </c>
      <c r="T144" s="45">
        <f>656+12+6</f>
        <v>674</v>
      </c>
      <c r="U144" s="45">
        <v>3934304</v>
      </c>
      <c r="V144" s="45">
        <v>3938315</v>
      </c>
    </row>
    <row r="145" spans="1:22" ht="15" customHeight="1">
      <c r="A145" s="36">
        <v>123</v>
      </c>
      <c r="B145" s="37" t="s">
        <v>172</v>
      </c>
      <c r="C145" s="46" t="s">
        <v>65</v>
      </c>
      <c r="D145" s="74">
        <v>248331135.28999999</v>
      </c>
      <c r="E145" s="74">
        <v>1956454.75</v>
      </c>
      <c r="F145" s="74"/>
      <c r="G145" s="45">
        <v>691169.45</v>
      </c>
      <c r="H145" s="38">
        <f t="shared" si="76"/>
        <v>1265285.3</v>
      </c>
      <c r="I145" s="113">
        <v>331444396.5</v>
      </c>
      <c r="J145" s="40">
        <f t="shared" si="87"/>
        <v>6.8108985246570957E-3</v>
      </c>
      <c r="K145" s="44">
        <v>331444396.5</v>
      </c>
      <c r="L145" s="40">
        <f t="shared" si="88"/>
        <v>6.6110910945686718E-3</v>
      </c>
      <c r="M145" s="40">
        <f t="shared" si="82"/>
        <v>0</v>
      </c>
      <c r="N145" s="41">
        <f t="shared" si="83"/>
        <v>2.0853254944076267E-3</v>
      </c>
      <c r="O145" s="42">
        <f t="shared" si="84"/>
        <v>3.8174888861034042E-3</v>
      </c>
      <c r="P145" s="43">
        <f t="shared" si="85"/>
        <v>137.41595449214111</v>
      </c>
      <c r="Q145" s="43">
        <f t="shared" si="86"/>
        <v>0.52458387904703985</v>
      </c>
      <c r="R145" s="45">
        <v>141.68</v>
      </c>
      <c r="S145" s="45">
        <v>142.58000000000001</v>
      </c>
      <c r="T145" s="45">
        <f>549+27+3</f>
        <v>579</v>
      </c>
      <c r="U145" s="45">
        <v>2411979</v>
      </c>
      <c r="V145" s="45">
        <v>2411979</v>
      </c>
    </row>
    <row r="146" spans="1:22">
      <c r="A146" s="36">
        <v>124</v>
      </c>
      <c r="B146" s="37" t="s">
        <v>173</v>
      </c>
      <c r="C146" s="46" t="s">
        <v>67</v>
      </c>
      <c r="D146" s="69">
        <v>184356082.72999999</v>
      </c>
      <c r="E146" s="69">
        <v>1624894.05</v>
      </c>
      <c r="F146" s="69">
        <v>2757302.11</v>
      </c>
      <c r="G146" s="61">
        <v>462437.95</v>
      </c>
      <c r="H146" s="38">
        <f t="shared" si="76"/>
        <v>3919758.21</v>
      </c>
      <c r="I146" s="114">
        <v>187592007.63999999</v>
      </c>
      <c r="J146" s="40">
        <f t="shared" si="87"/>
        <v>3.854855117675035E-3</v>
      </c>
      <c r="K146" s="49">
        <v>195080186.44999999</v>
      </c>
      <c r="L146" s="40">
        <f t="shared" si="88"/>
        <v>3.8911289404356879E-3</v>
      </c>
      <c r="M146" s="40">
        <f t="shared" si="82"/>
        <v>3.9917365905962551E-2</v>
      </c>
      <c r="N146" s="41">
        <f t="shared" si="83"/>
        <v>2.3705018865077059E-3</v>
      </c>
      <c r="O146" s="42">
        <f t="shared" si="84"/>
        <v>2.0093061634450782E-2</v>
      </c>
      <c r="P146" s="43">
        <f t="shared" si="85"/>
        <v>1.4843561670065952</v>
      </c>
      <c r="Q146" s="43">
        <f t="shared" si="86"/>
        <v>2.9825259951140635E-2</v>
      </c>
      <c r="R146" s="45">
        <v>1.4708000000000001</v>
      </c>
      <c r="S146" s="61">
        <v>1.4826999999999999</v>
      </c>
      <c r="T146" s="45">
        <v>324</v>
      </c>
      <c r="U146" s="69">
        <v>129625105.54000001</v>
      </c>
      <c r="V146" s="69">
        <v>131424108.84</v>
      </c>
    </row>
    <row r="147" spans="1:22">
      <c r="A147" s="36">
        <v>125</v>
      </c>
      <c r="B147" s="47" t="s">
        <v>233</v>
      </c>
      <c r="C147" s="48" t="s">
        <v>48</v>
      </c>
      <c r="D147" s="61">
        <f>33302418.47+23988687.62</f>
        <v>57291106.090000004</v>
      </c>
      <c r="E147" s="74">
        <v>3041230.62</v>
      </c>
      <c r="F147" s="74">
        <v>0</v>
      </c>
      <c r="G147" s="45">
        <v>3372548.47</v>
      </c>
      <c r="H147" s="38">
        <f>(E147+F147)-G147</f>
        <v>-331317.85000000009</v>
      </c>
      <c r="I147" s="16">
        <v>127907144.84999999</v>
      </c>
      <c r="J147" s="40">
        <f t="shared" si="87"/>
        <v>2.6283822968537237E-3</v>
      </c>
      <c r="K147" s="44">
        <v>132415811.75</v>
      </c>
      <c r="L147" s="40">
        <f t="shared" si="88"/>
        <v>2.6412061965286737E-3</v>
      </c>
      <c r="M147" s="40">
        <f t="shared" si="82"/>
        <v>3.5249531254000203E-2</v>
      </c>
      <c r="N147" s="41">
        <f t="shared" si="83"/>
        <v>2.5469378810797496E-2</v>
      </c>
      <c r="O147" s="42">
        <f t="shared" si="84"/>
        <v>-2.5021018685104281E-3</v>
      </c>
      <c r="P147" s="43">
        <f t="shared" si="85"/>
        <v>150.58698170417202</v>
      </c>
      <c r="Q147" s="43">
        <f t="shared" si="86"/>
        <v>-0.37678396829535443</v>
      </c>
      <c r="R147" s="45">
        <v>150.3897</v>
      </c>
      <c r="S147" s="45">
        <v>151.06479999999999</v>
      </c>
      <c r="T147" s="45">
        <v>121</v>
      </c>
      <c r="U147" s="45">
        <v>877069.71</v>
      </c>
      <c r="V147" s="45">
        <v>879331.07</v>
      </c>
    </row>
    <row r="148" spans="1:22">
      <c r="A148" s="36">
        <v>126</v>
      </c>
      <c r="B148" s="47" t="s">
        <v>174</v>
      </c>
      <c r="C148" s="48" t="s">
        <v>175</v>
      </c>
      <c r="D148" s="74">
        <v>147807804.33000001</v>
      </c>
      <c r="E148" s="74">
        <v>2745752.92</v>
      </c>
      <c r="F148" s="74"/>
      <c r="G148" s="45">
        <v>611850.98</v>
      </c>
      <c r="H148" s="38">
        <f t="shared" si="76"/>
        <v>2133901.94</v>
      </c>
      <c r="I148" s="16">
        <v>213126906.65000001</v>
      </c>
      <c r="J148" s="40">
        <f t="shared" ref="J148" si="89">(I148/$I$166)</f>
        <v>4.3795754262124491E-3</v>
      </c>
      <c r="K148" s="44">
        <v>214414734.86000001</v>
      </c>
      <c r="L148" s="40">
        <f t="shared" ref="L148" si="90">(K148/$K$166)</f>
        <v>4.2767817442261359E-3</v>
      </c>
      <c r="M148" s="40">
        <f t="shared" si="82"/>
        <v>6.0425416492104296E-3</v>
      </c>
      <c r="N148" s="41">
        <f t="shared" si="83"/>
        <v>2.8535864403139181E-3</v>
      </c>
      <c r="O148" s="42">
        <f t="shared" si="84"/>
        <v>9.9522168632361491E-3</v>
      </c>
      <c r="P148" s="43">
        <f t="shared" si="85"/>
        <v>115.44786269755762</v>
      </c>
      <c r="Q148" s="43">
        <f t="shared" si="86"/>
        <v>1.1489621659632046</v>
      </c>
      <c r="R148" s="45">
        <v>114.78</v>
      </c>
      <c r="S148" s="45">
        <v>115.45</v>
      </c>
      <c r="T148" s="45">
        <v>66</v>
      </c>
      <c r="U148" s="69">
        <v>1849076</v>
      </c>
      <c r="V148" s="45">
        <v>1857243</v>
      </c>
    </row>
    <row r="149" spans="1:22">
      <c r="A149" s="36">
        <v>127</v>
      </c>
      <c r="B149" s="37" t="s">
        <v>176</v>
      </c>
      <c r="C149" s="46" t="s">
        <v>72</v>
      </c>
      <c r="D149" s="69">
        <v>308214769.66000003</v>
      </c>
      <c r="E149" s="74">
        <v>4069421.13</v>
      </c>
      <c r="F149" s="74">
        <v>6745147.54</v>
      </c>
      <c r="G149" s="45">
        <v>730029.92</v>
      </c>
      <c r="H149" s="38">
        <v>3405756.33</v>
      </c>
      <c r="I149" s="112">
        <v>320021245.14999998</v>
      </c>
      <c r="J149" s="40">
        <f t="shared" ref="J149:J154" si="91">(I149/$I$166)</f>
        <v>6.5761625463203795E-3</v>
      </c>
      <c r="K149" s="82">
        <v>317031341.83999997</v>
      </c>
      <c r="L149" s="40">
        <f>(K149/$K$166)</f>
        <v>6.3236039072320843E-3</v>
      </c>
      <c r="M149" s="40">
        <f t="shared" si="82"/>
        <v>-9.3428275632093695E-3</v>
      </c>
      <c r="N149" s="41">
        <f t="shared" si="83"/>
        <v>2.3027058326884069E-3</v>
      </c>
      <c r="O149" s="42">
        <f t="shared" si="84"/>
        <v>1.0742648692818593E-2</v>
      </c>
      <c r="P149" s="43">
        <f t="shared" si="85"/>
        <v>1.2346560567817706</v>
      </c>
      <c r="Q149" s="43">
        <f t="shared" si="86"/>
        <v>1.3263476274467247E-2</v>
      </c>
      <c r="R149" s="45">
        <v>1.2235</v>
      </c>
      <c r="S149" s="45">
        <v>1.2365999999999999</v>
      </c>
      <c r="T149" s="45">
        <v>174</v>
      </c>
      <c r="U149" s="45">
        <v>257961810.31999999</v>
      </c>
      <c r="V149" s="45">
        <v>256777051.47</v>
      </c>
    </row>
    <row r="150" spans="1:22">
      <c r="A150" s="36">
        <v>128</v>
      </c>
      <c r="B150" s="46" t="s">
        <v>177</v>
      </c>
      <c r="C150" s="46" t="s">
        <v>76</v>
      </c>
      <c r="D150" s="61">
        <v>8915116838.8799992</v>
      </c>
      <c r="E150" s="74">
        <v>78866433.319999993</v>
      </c>
      <c r="F150" s="74">
        <v>463023575.14999998</v>
      </c>
      <c r="G150" s="61">
        <v>14569951.24</v>
      </c>
      <c r="H150" s="38">
        <f t="shared" si="76"/>
        <v>527320057.23000002</v>
      </c>
      <c r="I150" s="16">
        <v>8519665261.8199997</v>
      </c>
      <c r="J150" s="40">
        <f t="shared" si="91"/>
        <v>0.1750718255461656</v>
      </c>
      <c r="K150" s="44">
        <v>8838166657.1800003</v>
      </c>
      <c r="L150" s="40">
        <f>(K150/$K$166)</f>
        <v>0.1762887696899002</v>
      </c>
      <c r="M150" s="40">
        <f t="shared" si="82"/>
        <v>3.7384261654895258E-2</v>
      </c>
      <c r="N150" s="41">
        <f t="shared" si="83"/>
        <v>1.6485264201443384E-3</v>
      </c>
      <c r="O150" s="42">
        <f t="shared" si="84"/>
        <v>5.9663963996607006E-2</v>
      </c>
      <c r="P150" s="43">
        <f t="shared" si="85"/>
        <v>326.09364692708283</v>
      </c>
      <c r="Q150" s="43">
        <f t="shared" si="86"/>
        <v>19.456039609779747</v>
      </c>
      <c r="R150" s="45">
        <v>326.08999999999997</v>
      </c>
      <c r="S150" s="45">
        <v>328.18</v>
      </c>
      <c r="T150" s="45">
        <v>5467</v>
      </c>
      <c r="U150" s="45">
        <v>27136337</v>
      </c>
      <c r="V150" s="45">
        <v>27103155</v>
      </c>
    </row>
    <row r="151" spans="1:22" ht="15.6" customHeight="1">
      <c r="A151" s="36">
        <v>129</v>
      </c>
      <c r="B151" s="60" t="s">
        <v>178</v>
      </c>
      <c r="C151" s="37" t="s">
        <v>78</v>
      </c>
      <c r="D151" s="74">
        <v>2938785415.6199999</v>
      </c>
      <c r="E151" s="74">
        <v>24287651.93</v>
      </c>
      <c r="F151" s="74">
        <v>64844513.149999999</v>
      </c>
      <c r="G151" s="45">
        <v>9045989.8599999994</v>
      </c>
      <c r="H151" s="38">
        <f t="shared" si="76"/>
        <v>80086175.219999999</v>
      </c>
      <c r="I151" s="16">
        <v>2882371822.0900002</v>
      </c>
      <c r="J151" s="40">
        <f t="shared" si="91"/>
        <v>5.9230272703029288E-2</v>
      </c>
      <c r="K151" s="44">
        <v>2894198874.9400001</v>
      </c>
      <c r="L151" s="40">
        <f>(K151/$K$166)</f>
        <v>5.7728574114018862E-2</v>
      </c>
      <c r="M151" s="40">
        <f t="shared" si="82"/>
        <v>4.1032363553374388E-3</v>
      </c>
      <c r="N151" s="41">
        <f t="shared" si="83"/>
        <v>3.1255591792003351E-3</v>
      </c>
      <c r="O151" s="42">
        <f t="shared" si="84"/>
        <v>2.7671275776326974E-2</v>
      </c>
      <c r="P151" s="43">
        <f t="shared" si="85"/>
        <v>2.0454113843718593</v>
      </c>
      <c r="Q151" s="43">
        <f t="shared" si="86"/>
        <v>5.6599142492992451E-2</v>
      </c>
      <c r="R151" s="45">
        <v>2.0270999999999999</v>
      </c>
      <c r="S151" s="45">
        <v>6.08E-2</v>
      </c>
      <c r="T151" s="45">
        <v>10298</v>
      </c>
      <c r="U151" s="45">
        <v>1415021529.47</v>
      </c>
      <c r="V151" s="45">
        <v>1414971529.47</v>
      </c>
    </row>
    <row r="152" spans="1:22">
      <c r="A152" s="36">
        <v>130</v>
      </c>
      <c r="B152" s="37" t="s">
        <v>179</v>
      </c>
      <c r="C152" s="46" t="s">
        <v>80</v>
      </c>
      <c r="D152" s="45">
        <v>165983469.31</v>
      </c>
      <c r="E152" s="74">
        <v>4472675.3600000003</v>
      </c>
      <c r="F152" s="74"/>
      <c r="G152" s="45">
        <v>482483.02</v>
      </c>
      <c r="H152" s="38">
        <v>3990192.34</v>
      </c>
      <c r="I152" s="16">
        <v>190624981.59999999</v>
      </c>
      <c r="J152" s="40">
        <f t="shared" si="91"/>
        <v>3.9171801353480593E-3</v>
      </c>
      <c r="K152" s="44">
        <v>199257584.65000001</v>
      </c>
      <c r="L152" s="40">
        <f>(K152/$K$166)</f>
        <v>3.9744525999397253E-3</v>
      </c>
      <c r="M152" s="40">
        <f t="shared" si="82"/>
        <v>4.5285790862995744E-2</v>
      </c>
      <c r="N152" s="41">
        <f t="shared" si="83"/>
        <v>2.4214035357674902E-3</v>
      </c>
      <c r="O152" s="42">
        <f t="shared" si="84"/>
        <v>2.0025297139924954E-2</v>
      </c>
      <c r="P152" s="43">
        <f t="shared" si="85"/>
        <v>259.26259527163626</v>
      </c>
      <c r="Q152" s="43">
        <f t="shared" si="86"/>
        <v>5.1918105075826189</v>
      </c>
      <c r="R152" s="45">
        <v>259.26</v>
      </c>
      <c r="S152" s="45">
        <v>259.89</v>
      </c>
      <c r="T152" s="45">
        <v>39</v>
      </c>
      <c r="U152" s="38">
        <v>768555</v>
      </c>
      <c r="V152" s="38">
        <v>768555.08</v>
      </c>
    </row>
    <row r="153" spans="1:22">
      <c r="A153" s="36">
        <v>131</v>
      </c>
      <c r="B153" s="46" t="s">
        <v>180</v>
      </c>
      <c r="C153" s="46" t="s">
        <v>36</v>
      </c>
      <c r="D153" s="61">
        <v>2853627418.8099999</v>
      </c>
      <c r="E153" s="61">
        <v>21837128.52</v>
      </c>
      <c r="F153" s="61">
        <v>73078561.480000004</v>
      </c>
      <c r="G153" s="61">
        <v>6271091.6200000001</v>
      </c>
      <c r="H153" s="38">
        <f t="shared" si="76"/>
        <v>88644598.379999995</v>
      </c>
      <c r="I153" s="112">
        <v>2673000165.46</v>
      </c>
      <c r="J153" s="40">
        <f t="shared" si="91"/>
        <v>5.4927864449021355E-2</v>
      </c>
      <c r="K153" s="82">
        <v>2763737110.1199999</v>
      </c>
      <c r="L153" s="40">
        <f>(K153/$K$166)</f>
        <v>5.5126343933961444E-2</v>
      </c>
      <c r="M153" s="40">
        <f t="shared" si="82"/>
        <v>3.3945731030055812E-2</v>
      </c>
      <c r="N153" s="41">
        <f t="shared" si="83"/>
        <v>2.2690622769572003E-3</v>
      </c>
      <c r="O153" s="42">
        <f t="shared" si="84"/>
        <v>3.2074178855655014E-2</v>
      </c>
      <c r="P153" s="43">
        <f t="shared" si="85"/>
        <v>3.9010596355802454</v>
      </c>
      <c r="Q153" s="43">
        <f t="shared" si="86"/>
        <v>0.12512328447817717</v>
      </c>
      <c r="R153" s="45">
        <v>3.9</v>
      </c>
      <c r="S153" s="45">
        <v>4.03</v>
      </c>
      <c r="T153" s="45">
        <v>2335</v>
      </c>
      <c r="U153" s="61">
        <v>708740036.22000003</v>
      </c>
      <c r="V153" s="61">
        <v>708458051.99000001</v>
      </c>
    </row>
    <row r="154" spans="1:22">
      <c r="A154" s="36">
        <v>132</v>
      </c>
      <c r="B154" s="47" t="s">
        <v>236</v>
      </c>
      <c r="C154" s="47" t="s">
        <v>235</v>
      </c>
      <c r="D154" s="61">
        <v>47784868.259999998</v>
      </c>
      <c r="E154" s="61">
        <v>978868.26</v>
      </c>
      <c r="F154" s="61">
        <v>3810612.17</v>
      </c>
      <c r="G154" s="61">
        <v>455399.33</v>
      </c>
      <c r="H154" s="38">
        <f t="shared" si="76"/>
        <v>4334081.0999999996</v>
      </c>
      <c r="I154" s="112">
        <v>45850009.700000003</v>
      </c>
      <c r="J154" s="40">
        <f t="shared" si="91"/>
        <v>9.421784369229593E-4</v>
      </c>
      <c r="K154" s="82">
        <v>57977800.100000001</v>
      </c>
      <c r="L154" s="40"/>
      <c r="M154" s="40">
        <f t="shared" si="82"/>
        <v>0.26451009453112501</v>
      </c>
      <c r="N154" s="41">
        <f t="shared" si="83"/>
        <v>7.8547190340876698E-3</v>
      </c>
      <c r="O154" s="42">
        <f t="shared" si="84"/>
        <v>7.4754148872923504E-2</v>
      </c>
      <c r="P154" s="43">
        <f t="shared" si="85"/>
        <v>1.1462367311836461</v>
      </c>
      <c r="Q154" s="43">
        <f t="shared" si="86"/>
        <v>8.5685951246515485E-2</v>
      </c>
      <c r="R154" s="45">
        <v>1.133</v>
      </c>
      <c r="S154" s="45">
        <v>1.1459999999999999</v>
      </c>
      <c r="T154" s="45">
        <v>20</v>
      </c>
      <c r="U154" s="61">
        <v>50461000</v>
      </c>
      <c r="V154" s="61">
        <v>50581000</v>
      </c>
    </row>
    <row r="155" spans="1:22">
      <c r="A155" s="36">
        <v>133</v>
      </c>
      <c r="B155" s="46" t="s">
        <v>181</v>
      </c>
      <c r="C155" s="46" t="s">
        <v>119</v>
      </c>
      <c r="D155" s="74">
        <v>221222226.65000001</v>
      </c>
      <c r="E155" s="69">
        <v>7334629.9000000004</v>
      </c>
      <c r="F155" s="74">
        <v>9500756.25</v>
      </c>
      <c r="G155" s="103">
        <v>429150.54</v>
      </c>
      <c r="H155" s="38">
        <f t="shared" si="76"/>
        <v>16406235.609999999</v>
      </c>
      <c r="I155" s="16">
        <v>213010575.33000001</v>
      </c>
      <c r="J155" s="40">
        <f t="shared" ref="J155:J165" si="92">(I155/$I$166)</f>
        <v>4.3771849172036196E-3</v>
      </c>
      <c r="K155" s="44">
        <v>217030876.25</v>
      </c>
      <c r="L155" s="40">
        <f>(K155/$K$166)</f>
        <v>4.328964098878077E-3</v>
      </c>
      <c r="M155" s="40">
        <f t="shared" si="82"/>
        <v>1.8873715137249222E-2</v>
      </c>
      <c r="N155" s="41">
        <f t="shared" si="83"/>
        <v>1.9773709041549336E-3</v>
      </c>
      <c r="O155" s="42">
        <f t="shared" si="84"/>
        <v>7.5594016360609889E-2</v>
      </c>
      <c r="P155" s="43">
        <f t="shared" si="85"/>
        <v>185.86853976259522</v>
      </c>
      <c r="Q155" s="43">
        <f t="shared" si="86"/>
        <v>14.050549435736292</v>
      </c>
      <c r="R155" s="45">
        <v>185.86850000000001</v>
      </c>
      <c r="S155" s="45">
        <v>189.4581</v>
      </c>
      <c r="T155" s="45">
        <v>139</v>
      </c>
      <c r="U155" s="104">
        <v>1167654.1399999999</v>
      </c>
      <c r="V155" s="104">
        <v>1167657.94</v>
      </c>
    </row>
    <row r="156" spans="1:22">
      <c r="A156" s="36">
        <v>134</v>
      </c>
      <c r="B156" s="37" t="s">
        <v>182</v>
      </c>
      <c r="C156" s="46" t="s">
        <v>32</v>
      </c>
      <c r="D156" s="74">
        <v>2125460156.7</v>
      </c>
      <c r="E156" s="69">
        <v>23696836.18</v>
      </c>
      <c r="F156" s="69">
        <v>329170326.86000001</v>
      </c>
      <c r="G156" s="45">
        <v>5055145.7</v>
      </c>
      <c r="H156" s="38">
        <f t="shared" si="76"/>
        <v>347812017.34000003</v>
      </c>
      <c r="I156" s="112">
        <v>1738414482.4000001</v>
      </c>
      <c r="J156" s="40">
        <f t="shared" si="92"/>
        <v>3.5722928969235686E-2</v>
      </c>
      <c r="K156" s="82">
        <v>2034049544.29</v>
      </c>
      <c r="L156" s="40">
        <f>(K156/$K$166)</f>
        <v>4.0571773033933563E-2</v>
      </c>
      <c r="M156" s="40">
        <f t="shared" si="82"/>
        <v>0.17006016970236892</v>
      </c>
      <c r="N156" s="41">
        <f t="shared" si="83"/>
        <v>2.4852618335629265E-3</v>
      </c>
      <c r="O156" s="42">
        <f t="shared" si="84"/>
        <v>0.17099486013818133</v>
      </c>
      <c r="P156" s="43">
        <f t="shared" si="85"/>
        <v>2726.7907289898785</v>
      </c>
      <c r="Q156" s="43">
        <f t="shared" si="86"/>
        <v>466.26719932971383</v>
      </c>
      <c r="R156" s="45">
        <v>552.20000000000005</v>
      </c>
      <c r="S156" s="45">
        <v>552.20000000000005</v>
      </c>
      <c r="T156" s="45">
        <v>823</v>
      </c>
      <c r="U156" s="69">
        <v>745950</v>
      </c>
      <c r="V156" s="45">
        <v>745950</v>
      </c>
    </row>
    <row r="157" spans="1:22">
      <c r="A157" s="36">
        <v>135</v>
      </c>
      <c r="B157" s="37" t="s">
        <v>183</v>
      </c>
      <c r="C157" s="46" t="s">
        <v>87</v>
      </c>
      <c r="D157" s="61">
        <v>27702364.870000001</v>
      </c>
      <c r="E157" s="74">
        <v>133373.37</v>
      </c>
      <c r="F157" s="74">
        <v>851218.75</v>
      </c>
      <c r="G157" s="45">
        <v>25274.89</v>
      </c>
      <c r="H157" s="38">
        <f t="shared" si="76"/>
        <v>959317.23</v>
      </c>
      <c r="I157" s="16">
        <v>26027076.350000001</v>
      </c>
      <c r="J157" s="40">
        <f t="shared" si="92"/>
        <v>5.3483413141169997E-4</v>
      </c>
      <c r="K157" s="44">
        <v>27122358.859999999</v>
      </c>
      <c r="L157" s="40">
        <f>(K157/$K$166)</f>
        <v>5.4099084798690117E-4</v>
      </c>
      <c r="M157" s="40">
        <f t="shared" si="82"/>
        <v>4.208242582728651E-2</v>
      </c>
      <c r="N157" s="41">
        <f t="shared" si="83"/>
        <v>9.3188391653040755E-4</v>
      </c>
      <c r="O157" s="42">
        <f t="shared" si="84"/>
        <v>3.5369977771911247E-2</v>
      </c>
      <c r="P157" s="43">
        <f t="shared" si="85"/>
        <v>1.6978648412663018</v>
      </c>
      <c r="Q157" s="43">
        <f t="shared" si="86"/>
        <v>6.0053441695298707E-2</v>
      </c>
      <c r="R157" s="45">
        <v>1.7</v>
      </c>
      <c r="S157" s="45">
        <v>1.7</v>
      </c>
      <c r="T157" s="45">
        <v>8</v>
      </c>
      <c r="U157" s="61">
        <v>15915017.4</v>
      </c>
      <c r="V157" s="61">
        <v>15974392.189999999</v>
      </c>
    </row>
    <row r="158" spans="1:22">
      <c r="A158" s="36">
        <v>136</v>
      </c>
      <c r="B158" s="46" t="s">
        <v>184</v>
      </c>
      <c r="C158" s="46" t="s">
        <v>42</v>
      </c>
      <c r="D158" s="74">
        <v>286371496.31</v>
      </c>
      <c r="E158" s="74">
        <v>80113511.680000007</v>
      </c>
      <c r="F158" s="74">
        <v>108329442.93000001</v>
      </c>
      <c r="G158" s="45">
        <v>298512.82</v>
      </c>
      <c r="H158" s="38">
        <f t="shared" si="76"/>
        <v>188144441.79000002</v>
      </c>
      <c r="I158" s="16">
        <v>267276789.28</v>
      </c>
      <c r="J158" s="40">
        <f t="shared" si="92"/>
        <v>5.4923091444758739E-3</v>
      </c>
      <c r="K158" s="44">
        <v>289589440.14999998</v>
      </c>
      <c r="L158" s="40">
        <f>(K158/$K$166)</f>
        <v>5.7762393604285662E-3</v>
      </c>
      <c r="M158" s="40">
        <f t="shared" si="82"/>
        <v>8.3481438586966758E-2</v>
      </c>
      <c r="N158" s="41">
        <f t="shared" si="83"/>
        <v>1.0308138993099262E-3</v>
      </c>
      <c r="O158" s="42">
        <f t="shared" si="84"/>
        <v>0.64969372395811797</v>
      </c>
      <c r="P158" s="43">
        <f t="shared" si="85"/>
        <v>2.9731729675880736</v>
      </c>
      <c r="Q158" s="43">
        <f t="shared" si="86"/>
        <v>1.9316518172839043</v>
      </c>
      <c r="R158" s="45">
        <v>2.75</v>
      </c>
      <c r="S158" s="45">
        <v>2.8</v>
      </c>
      <c r="T158" s="45">
        <v>118</v>
      </c>
      <c r="U158" s="45">
        <v>98181617.900000006</v>
      </c>
      <c r="V158" s="45">
        <v>97400804.900000006</v>
      </c>
    </row>
    <row r="159" spans="1:22">
      <c r="A159" s="36">
        <v>137</v>
      </c>
      <c r="B159" s="37" t="s">
        <v>185</v>
      </c>
      <c r="C159" s="37" t="s">
        <v>46</v>
      </c>
      <c r="D159" s="61">
        <v>2557305950.9000001</v>
      </c>
      <c r="E159" s="61">
        <v>-26641541.640000001</v>
      </c>
      <c r="F159" s="61">
        <v>33984168.649999999</v>
      </c>
      <c r="G159" s="61">
        <v>4462414.13</v>
      </c>
      <c r="H159" s="38">
        <v>2880212.89</v>
      </c>
      <c r="I159" s="112">
        <v>2647382019.5300002</v>
      </c>
      <c r="J159" s="40">
        <f t="shared" si="92"/>
        <v>5.4401433487564183E-2</v>
      </c>
      <c r="K159" s="82">
        <v>2589983735.1399999</v>
      </c>
      <c r="L159" s="40">
        <f>(K159/$K$166)</f>
        <v>5.1660606084380604E-2</v>
      </c>
      <c r="M159" s="40">
        <f t="shared" si="82"/>
        <v>-2.168114913773966E-2</v>
      </c>
      <c r="N159" s="41">
        <f t="shared" si="83"/>
        <v>1.722950638436649E-3</v>
      </c>
      <c r="O159" s="42">
        <f t="shared" si="84"/>
        <v>1.1120582924604011E-3</v>
      </c>
      <c r="P159" s="43">
        <f t="shared" si="85"/>
        <v>5641.5401168842964</v>
      </c>
      <c r="Q159" s="43">
        <f t="shared" si="86"/>
        <v>6.2737214692292032</v>
      </c>
      <c r="R159" s="61">
        <v>5603.63</v>
      </c>
      <c r="S159" s="61">
        <v>5667.52</v>
      </c>
      <c r="T159" s="61">
        <v>2246</v>
      </c>
      <c r="U159" s="61">
        <v>481548.71</v>
      </c>
      <c r="V159" s="61">
        <v>459091.61</v>
      </c>
    </row>
    <row r="160" spans="1:22">
      <c r="A160" s="36">
        <v>138</v>
      </c>
      <c r="B160" s="47" t="s">
        <v>234</v>
      </c>
      <c r="C160" s="47" t="s">
        <v>235</v>
      </c>
      <c r="D160" s="61">
        <v>679239006.35000002</v>
      </c>
      <c r="E160" s="61">
        <v>9728080.6799999997</v>
      </c>
      <c r="F160" s="61">
        <v>0</v>
      </c>
      <c r="G160" s="61">
        <v>758958.6</v>
      </c>
      <c r="H160" s="38">
        <f t="shared" si="76"/>
        <v>8969122.0800000001</v>
      </c>
      <c r="I160" s="112">
        <v>662203886.72000003</v>
      </c>
      <c r="J160" s="40">
        <f t="shared" si="92"/>
        <v>1.3607722811761105E-2</v>
      </c>
      <c r="K160" s="82">
        <v>671050679.82000005</v>
      </c>
      <c r="L160" s="84"/>
      <c r="M160" s="40">
        <f t="shared" si="82"/>
        <v>1.3359621224543971E-2</v>
      </c>
      <c r="N160" s="41">
        <f t="shared" si="83"/>
        <v>1.1310004189304748E-3</v>
      </c>
      <c r="O160" s="42">
        <f t="shared" si="84"/>
        <v>1.336578942503395E-2</v>
      </c>
      <c r="P160" s="43">
        <f t="shared" si="85"/>
        <v>1.2850612951019793</v>
      </c>
      <c r="Q160" s="43">
        <f t="shared" si="86"/>
        <v>1.7175858668594467E-2</v>
      </c>
      <c r="R160" s="61">
        <v>1.2849999999999999</v>
      </c>
      <c r="S160" s="61">
        <v>1.2849999999999999</v>
      </c>
      <c r="T160" s="61">
        <v>40</v>
      </c>
      <c r="U160" s="61">
        <v>521993519</v>
      </c>
      <c r="V160" s="61">
        <v>522193519</v>
      </c>
    </row>
    <row r="161" spans="1:22">
      <c r="A161" s="36">
        <v>139</v>
      </c>
      <c r="B161" s="37" t="s">
        <v>186</v>
      </c>
      <c r="C161" s="37" t="s">
        <v>50</v>
      </c>
      <c r="D161" s="94">
        <v>1192219006.3499999</v>
      </c>
      <c r="E161" s="94">
        <v>15232290</v>
      </c>
      <c r="F161" s="94">
        <v>33047586.050000101</v>
      </c>
      <c r="G161" s="94">
        <v>3192115</v>
      </c>
      <c r="H161" s="38">
        <f t="shared" si="76"/>
        <v>45087761.050000101</v>
      </c>
      <c r="I161" s="16">
        <v>1719881380.1099999</v>
      </c>
      <c r="J161" s="40">
        <f t="shared" si="92"/>
        <v>3.5342089587495587E-2</v>
      </c>
      <c r="K161" s="88">
        <v>1769471709.0425601</v>
      </c>
      <c r="L161" s="40">
        <f>(K161/$K$166)</f>
        <v>3.5294422778821895E-2</v>
      </c>
      <c r="M161" s="40">
        <f t="shared" si="82"/>
        <v>2.8833575097713143E-2</v>
      </c>
      <c r="N161" s="41">
        <f t="shared" si="83"/>
        <v>1.8039932391613173E-3</v>
      </c>
      <c r="O161" s="42">
        <f t="shared" si="84"/>
        <v>2.5480916603293165E-2</v>
      </c>
      <c r="P161" s="43">
        <f t="shared" si="85"/>
        <v>1.6656361777003443</v>
      </c>
      <c r="Q161" s="43">
        <f t="shared" si="86"/>
        <v>4.2441936535410466E-2</v>
      </c>
      <c r="R161" s="94">
        <v>1.6656361777003501</v>
      </c>
      <c r="S161" s="94">
        <v>1.68</v>
      </c>
      <c r="T161" s="94">
        <v>1388</v>
      </c>
      <c r="U161" s="94">
        <v>1062068866.35</v>
      </c>
      <c r="V161" s="94">
        <v>1062339863.13</v>
      </c>
    </row>
    <row r="162" spans="1:22">
      <c r="A162" s="36">
        <v>140</v>
      </c>
      <c r="B162" s="58" t="s">
        <v>187</v>
      </c>
      <c r="C162" s="37" t="s">
        <v>94</v>
      </c>
      <c r="D162" s="45">
        <v>7884372873.5100002</v>
      </c>
      <c r="E162" s="69">
        <v>53238604.380000003</v>
      </c>
      <c r="F162" s="69">
        <v>510962768.52999997</v>
      </c>
      <c r="G162" s="69">
        <v>11493111.810000001</v>
      </c>
      <c r="H162" s="38">
        <f t="shared" si="76"/>
        <v>552708261.10000002</v>
      </c>
      <c r="I162" s="114">
        <v>8646186876.1599998</v>
      </c>
      <c r="J162" s="40">
        <f t="shared" si="92"/>
        <v>0.17767173637750031</v>
      </c>
      <c r="K162" s="49">
        <v>9204831262.5</v>
      </c>
      <c r="L162" s="40">
        <f>(K162/$K$166)</f>
        <v>0.18360237381934758</v>
      </c>
      <c r="M162" s="40">
        <f t="shared" si="82"/>
        <v>6.4611648388070569E-2</v>
      </c>
      <c r="N162" s="41">
        <f t="shared" si="83"/>
        <v>1.2485955996632263E-3</v>
      </c>
      <c r="O162" s="42">
        <f t="shared" si="84"/>
        <v>6.0045452799521108E-2</v>
      </c>
      <c r="P162" s="43">
        <f t="shared" si="85"/>
        <v>503.39139344275742</v>
      </c>
      <c r="Q162" s="43">
        <f t="shared" si="86"/>
        <v>30.226364154652249</v>
      </c>
      <c r="R162" s="45">
        <v>499.88</v>
      </c>
      <c r="S162" s="45">
        <v>505.15</v>
      </c>
      <c r="T162" s="45">
        <v>34</v>
      </c>
      <c r="U162" s="69">
        <v>18275472.57</v>
      </c>
      <c r="V162" s="69">
        <v>18285634.960000001</v>
      </c>
    </row>
    <row r="163" spans="1:22">
      <c r="A163" s="36">
        <v>141</v>
      </c>
      <c r="B163" s="37" t="s">
        <v>188</v>
      </c>
      <c r="C163" s="37" t="s">
        <v>189</v>
      </c>
      <c r="D163" s="69">
        <v>447627165.35000002</v>
      </c>
      <c r="E163" s="69">
        <v>9143906.8499999996</v>
      </c>
      <c r="F163" s="69">
        <v>-6406765.6499999799</v>
      </c>
      <c r="G163" s="94">
        <v>1834094.82</v>
      </c>
      <c r="H163" s="38">
        <f t="shared" si="76"/>
        <v>903046.38000001968</v>
      </c>
      <c r="I163" s="114">
        <v>1074786131</v>
      </c>
      <c r="J163" s="40">
        <f t="shared" si="92"/>
        <v>2.2085934628102266E-2</v>
      </c>
      <c r="K163" s="87">
        <v>1071951375.83929</v>
      </c>
      <c r="L163" s="40">
        <f>(K163/$K$166)</f>
        <v>2.1381469318705968E-2</v>
      </c>
      <c r="M163" s="40">
        <f t="shared" si="82"/>
        <v>-2.6375062711987834E-3</v>
      </c>
      <c r="N163" s="41">
        <f t="shared" si="83"/>
        <v>1.7109869545752351E-3</v>
      </c>
      <c r="O163" s="42">
        <f t="shared" si="84"/>
        <v>8.4243222253712279E-4</v>
      </c>
      <c r="P163" s="43">
        <f t="shared" si="85"/>
        <v>1.391596687371623</v>
      </c>
      <c r="Q163" s="43">
        <f t="shared" si="86"/>
        <v>1.1723258902177739E-3</v>
      </c>
      <c r="R163" s="45">
        <v>1.39</v>
      </c>
      <c r="S163" s="45">
        <v>1.4</v>
      </c>
      <c r="T163" s="45">
        <v>252</v>
      </c>
      <c r="U163" s="94">
        <v>769999785.84000003</v>
      </c>
      <c r="V163" s="45">
        <v>770303196.00999999</v>
      </c>
    </row>
    <row r="164" spans="1:22">
      <c r="A164" s="36">
        <v>142</v>
      </c>
      <c r="B164" s="37" t="s">
        <v>190</v>
      </c>
      <c r="C164" s="37" t="s">
        <v>44</v>
      </c>
      <c r="D164" s="74">
        <v>472999352.41000003</v>
      </c>
      <c r="E164" s="74">
        <v>6981372.7400000002</v>
      </c>
      <c r="F164" s="74">
        <v>7755929.3300000001</v>
      </c>
      <c r="G164" s="45">
        <v>953664.11</v>
      </c>
      <c r="H164" s="38">
        <f t="shared" si="76"/>
        <v>13783637.960000001</v>
      </c>
      <c r="I164" s="16">
        <v>450021740.54000002</v>
      </c>
      <c r="J164" s="40">
        <f t="shared" si="92"/>
        <v>9.2475614041871556E-3</v>
      </c>
      <c r="K164" s="44">
        <v>470324209.18000001</v>
      </c>
      <c r="L164" s="40">
        <f>(K164/$K$166)</f>
        <v>9.3812302265606443E-3</v>
      </c>
      <c r="M164" s="40">
        <f t="shared" si="82"/>
        <v>4.511441739600891E-2</v>
      </c>
      <c r="N164" s="41">
        <f t="shared" si="83"/>
        <v>2.0276738713124985E-3</v>
      </c>
      <c r="O164" s="42">
        <f t="shared" si="84"/>
        <v>2.9306673335041531E-2</v>
      </c>
      <c r="P164" s="43">
        <f t="shared" si="85"/>
        <v>240.97206147827188</v>
      </c>
      <c r="Q164" s="43">
        <f t="shared" si="86"/>
        <v>7.0620894886152588</v>
      </c>
      <c r="R164" s="45">
        <v>239.23</v>
      </c>
      <c r="S164" s="45">
        <v>242.4</v>
      </c>
      <c r="T164" s="45">
        <v>697</v>
      </c>
      <c r="U164" s="45">
        <v>1935203</v>
      </c>
      <c r="V164" s="45">
        <v>1951779</v>
      </c>
    </row>
    <row r="165" spans="1:22">
      <c r="A165" s="36">
        <v>143</v>
      </c>
      <c r="B165" s="37" t="s">
        <v>191</v>
      </c>
      <c r="C165" s="37" t="s">
        <v>98</v>
      </c>
      <c r="D165" s="45">
        <v>3622834435.3899999</v>
      </c>
      <c r="E165" s="69">
        <v>22834643.550000001</v>
      </c>
      <c r="F165" s="69">
        <v>95748457.010000005</v>
      </c>
      <c r="G165" s="45">
        <v>30767558.219999999</v>
      </c>
      <c r="H165" s="38">
        <v>87815542.340000004</v>
      </c>
      <c r="I165" s="112">
        <v>3514422848.0900002</v>
      </c>
      <c r="J165" s="40">
        <f t="shared" si="92"/>
        <v>7.2218380047578717E-2</v>
      </c>
      <c r="K165" s="82">
        <v>3627709315.5</v>
      </c>
      <c r="L165" s="40">
        <f>(K165/$K$166)</f>
        <v>7.2359397240212092E-2</v>
      </c>
      <c r="M165" s="40">
        <f t="shared" si="82"/>
        <v>3.223472880378301E-2</v>
      </c>
      <c r="N165" s="41">
        <f t="shared" si="83"/>
        <v>8.4812633935526238E-3</v>
      </c>
      <c r="O165" s="42">
        <f t="shared" si="84"/>
        <v>2.4206885034805101E-2</v>
      </c>
      <c r="P165" s="43">
        <f t="shared" si="85"/>
        <v>20.591120708694653</v>
      </c>
      <c r="Q165" s="43">
        <f t="shared" si="86"/>
        <v>0.49844689173316603</v>
      </c>
      <c r="R165" s="69">
        <v>20.591100000000001</v>
      </c>
      <c r="S165" s="69">
        <v>20.8323</v>
      </c>
      <c r="T165" s="69">
        <v>6217</v>
      </c>
      <c r="U165" s="45">
        <v>176376490.25999999</v>
      </c>
      <c r="V165" s="45">
        <v>176178332.72999999</v>
      </c>
    </row>
    <row r="166" spans="1:22" ht="15" customHeight="1">
      <c r="A166" s="150" t="s">
        <v>51</v>
      </c>
      <c r="B166" s="150"/>
      <c r="C166" s="150"/>
      <c r="D166" s="150"/>
      <c r="E166" s="150"/>
      <c r="F166" s="150"/>
      <c r="G166" s="150"/>
      <c r="H166" s="150"/>
      <c r="I166" s="52">
        <f>SUM(I139:I165)</f>
        <v>48663828318.699997</v>
      </c>
      <c r="J166" s="109">
        <f>(I166/$I$195)</f>
        <v>1.5105466412712045E-2</v>
      </c>
      <c r="K166" s="52">
        <f>SUM(K139:K165)</f>
        <v>50134598322.551849</v>
      </c>
      <c r="L166" s="109">
        <f>(K166/$K$195)</f>
        <v>1.5059033431074743E-2</v>
      </c>
      <c r="M166" s="50">
        <f t="shared" si="77"/>
        <v>3.0223064125160109E-2</v>
      </c>
      <c r="N166" s="41"/>
      <c r="O166" s="41"/>
      <c r="P166" s="51"/>
      <c r="Q166" s="51"/>
      <c r="R166" s="53"/>
      <c r="S166" s="53"/>
      <c r="T166" s="53">
        <f>SUM(T139:T165)</f>
        <v>69018</v>
      </c>
      <c r="U166" s="53"/>
      <c r="V166" s="70"/>
    </row>
    <row r="167" spans="1:22" ht="6" customHeight="1">
      <c r="A167" s="153"/>
      <c r="B167" s="153"/>
      <c r="C167" s="153"/>
      <c r="D167" s="153"/>
      <c r="E167" s="153"/>
      <c r="F167" s="153"/>
      <c r="G167" s="153"/>
      <c r="H167" s="153"/>
      <c r="I167" s="153"/>
      <c r="J167" s="153"/>
      <c r="K167" s="153"/>
      <c r="L167" s="153"/>
      <c r="M167" s="153"/>
      <c r="N167" s="153"/>
      <c r="O167" s="153"/>
      <c r="P167" s="153"/>
      <c r="Q167" s="153"/>
      <c r="R167" s="153"/>
      <c r="S167" s="153"/>
      <c r="T167" s="153"/>
      <c r="U167" s="153"/>
      <c r="V167" s="153"/>
    </row>
    <row r="168" spans="1:22">
      <c r="A168" s="148" t="s">
        <v>192</v>
      </c>
      <c r="B168" s="148"/>
      <c r="C168" s="148"/>
      <c r="D168" s="148"/>
      <c r="E168" s="148"/>
      <c r="F168" s="148"/>
      <c r="G168" s="148"/>
      <c r="H168" s="148"/>
      <c r="I168" s="148"/>
      <c r="J168" s="148"/>
      <c r="K168" s="148"/>
      <c r="L168" s="148"/>
      <c r="M168" s="148"/>
      <c r="N168" s="148"/>
      <c r="O168" s="148"/>
      <c r="P168" s="148"/>
      <c r="Q168" s="148"/>
      <c r="R168" s="148"/>
      <c r="S168" s="148"/>
      <c r="T168" s="148"/>
      <c r="U168" s="148"/>
      <c r="V168" s="148"/>
    </row>
    <row r="169" spans="1:22">
      <c r="A169" s="36">
        <v>144</v>
      </c>
      <c r="B169" s="46" t="s">
        <v>193</v>
      </c>
      <c r="C169" s="46" t="s">
        <v>26</v>
      </c>
      <c r="D169" s="45">
        <v>702958869.27999997</v>
      </c>
      <c r="E169" s="45">
        <v>10338679.359999999</v>
      </c>
      <c r="F169" s="45">
        <v>14542453.619999999</v>
      </c>
      <c r="G169" s="45">
        <v>1571850.12</v>
      </c>
      <c r="H169" s="38">
        <f t="shared" ref="H169" si="93">(E169+F169)-G169</f>
        <v>23309282.859999996</v>
      </c>
      <c r="I169" s="16">
        <v>942259248</v>
      </c>
      <c r="J169" s="40">
        <f>(I169/$I$172)</f>
        <v>0.18318641039802486</v>
      </c>
      <c r="K169" s="45">
        <v>981275288</v>
      </c>
      <c r="L169" s="40">
        <f>(K169/$K$172)</f>
        <v>0.18584884473993174</v>
      </c>
      <c r="M169" s="40">
        <f>((K169-I169)/I169)</f>
        <v>4.1406905883719168E-2</v>
      </c>
      <c r="N169" s="41">
        <f>(G169/K169)</f>
        <v>1.6018441911481217E-3</v>
      </c>
      <c r="O169" s="42">
        <f>H169/K169</f>
        <v>2.3754070998270156E-2</v>
      </c>
      <c r="P169" s="43">
        <f>K169/V169</f>
        <v>64.982635299300156</v>
      </c>
      <c r="Q169" s="43">
        <f>H169/V169</f>
        <v>1.5436021325542724</v>
      </c>
      <c r="R169" s="45">
        <v>64.657700000000006</v>
      </c>
      <c r="S169" s="45">
        <v>66.607200000000006</v>
      </c>
      <c r="T169" s="45">
        <v>1594</v>
      </c>
      <c r="U169" s="45">
        <v>14429977</v>
      </c>
      <c r="V169" s="45">
        <v>15100577</v>
      </c>
    </row>
    <row r="170" spans="1:22">
      <c r="A170" s="36">
        <v>145</v>
      </c>
      <c r="B170" s="46" t="s">
        <v>194</v>
      </c>
      <c r="C170" s="37" t="s">
        <v>46</v>
      </c>
      <c r="D170" s="61">
        <v>3310763881.1599998</v>
      </c>
      <c r="E170" s="61">
        <v>106876685.44</v>
      </c>
      <c r="F170" s="61">
        <v>42278567.75</v>
      </c>
      <c r="G170" s="45">
        <v>11649117.73</v>
      </c>
      <c r="H170" s="38">
        <v>137506135.46000001</v>
      </c>
      <c r="I170" s="112">
        <v>3337845701.21</v>
      </c>
      <c r="J170" s="40">
        <f>(I170/$I$172)</f>
        <v>0.64891692362263564</v>
      </c>
      <c r="K170" s="61">
        <v>3386596759.4200001</v>
      </c>
      <c r="L170" s="40">
        <f>(K170/$K$172)</f>
        <v>0.64140522342207762</v>
      </c>
      <c r="M170" s="40">
        <f t="shared" ref="M170:M171" si="94">((K170-I170)/I170)</f>
        <v>1.4605545784314514E-2</v>
      </c>
      <c r="N170" s="41">
        <f t="shared" ref="N170:N171" si="95">(G170/K170)</f>
        <v>3.4397711205496656E-3</v>
      </c>
      <c r="O170" s="42">
        <f t="shared" ref="O170:O171" si="96">H170/K170</f>
        <v>4.060304347646921E-2</v>
      </c>
      <c r="P170" s="43">
        <f t="shared" ref="P170:P171" si="97">K170/V170</f>
        <v>2.4786775181350649</v>
      </c>
      <c r="Q170" s="43">
        <f t="shared" ref="Q170:Q171" si="98">H170/V170</f>
        <v>0.10064185103298486</v>
      </c>
      <c r="R170" s="45">
        <v>2.4700000000000002</v>
      </c>
      <c r="S170" s="45">
        <v>2.5</v>
      </c>
      <c r="T170" s="45">
        <v>10132</v>
      </c>
      <c r="U170" s="61">
        <v>1375478070.75</v>
      </c>
      <c r="V170" s="61">
        <v>1366291796.5899999</v>
      </c>
    </row>
    <row r="171" spans="1:22">
      <c r="A171" s="36">
        <v>146</v>
      </c>
      <c r="B171" s="46" t="s">
        <v>195</v>
      </c>
      <c r="C171" s="37" t="s">
        <v>98</v>
      </c>
      <c r="D171" s="69">
        <v>903247747.41999996</v>
      </c>
      <c r="E171" s="69">
        <v>6425500.7999999998</v>
      </c>
      <c r="F171" s="69">
        <v>48376476.100000001</v>
      </c>
      <c r="G171" s="69">
        <v>7535210.46</v>
      </c>
      <c r="H171" s="38">
        <v>47266766.439999998</v>
      </c>
      <c r="I171" s="114">
        <v>863613113.46000004</v>
      </c>
      <c r="J171" s="40">
        <f>(I171/$I$172)</f>
        <v>0.16789666597933944</v>
      </c>
      <c r="K171" s="69">
        <v>912092374.05999994</v>
      </c>
      <c r="L171" s="40">
        <f>(K171/$K$172)</f>
        <v>0.1727459318379907</v>
      </c>
      <c r="M171" s="40">
        <f t="shared" si="94"/>
        <v>5.6135391930040808E-2</v>
      </c>
      <c r="N171" s="41">
        <f t="shared" si="95"/>
        <v>8.2614553901580075E-3</v>
      </c>
      <c r="O171" s="42">
        <f t="shared" si="96"/>
        <v>5.1822345832803401E-2</v>
      </c>
      <c r="P171" s="43">
        <f t="shared" si="97"/>
        <v>26.040291976746829</v>
      </c>
      <c r="Q171" s="43">
        <f t="shared" si="98"/>
        <v>1.3494690164061498</v>
      </c>
      <c r="R171" s="69">
        <v>26.040299999999998</v>
      </c>
      <c r="S171" s="69">
        <v>26.293500000000002</v>
      </c>
      <c r="T171" s="69">
        <v>1490</v>
      </c>
      <c r="U171" s="69">
        <v>35114089.039999999</v>
      </c>
      <c r="V171" s="69">
        <v>35026196.130000003</v>
      </c>
    </row>
    <row r="172" spans="1:22" ht="15" customHeight="1">
      <c r="A172" s="150" t="s">
        <v>51</v>
      </c>
      <c r="B172" s="150"/>
      <c r="C172" s="150"/>
      <c r="D172" s="150"/>
      <c r="E172" s="150"/>
      <c r="F172" s="150"/>
      <c r="G172" s="150"/>
      <c r="H172" s="150"/>
      <c r="I172" s="53">
        <f>SUM(I169:I171)</f>
        <v>5143718062.6700001</v>
      </c>
      <c r="J172" s="109">
        <f>(I172/$I$195)</f>
        <v>1.5966327170824932E-3</v>
      </c>
      <c r="K172" s="53">
        <f>SUM(K169:K171)</f>
        <v>5279964421.4799995</v>
      </c>
      <c r="L172" s="109">
        <f>(K172/$K$195)</f>
        <v>1.5859538801208733E-3</v>
      </c>
      <c r="M172" s="50">
        <f>((K172-I172)/I172)</f>
        <v>2.6487913441211576E-2</v>
      </c>
      <c r="N172" s="41"/>
      <c r="O172" s="71"/>
      <c r="P172" s="51"/>
      <c r="Q172" s="51"/>
      <c r="R172" s="53"/>
      <c r="S172" s="53"/>
      <c r="T172" s="53">
        <f>SUM(T169:T171)</f>
        <v>13216</v>
      </c>
      <c r="U172" s="53"/>
      <c r="V172" s="70"/>
    </row>
    <row r="173" spans="1:22" ht="8.1" customHeight="1">
      <c r="A173" s="152"/>
      <c r="B173" s="152"/>
      <c r="C173" s="152"/>
      <c r="D173" s="152"/>
      <c r="E173" s="152"/>
      <c r="F173" s="152"/>
      <c r="G173" s="152"/>
      <c r="H173" s="152"/>
      <c r="I173" s="152"/>
      <c r="J173" s="152"/>
      <c r="K173" s="152"/>
      <c r="L173" s="152"/>
      <c r="M173" s="152"/>
      <c r="N173" s="152"/>
      <c r="O173" s="152"/>
      <c r="P173" s="152"/>
      <c r="Q173" s="152"/>
      <c r="R173" s="152"/>
      <c r="S173" s="152"/>
      <c r="T173" s="152"/>
      <c r="U173" s="152"/>
      <c r="V173" s="152"/>
    </row>
    <row r="174" spans="1:22">
      <c r="A174" s="148" t="s">
        <v>196</v>
      </c>
      <c r="B174" s="148"/>
      <c r="C174" s="148"/>
      <c r="D174" s="148"/>
      <c r="E174" s="148"/>
      <c r="F174" s="148"/>
      <c r="G174" s="148"/>
      <c r="H174" s="148"/>
      <c r="I174" s="148"/>
      <c r="J174" s="148"/>
      <c r="K174" s="148"/>
      <c r="L174" s="148"/>
      <c r="M174" s="148"/>
      <c r="N174" s="148"/>
      <c r="O174" s="148"/>
      <c r="P174" s="148"/>
      <c r="Q174" s="148"/>
      <c r="R174" s="148"/>
      <c r="S174" s="148"/>
      <c r="T174" s="148"/>
      <c r="U174" s="148"/>
      <c r="V174" s="148"/>
    </row>
    <row r="175" spans="1:22" ht="12.9" customHeight="1">
      <c r="A175" s="155" t="s">
        <v>197</v>
      </c>
      <c r="B175" s="155"/>
      <c r="C175" s="155"/>
      <c r="D175" s="155"/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</row>
    <row r="176" spans="1:22" ht="15" customHeight="1">
      <c r="A176" s="36">
        <v>147</v>
      </c>
      <c r="B176" s="46" t="s">
        <v>198</v>
      </c>
      <c r="C176" s="37" t="s">
        <v>122</v>
      </c>
      <c r="D176" s="72">
        <v>989626329.83000004</v>
      </c>
      <c r="E176" s="39">
        <v>7548837.2599999998</v>
      </c>
      <c r="F176" s="39">
        <v>39088182.850000001</v>
      </c>
      <c r="G176" s="82">
        <v>-1644508.27</v>
      </c>
      <c r="H176" s="38">
        <v>44992511.840000004</v>
      </c>
      <c r="I176" s="120">
        <v>4244318255.9400001</v>
      </c>
      <c r="J176" s="40">
        <f>(I176/$I$194)</f>
        <v>8.4760464299981395E-2</v>
      </c>
      <c r="K176" s="39">
        <v>1029192301.3</v>
      </c>
      <c r="L176" s="40">
        <f>(K176/$K$194)</f>
        <v>2.1601472655129721E-2</v>
      </c>
      <c r="M176" s="73">
        <f>((K176-I176)/I176)</f>
        <v>-0.75751292922965274</v>
      </c>
      <c r="N176" s="41">
        <f>(G176/K176)</f>
        <v>-1.5978629726658257E-3</v>
      </c>
      <c r="O176" s="42">
        <f>H176/K176</f>
        <v>4.3716331518578962E-2</v>
      </c>
      <c r="P176" s="43">
        <f>K176/V176</f>
        <v>30.814140757485028</v>
      </c>
      <c r="Q176" s="43">
        <f>H176/V176</f>
        <v>1.3470811928143713</v>
      </c>
      <c r="R176" s="74">
        <v>29.27</v>
      </c>
      <c r="S176" s="74">
        <v>32.35</v>
      </c>
      <c r="T176" s="74">
        <v>212</v>
      </c>
      <c r="U176" s="45">
        <v>33400000</v>
      </c>
      <c r="V176" s="45">
        <v>33400000</v>
      </c>
    </row>
    <row r="177" spans="1:22">
      <c r="A177" s="36">
        <v>148</v>
      </c>
      <c r="B177" s="37" t="s">
        <v>199</v>
      </c>
      <c r="C177" s="37" t="s">
        <v>46</v>
      </c>
      <c r="D177" s="82">
        <v>659947185.16999996</v>
      </c>
      <c r="E177" s="82">
        <v>5037656.01</v>
      </c>
      <c r="F177" s="82">
        <v>19719433.5</v>
      </c>
      <c r="G177" s="82">
        <v>-1531693.13</v>
      </c>
      <c r="H177" s="62">
        <v>23225396.379999999</v>
      </c>
      <c r="I177" s="112">
        <v>661827230.25</v>
      </c>
      <c r="J177" s="40">
        <f>(I177/$I$194)</f>
        <v>1.3216912573380243E-2</v>
      </c>
      <c r="K177" s="82">
        <v>662823908.69000006</v>
      </c>
      <c r="L177" s="40">
        <f>(K177/$K$194)</f>
        <v>1.3911853519160439E-2</v>
      </c>
      <c r="M177" s="73">
        <f>((K177-I177)/I177)</f>
        <v>1.5059495808650391E-3</v>
      </c>
      <c r="N177" s="41">
        <f>(G177/K177)</f>
        <v>-2.3108598074369799E-3</v>
      </c>
      <c r="O177" s="42">
        <f>H177/K177</f>
        <v>3.5040070334672282E-2</v>
      </c>
      <c r="P177" s="43">
        <f>K177/V177</f>
        <v>444.97378528283906</v>
      </c>
      <c r="Q177" s="43">
        <f>H177/V177</f>
        <v>15.591912733396041</v>
      </c>
      <c r="R177" s="105">
        <v>441.61</v>
      </c>
      <c r="S177" s="105">
        <v>447.28</v>
      </c>
      <c r="T177" s="61">
        <v>841</v>
      </c>
      <c r="U177" s="61">
        <v>1540816.1</v>
      </c>
      <c r="V177" s="61">
        <v>1489579.68</v>
      </c>
    </row>
    <row r="178" spans="1:22" ht="6.9" customHeight="1">
      <c r="A178" s="152"/>
      <c r="B178" s="152"/>
      <c r="C178" s="152"/>
      <c r="D178" s="152"/>
      <c r="E178" s="152"/>
      <c r="F178" s="152"/>
      <c r="G178" s="152"/>
      <c r="H178" s="152"/>
      <c r="I178" s="152"/>
      <c r="J178" s="152"/>
      <c r="K178" s="152"/>
      <c r="L178" s="152"/>
      <c r="M178" s="152"/>
      <c r="N178" s="152"/>
      <c r="O178" s="152"/>
      <c r="P178" s="152"/>
      <c r="Q178" s="152"/>
      <c r="R178" s="152"/>
      <c r="S178" s="152"/>
      <c r="T178" s="152"/>
      <c r="U178" s="152"/>
      <c r="V178" s="152"/>
    </row>
    <row r="179" spans="1:22">
      <c r="A179" s="155" t="s">
        <v>150</v>
      </c>
      <c r="B179" s="155"/>
      <c r="C179" s="155"/>
      <c r="D179" s="155"/>
      <c r="E179" s="155"/>
      <c r="F179" s="155"/>
      <c r="G179" s="155"/>
      <c r="H179" s="155"/>
      <c r="I179" s="155"/>
      <c r="J179" s="155"/>
      <c r="K179" s="155"/>
      <c r="L179" s="155"/>
      <c r="M179" s="155"/>
      <c r="N179" s="155"/>
      <c r="O179" s="155"/>
      <c r="P179" s="155"/>
      <c r="Q179" s="155"/>
      <c r="R179" s="155"/>
      <c r="S179" s="155"/>
      <c r="T179" s="155"/>
      <c r="U179" s="155"/>
      <c r="V179" s="155"/>
    </row>
    <row r="180" spans="1:22">
      <c r="A180" s="36">
        <v>149</v>
      </c>
      <c r="B180" s="46" t="s">
        <v>200</v>
      </c>
      <c r="C180" s="37" t="s">
        <v>201</v>
      </c>
      <c r="D180" s="93">
        <v>322895065.15179598</v>
      </c>
      <c r="E180" s="93">
        <v>4703475.7845531199</v>
      </c>
      <c r="F180" s="45"/>
      <c r="G180" s="94">
        <v>994219.24618253903</v>
      </c>
      <c r="H180" s="94">
        <v>3709256.5383705799</v>
      </c>
      <c r="I180" s="16">
        <v>405581562</v>
      </c>
      <c r="J180" s="40">
        <f>(I180/$I$194)</f>
        <v>8.0996003206215902E-3</v>
      </c>
      <c r="K180" s="94">
        <v>409472068.81367099</v>
      </c>
      <c r="L180" s="40">
        <f>(K180/$K$194)</f>
        <v>8.594311953505001E-3</v>
      </c>
      <c r="M180" s="40">
        <f t="shared" ref="M180:M194" si="99">((K180-I180)/I180)</f>
        <v>9.592415381227298E-3</v>
      </c>
      <c r="N180" s="41">
        <f t="shared" ref="N180" si="100">(G180/K180)</f>
        <v>2.4280514396574273E-3</v>
      </c>
      <c r="O180" s="42">
        <f t="shared" ref="O180" si="101">H180/K180</f>
        <v>9.0586313960732343E-3</v>
      </c>
      <c r="P180" s="106">
        <f>K180/U180</f>
        <v>1049.0487945073514</v>
      </c>
      <c r="Q180" s="106">
        <f>H180/U180</f>
        <v>9.5029463459370724</v>
      </c>
      <c r="R180" s="94">
        <v>1048.7908468857399</v>
      </c>
      <c r="S180" s="94">
        <v>1048.7908468857399</v>
      </c>
      <c r="T180" s="94">
        <v>22</v>
      </c>
      <c r="U180" s="94">
        <v>390327</v>
      </c>
      <c r="V180" s="94">
        <v>390423</v>
      </c>
    </row>
    <row r="181" spans="1:22" ht="15" customHeight="1">
      <c r="A181" s="36">
        <v>150</v>
      </c>
      <c r="B181" s="46" t="s">
        <v>202</v>
      </c>
      <c r="C181" s="48" t="s">
        <v>63</v>
      </c>
      <c r="D181" s="45">
        <v>72619633.239999995</v>
      </c>
      <c r="E181" s="45">
        <v>1669455.17</v>
      </c>
      <c r="F181" s="45">
        <v>0</v>
      </c>
      <c r="G181" s="45">
        <v>224935.26</v>
      </c>
      <c r="H181" s="38">
        <f t="shared" ref="H181:H190" si="102">(E181+F181)-G181</f>
        <v>1444519.91</v>
      </c>
      <c r="I181" s="112">
        <v>123988742.89</v>
      </c>
      <c r="J181" s="40">
        <f t="shared" ref="J181:J190" si="103">(I181/$I$194)</f>
        <v>2.4760969327923044E-3</v>
      </c>
      <c r="K181" s="61">
        <v>123988742.89</v>
      </c>
      <c r="L181" s="40">
        <f t="shared" ref="L181:L190" si="104">(K181/$K$194)</f>
        <v>2.6023702622912778E-3</v>
      </c>
      <c r="M181" s="40">
        <f t="shared" ref="M181:M190" si="105">((K181-I181)/I181)</f>
        <v>0</v>
      </c>
      <c r="N181" s="41">
        <f t="shared" ref="N181:N190" si="106">(G181/K181)</f>
        <v>1.8141587272931501E-3</v>
      </c>
      <c r="O181" s="42">
        <f t="shared" ref="O181:O190" si="107">H181/K181</f>
        <v>1.1650411773926487E-2</v>
      </c>
      <c r="P181" s="106">
        <f t="shared" ref="P181:P190" si="108">K181/U181</f>
        <v>113.55725947716788</v>
      </c>
      <c r="Q181" s="106">
        <f t="shared" ref="Q181:Q190" si="109">H181/U181</f>
        <v>1.3229888328276218</v>
      </c>
      <c r="R181" s="45">
        <v>113.68</v>
      </c>
      <c r="S181" s="45">
        <v>113.68</v>
      </c>
      <c r="T181" s="45">
        <v>75</v>
      </c>
      <c r="U181" s="45">
        <v>1091861</v>
      </c>
      <c r="V181" s="45">
        <v>1096413</v>
      </c>
    </row>
    <row r="182" spans="1:22" ht="15" customHeight="1">
      <c r="A182" s="36">
        <v>151</v>
      </c>
      <c r="B182" s="46" t="s">
        <v>203</v>
      </c>
      <c r="C182" s="48" t="s">
        <v>175</v>
      </c>
      <c r="D182" s="45">
        <v>32927830.27</v>
      </c>
      <c r="E182" s="45">
        <v>685710.51</v>
      </c>
      <c r="F182" s="45">
        <v>0</v>
      </c>
      <c r="G182" s="45">
        <v>253867.22</v>
      </c>
      <c r="H182" s="38">
        <f t="shared" si="102"/>
        <v>431843.29000000004</v>
      </c>
      <c r="I182" s="16">
        <v>58080302.850000001</v>
      </c>
      <c r="J182" s="40">
        <f t="shared" si="103"/>
        <v>1.1598831989942853E-3</v>
      </c>
      <c r="K182" s="45">
        <v>58626232.189999998</v>
      </c>
      <c r="L182" s="40">
        <f t="shared" si="104"/>
        <v>1.2304920566602871E-3</v>
      </c>
      <c r="M182" s="40">
        <f t="shared" si="105"/>
        <v>9.3995608357954029E-3</v>
      </c>
      <c r="N182" s="41">
        <f t="shared" si="106"/>
        <v>4.3302666829628305E-3</v>
      </c>
      <c r="O182" s="42">
        <f t="shared" si="107"/>
        <v>7.3660420236533715E-3</v>
      </c>
      <c r="P182" s="106">
        <f t="shared" si="108"/>
        <v>107.44312220859929</v>
      </c>
      <c r="Q182" s="106">
        <f t="shared" si="109"/>
        <v>0.79143055334106727</v>
      </c>
      <c r="R182" s="45">
        <v>104.37</v>
      </c>
      <c r="S182" s="45">
        <v>107.56</v>
      </c>
      <c r="T182" s="45">
        <v>15</v>
      </c>
      <c r="U182" s="45">
        <v>545649</v>
      </c>
      <c r="V182" s="45">
        <v>545034</v>
      </c>
    </row>
    <row r="183" spans="1:22" ht="15" customHeight="1">
      <c r="A183" s="36">
        <v>152</v>
      </c>
      <c r="B183" s="37" t="s">
        <v>204</v>
      </c>
      <c r="C183" s="37" t="s">
        <v>76</v>
      </c>
      <c r="D183" s="61">
        <v>7957485629.54</v>
      </c>
      <c r="E183" s="61">
        <v>119639685.52</v>
      </c>
      <c r="F183" s="61"/>
      <c r="G183" s="61">
        <v>-14074346.82</v>
      </c>
      <c r="H183" s="38">
        <v>105565338.7</v>
      </c>
      <c r="I183" s="114">
        <v>8705544846.5</v>
      </c>
      <c r="J183" s="40">
        <f t="shared" si="103"/>
        <v>0.17385266105833733</v>
      </c>
      <c r="K183" s="69">
        <v>8705544846.5</v>
      </c>
      <c r="L183" s="40">
        <f t="shared" si="104"/>
        <v>0.18271861217008817</v>
      </c>
      <c r="M183" s="40">
        <f t="shared" si="105"/>
        <v>0</v>
      </c>
      <c r="N183" s="41">
        <f t="shared" si="106"/>
        <v>-1.6167106215825753E-3</v>
      </c>
      <c r="O183" s="42">
        <f t="shared" si="107"/>
        <v>1.2126218468961397E-2</v>
      </c>
      <c r="P183" s="106">
        <f t="shared" si="108"/>
        <v>145.12339311531701</v>
      </c>
      <c r="Q183" s="106">
        <f t="shared" si="109"/>
        <v>1.7597979698733024</v>
      </c>
      <c r="R183" s="45">
        <v>134.38</v>
      </c>
      <c r="S183" s="45">
        <v>134.38</v>
      </c>
      <c r="T183" s="45">
        <v>698</v>
      </c>
      <c r="U183" s="69">
        <v>59987192</v>
      </c>
      <c r="V183" s="69">
        <v>58948067</v>
      </c>
    </row>
    <row r="184" spans="1:22" ht="15" customHeight="1">
      <c r="A184" s="36">
        <v>153</v>
      </c>
      <c r="B184" s="37" t="s">
        <v>230</v>
      </c>
      <c r="C184" s="37" t="s">
        <v>61</v>
      </c>
      <c r="D184" s="61">
        <v>326731069.48000002</v>
      </c>
      <c r="E184" s="61">
        <v>4759655.74</v>
      </c>
      <c r="F184" s="61">
        <v>0</v>
      </c>
      <c r="G184" s="61">
        <v>820991.33</v>
      </c>
      <c r="H184" s="38">
        <f>(E184+F184)-G184</f>
        <v>3938664.41</v>
      </c>
      <c r="I184" s="114">
        <v>302548532.11000001</v>
      </c>
      <c r="J184" s="40">
        <f t="shared" si="103"/>
        <v>6.041996030583233E-3</v>
      </c>
      <c r="K184" s="69">
        <v>325309987.06</v>
      </c>
      <c r="L184" s="40">
        <f t="shared" si="104"/>
        <v>6.8278540181858959E-3</v>
      </c>
      <c r="M184" s="40">
        <f t="shared" si="105"/>
        <v>7.5232409132047692E-2</v>
      </c>
      <c r="N184" s="41">
        <f t="shared" si="106"/>
        <v>2.5237200290705391E-3</v>
      </c>
      <c r="O184" s="42">
        <f t="shared" si="107"/>
        <v>1.2107419282130908E-2</v>
      </c>
      <c r="P184" s="106">
        <f t="shared" si="108"/>
        <v>1193.2021296078499</v>
      </c>
      <c r="Q184" s="106">
        <f t="shared" si="109"/>
        <v>14.446598471493745</v>
      </c>
      <c r="R184" s="45">
        <v>1123.82</v>
      </c>
      <c r="S184" s="45">
        <v>1123.82</v>
      </c>
      <c r="T184" s="45">
        <v>87</v>
      </c>
      <c r="U184" s="69">
        <v>272636.11</v>
      </c>
      <c r="V184" s="69">
        <v>289469.15999999997</v>
      </c>
    </row>
    <row r="185" spans="1:22" ht="15" customHeight="1">
      <c r="A185" s="36">
        <v>154</v>
      </c>
      <c r="B185" s="46" t="s">
        <v>121</v>
      </c>
      <c r="C185" s="37" t="s">
        <v>122</v>
      </c>
      <c r="D185" s="45">
        <v>15170226721.25</v>
      </c>
      <c r="E185" s="45">
        <v>337316170.24000001</v>
      </c>
      <c r="F185" s="45">
        <v>-15000000</v>
      </c>
      <c r="G185" s="45">
        <v>37575248.829999998</v>
      </c>
      <c r="H185" s="38">
        <f>(E185+F185)-G185</f>
        <v>284740921.41000003</v>
      </c>
      <c r="I185" s="16">
        <v>23029322586.23</v>
      </c>
      <c r="J185" s="40">
        <f t="shared" si="103"/>
        <v>0.45990332421256991</v>
      </c>
      <c r="K185" s="45">
        <v>23779896660.790001</v>
      </c>
      <c r="L185" s="40">
        <f t="shared" si="104"/>
        <v>0.49911060043008681</v>
      </c>
      <c r="M185" s="40">
        <f t="shared" si="105"/>
        <v>3.2592103903603079E-2</v>
      </c>
      <c r="N185" s="41">
        <f t="shared" si="106"/>
        <v>1.5801266660656588E-3</v>
      </c>
      <c r="O185" s="42">
        <f t="shared" si="107"/>
        <v>1.1974018452296358E-2</v>
      </c>
      <c r="P185" s="106">
        <f t="shared" si="108"/>
        <v>1257.1358662221419</v>
      </c>
      <c r="Q185" s="106">
        <f t="shared" si="109"/>
        <v>15.052968059187494</v>
      </c>
      <c r="R185" s="38">
        <v>1232.23</v>
      </c>
      <c r="S185" s="38">
        <v>1232.23</v>
      </c>
      <c r="T185" s="45">
        <v>8472</v>
      </c>
      <c r="U185" s="45">
        <v>18915932.079999998</v>
      </c>
      <c r="V185" s="45">
        <v>19298242.879999999</v>
      </c>
    </row>
    <row r="186" spans="1:22" ht="15" customHeight="1">
      <c r="A186" s="36">
        <v>155</v>
      </c>
      <c r="B186" s="75" t="s">
        <v>227</v>
      </c>
      <c r="C186" s="76" t="s">
        <v>228</v>
      </c>
      <c r="D186" s="61">
        <v>216434098.33000001</v>
      </c>
      <c r="E186" s="61">
        <v>0</v>
      </c>
      <c r="F186" s="61">
        <v>69533301.280000001</v>
      </c>
      <c r="G186" s="61">
        <v>662994.29</v>
      </c>
      <c r="H186" s="38">
        <f t="shared" si="102"/>
        <v>68870306.989999995</v>
      </c>
      <c r="I186" s="114">
        <v>383269028.56</v>
      </c>
      <c r="J186" s="40">
        <f t="shared" si="103"/>
        <v>7.654011516945885E-3</v>
      </c>
      <c r="K186" s="69">
        <v>388212898.36000001</v>
      </c>
      <c r="L186" s="40">
        <f t="shared" si="104"/>
        <v>8.1481082764607287E-3</v>
      </c>
      <c r="M186" s="40">
        <f t="shared" si="105"/>
        <v>1.2899215515991162E-2</v>
      </c>
      <c r="N186" s="41">
        <f t="shared" si="106"/>
        <v>1.7078110820140449E-3</v>
      </c>
      <c r="O186" s="42">
        <f t="shared" si="107"/>
        <v>0.177403448677109</v>
      </c>
      <c r="P186" s="106">
        <f t="shared" si="108"/>
        <v>123.607682175535</v>
      </c>
      <c r="Q186" s="106">
        <f t="shared" si="109"/>
        <v>21.928429100923925</v>
      </c>
      <c r="R186" s="45">
        <v>123.65430000000001</v>
      </c>
      <c r="S186" s="45">
        <v>124.358</v>
      </c>
      <c r="T186" s="45">
        <v>166</v>
      </c>
      <c r="U186" s="69">
        <v>3140685.85</v>
      </c>
      <c r="V186" s="69">
        <v>3127823.61</v>
      </c>
    </row>
    <row r="187" spans="1:22" ht="15" customHeight="1">
      <c r="A187" s="36">
        <v>156</v>
      </c>
      <c r="B187" s="75" t="s">
        <v>229</v>
      </c>
      <c r="C187" s="76" t="s">
        <v>228</v>
      </c>
      <c r="D187" s="61">
        <v>7601393.2199999997</v>
      </c>
      <c r="E187" s="61">
        <v>0</v>
      </c>
      <c r="F187" s="61">
        <v>601401.31000000006</v>
      </c>
      <c r="G187" s="61">
        <v>251722.41</v>
      </c>
      <c r="H187" s="38">
        <f t="shared" si="102"/>
        <v>349678.9</v>
      </c>
      <c r="I187" s="114">
        <v>158462945.41999999</v>
      </c>
      <c r="J187" s="40">
        <f t="shared" si="103"/>
        <v>3.1645583620748359E-3</v>
      </c>
      <c r="K187" s="69">
        <v>102098913.97</v>
      </c>
      <c r="L187" s="40">
        <f t="shared" si="104"/>
        <v>2.1429298445544026E-3</v>
      </c>
      <c r="M187" s="40">
        <f t="shared" si="105"/>
        <v>-0.35569218595936908</v>
      </c>
      <c r="N187" s="41">
        <f t="shared" si="106"/>
        <v>2.4654758822798477E-3</v>
      </c>
      <c r="O187" s="42">
        <f t="shared" si="107"/>
        <v>3.4249032276949306E-3</v>
      </c>
      <c r="P187" s="106">
        <f t="shared" si="108"/>
        <v>69.089171703372728</v>
      </c>
      <c r="Q187" s="106">
        <f t="shared" si="109"/>
        <v>0.23662372716565053</v>
      </c>
      <c r="R187" s="45">
        <v>106.7</v>
      </c>
      <c r="S187" s="45">
        <v>106.7</v>
      </c>
      <c r="T187" s="45">
        <v>72</v>
      </c>
      <c r="U187" s="69">
        <v>1477784.6</v>
      </c>
      <c r="V187" s="69">
        <v>957165.58</v>
      </c>
    </row>
    <row r="188" spans="1:22" ht="16.2" customHeight="1">
      <c r="A188" s="36">
        <v>157</v>
      </c>
      <c r="B188" s="37" t="s">
        <v>205</v>
      </c>
      <c r="C188" s="37" t="s">
        <v>148</v>
      </c>
      <c r="D188" s="45">
        <v>845672539.5</v>
      </c>
      <c r="E188" s="61">
        <v>13226272.26</v>
      </c>
      <c r="F188" s="61"/>
      <c r="G188" s="45">
        <v>2444562.44</v>
      </c>
      <c r="H188" s="38">
        <f t="shared" si="102"/>
        <v>10781709.82</v>
      </c>
      <c r="I188" s="16">
        <v>1039241659.5</v>
      </c>
      <c r="J188" s="40">
        <f t="shared" si="103"/>
        <v>2.0754005771321315E-2</v>
      </c>
      <c r="K188" s="45">
        <v>1064835919.78</v>
      </c>
      <c r="L188" s="40">
        <f t="shared" si="104"/>
        <v>2.2349588093763539E-2</v>
      </c>
      <c r="M188" s="40">
        <f t="shared" si="105"/>
        <v>2.462782361160722E-2</v>
      </c>
      <c r="N188" s="41">
        <f t="shared" si="106"/>
        <v>2.2957174852864261E-3</v>
      </c>
      <c r="O188" s="42">
        <f t="shared" si="107"/>
        <v>1.0125231145684446E-2</v>
      </c>
      <c r="P188" s="106">
        <f t="shared" si="108"/>
        <v>106.19244415386335</v>
      </c>
      <c r="Q188" s="106">
        <f t="shared" si="109"/>
        <v>1.0752230429830534</v>
      </c>
      <c r="R188" s="45">
        <v>104.74</v>
      </c>
      <c r="S188" s="45">
        <v>104.74</v>
      </c>
      <c r="T188" s="61">
        <v>569</v>
      </c>
      <c r="U188" s="45">
        <v>10027417</v>
      </c>
      <c r="V188" s="45">
        <v>10166129</v>
      </c>
    </row>
    <row r="189" spans="1:22">
      <c r="A189" s="36">
        <v>158</v>
      </c>
      <c r="B189" s="46" t="s">
        <v>206</v>
      </c>
      <c r="C189" s="46" t="s">
        <v>46</v>
      </c>
      <c r="D189" s="61">
        <v>6997180406.1400003</v>
      </c>
      <c r="E189" s="61">
        <v>61534342.909999996</v>
      </c>
      <c r="F189" s="61"/>
      <c r="G189" s="61">
        <v>-11571722.42</v>
      </c>
      <c r="H189" s="38">
        <v>49962620.490000002</v>
      </c>
      <c r="I189" s="112">
        <v>7009416452.6899996</v>
      </c>
      <c r="J189" s="40">
        <f t="shared" si="103"/>
        <v>0.13998040608063483</v>
      </c>
      <c r="K189" s="61">
        <v>7015960211.7700005</v>
      </c>
      <c r="L189" s="40">
        <f t="shared" si="104"/>
        <v>0.14725632175113881</v>
      </c>
      <c r="M189" s="40">
        <f t="shared" si="105"/>
        <v>9.3356688451427122E-4</v>
      </c>
      <c r="N189" s="41">
        <f t="shared" si="106"/>
        <v>-1.6493426517139075E-3</v>
      </c>
      <c r="O189" s="42">
        <f t="shared" si="107"/>
        <v>7.121280477928385E-3</v>
      </c>
      <c r="P189" s="106">
        <f t="shared" si="108"/>
        <v>128.23829646066505</v>
      </c>
      <c r="Q189" s="106">
        <f t="shared" si="109"/>
        <v>0.91322087710812672</v>
      </c>
      <c r="R189" s="61">
        <v>131.19</v>
      </c>
      <c r="S189" s="61">
        <v>131.88999999999999</v>
      </c>
      <c r="T189" s="45">
        <v>1231</v>
      </c>
      <c r="U189" s="45">
        <v>54710335.409999996</v>
      </c>
      <c r="V189" s="45">
        <v>53196003.619999997</v>
      </c>
    </row>
    <row r="190" spans="1:22" ht="15" customHeight="1">
      <c r="A190" s="36">
        <v>159</v>
      </c>
      <c r="B190" s="37" t="s">
        <v>207</v>
      </c>
      <c r="C190" s="37" t="s">
        <v>50</v>
      </c>
      <c r="D190" s="69">
        <v>3123214557.4699998</v>
      </c>
      <c r="E190" s="69">
        <v>37790140.710000001</v>
      </c>
      <c r="F190" s="69"/>
      <c r="G190" s="94">
        <v>6065526</v>
      </c>
      <c r="H190" s="38">
        <f t="shared" si="102"/>
        <v>31724614.710000001</v>
      </c>
      <c r="I190" s="121">
        <v>3766024593</v>
      </c>
      <c r="J190" s="40">
        <f t="shared" si="103"/>
        <v>7.520877884713012E-2</v>
      </c>
      <c r="K190" s="94">
        <v>3782544755.5236802</v>
      </c>
      <c r="L190" s="40">
        <f t="shared" si="104"/>
        <v>7.9390933064735242E-2</v>
      </c>
      <c r="M190" s="40">
        <f t="shared" si="105"/>
        <v>4.386631609997086E-3</v>
      </c>
      <c r="N190" s="41">
        <f t="shared" si="106"/>
        <v>1.6035569681343397E-3</v>
      </c>
      <c r="O190" s="42">
        <f t="shared" si="107"/>
        <v>8.3871088805155033E-3</v>
      </c>
      <c r="P190" s="106">
        <f t="shared" si="108"/>
        <v>1.1836709350424495</v>
      </c>
      <c r="Q190" s="106">
        <f t="shared" si="109"/>
        <v>9.9275770109026173E-3</v>
      </c>
      <c r="R190" s="38">
        <v>1.17</v>
      </c>
      <c r="S190" s="38">
        <v>1.17</v>
      </c>
      <c r="T190" s="45">
        <v>183</v>
      </c>
      <c r="U190" s="94">
        <v>3195604997.5900002</v>
      </c>
      <c r="V190" s="45">
        <v>3239615223.7199998</v>
      </c>
    </row>
    <row r="191" spans="1:22" ht="7.2" customHeight="1">
      <c r="A191" s="36"/>
      <c r="B191" s="37"/>
      <c r="C191" s="37"/>
      <c r="D191" s="49"/>
      <c r="E191" s="49"/>
      <c r="F191" s="49"/>
      <c r="G191" s="86"/>
      <c r="H191" s="38"/>
      <c r="I191" s="44"/>
      <c r="J191" s="40"/>
      <c r="K191" s="87"/>
      <c r="L191" s="40"/>
      <c r="M191" s="40"/>
      <c r="N191" s="41"/>
      <c r="O191" s="42"/>
      <c r="P191" s="106"/>
      <c r="Q191" s="106"/>
      <c r="R191" s="38"/>
      <c r="S191" s="38"/>
      <c r="T191" s="45"/>
      <c r="U191" s="94"/>
      <c r="V191" s="45"/>
    </row>
    <row r="192" spans="1:22" ht="15" customHeight="1">
      <c r="A192" s="155" t="s">
        <v>225</v>
      </c>
      <c r="B192" s="155"/>
      <c r="C192" s="155"/>
      <c r="D192" s="155"/>
      <c r="E192" s="155"/>
      <c r="F192" s="155"/>
      <c r="G192" s="155"/>
      <c r="H192" s="155"/>
      <c r="I192" s="155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</row>
    <row r="193" spans="1:22" ht="15" customHeight="1">
      <c r="A193" s="65">
        <v>160</v>
      </c>
      <c r="B193" s="45" t="s">
        <v>226</v>
      </c>
      <c r="C193" s="55" t="s">
        <v>122</v>
      </c>
      <c r="D193" s="69">
        <v>111840311.56</v>
      </c>
      <c r="E193" s="69">
        <v>2582798.9700000002</v>
      </c>
      <c r="F193" s="69">
        <v>12536560</v>
      </c>
      <c r="G193" s="45">
        <v>2804067.82</v>
      </c>
      <c r="H193" s="38">
        <f t="shared" ref="H193" si="110">(E193+F193)-G193</f>
        <v>12315291.15</v>
      </c>
      <c r="I193" s="121">
        <v>186641861.13999999</v>
      </c>
      <c r="J193" s="40">
        <f t="shared" ref="J193" si="111">(I193/$I$194)</f>
        <v>3.7273007946326568E-3</v>
      </c>
      <c r="K193" s="61">
        <v>196035946.75</v>
      </c>
      <c r="L193" s="40">
        <f t="shared" ref="L193" si="112">(K193/$K$194)</f>
        <v>4.1145519042395419E-3</v>
      </c>
      <c r="M193" s="40">
        <f t="shared" ref="M193" si="113">((K193-I193)/I193)</f>
        <v>5.0332147100448782E-2</v>
      </c>
      <c r="N193" s="56">
        <f t="shared" ref="N193" si="114">(G193/K193)</f>
        <v>1.4303845118650413E-2</v>
      </c>
      <c r="O193" s="57">
        <f t="shared" ref="O193" si="115">H193/K193</f>
        <v>6.2821596519261849E-2</v>
      </c>
      <c r="P193" s="107">
        <f t="shared" ref="P193" si="116">K193/V193</f>
        <v>1068.024771179515</v>
      </c>
      <c r="Q193" s="107">
        <f t="shared" ref="Q193" si="117">H193/V193</f>
        <v>67.095021247616458</v>
      </c>
      <c r="R193" s="38">
        <v>1068.02</v>
      </c>
      <c r="S193" s="38">
        <v>1068.02</v>
      </c>
      <c r="T193" s="45">
        <v>75</v>
      </c>
      <c r="U193" s="45">
        <v>182675</v>
      </c>
      <c r="V193" s="45">
        <v>183550</v>
      </c>
    </row>
    <row r="194" spans="1:22" ht="15" customHeight="1">
      <c r="A194" s="146" t="s">
        <v>51</v>
      </c>
      <c r="B194" s="146"/>
      <c r="C194" s="146"/>
      <c r="D194" s="146"/>
      <c r="E194" s="146"/>
      <c r="F194" s="146"/>
      <c r="G194" s="146"/>
      <c r="H194" s="146"/>
      <c r="I194" s="53">
        <f>SUM(I176:I193)</f>
        <v>50074268599.080002</v>
      </c>
      <c r="J194" s="109">
        <f>(I194/$I$195)</f>
        <v>1.554327328115008E-2</v>
      </c>
      <c r="K194" s="52">
        <f>SUM(K176:K193)</f>
        <v>47644543394.38736</v>
      </c>
      <c r="L194" s="109">
        <f>(K194/$K$195)</f>
        <v>1.4311090460290554E-2</v>
      </c>
      <c r="M194" s="50">
        <f t="shared" si="99"/>
        <v>-4.8522430235501887E-2</v>
      </c>
      <c r="N194" s="41"/>
      <c r="O194" s="41"/>
      <c r="P194" s="108"/>
      <c r="Q194" s="108"/>
      <c r="R194" s="53"/>
      <c r="S194" s="53"/>
      <c r="T194" s="53">
        <f>SUM(T176:T193)</f>
        <v>12718</v>
      </c>
      <c r="U194" s="53"/>
      <c r="V194" s="53"/>
    </row>
    <row r="195" spans="1:22" ht="15" customHeight="1">
      <c r="A195" s="154" t="s">
        <v>208</v>
      </c>
      <c r="B195" s="154"/>
      <c r="C195" s="154"/>
      <c r="D195" s="154"/>
      <c r="E195" s="154"/>
      <c r="F195" s="154"/>
      <c r="G195" s="154"/>
      <c r="H195" s="154"/>
      <c r="I195" s="81">
        <f>SUM(I22,I59,I95,I128,I136,I166,I172,I194)</f>
        <v>3221603821365.4116</v>
      </c>
      <c r="J195" s="78"/>
      <c r="K195" s="77">
        <f>SUM(K22,K59,K95,K128,K136,K166,K172,K194)</f>
        <v>3329204264803.4556</v>
      </c>
      <c r="L195" s="78"/>
      <c r="M195" s="78"/>
      <c r="N195" s="79"/>
      <c r="O195" s="79"/>
      <c r="P195" s="80"/>
      <c r="Q195" s="80"/>
      <c r="R195" s="81"/>
      <c r="S195" s="81"/>
      <c r="T195" s="81">
        <f>SUM(T22,T59,T95,T128,T136,T166,T172,T194)</f>
        <v>733645</v>
      </c>
      <c r="U195" s="81"/>
      <c r="V195" s="81"/>
    </row>
    <row r="196" spans="1:22">
      <c r="A196" s="15" t="s">
        <v>209</v>
      </c>
      <c r="B196" s="14" t="s">
        <v>263</v>
      </c>
      <c r="C196" s="11"/>
      <c r="D196" s="9"/>
      <c r="E196" s="9"/>
      <c r="F196" s="9"/>
      <c r="G196" s="9"/>
      <c r="H196" s="10"/>
      <c r="I196" s="12"/>
      <c r="J196" s="9"/>
      <c r="K196" s="12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3"/>
    </row>
  </sheetData>
  <sheetProtection algorithmName="SHA-512" hashValue="eRzrDXIHpnoC73SKu9RqUMp26FqQ++BRtPC9yOrNIJb6eeAvNAOzqJ8jPntul+C6Ti7hbXBzvybuzhYke5A1MQ==" saltValue="shSbYKDyYY1RZ7Qh8UpJtA==" spinCount="100000" sheet="1" objects="1" scenarios="1"/>
  <mergeCells count="33">
    <mergeCell ref="A194:H194"/>
    <mergeCell ref="A195:H195"/>
    <mergeCell ref="A173:V173"/>
    <mergeCell ref="A174:V174"/>
    <mergeCell ref="A175:V175"/>
    <mergeCell ref="A178:V178"/>
    <mergeCell ref="A179:V179"/>
    <mergeCell ref="A192:V192"/>
    <mergeCell ref="A138:V138"/>
    <mergeCell ref="A166:H166"/>
    <mergeCell ref="A167:V167"/>
    <mergeCell ref="A168:V168"/>
    <mergeCell ref="A172:H172"/>
    <mergeCell ref="A128:H128"/>
    <mergeCell ref="A129:V129"/>
    <mergeCell ref="A130:V130"/>
    <mergeCell ref="A136:H136"/>
    <mergeCell ref="A137:V137"/>
    <mergeCell ref="A96:V96"/>
    <mergeCell ref="A97:V97"/>
    <mergeCell ref="A98:V98"/>
    <mergeCell ref="A114:V114"/>
    <mergeCell ref="A115:V115"/>
    <mergeCell ref="A24:V24"/>
    <mergeCell ref="A59:H59"/>
    <mergeCell ref="A60:V60"/>
    <mergeCell ref="A61:V61"/>
    <mergeCell ref="A95:H95"/>
    <mergeCell ref="A1:V1"/>
    <mergeCell ref="A3:V3"/>
    <mergeCell ref="A4:V4"/>
    <mergeCell ref="A22:H22"/>
    <mergeCell ref="A23:V23"/>
  </mergeCells>
  <pageMargins left="0.7" right="0.7" top="0.75" bottom="0.75" header="0.3" footer="0.3"/>
  <pageSetup scale="83" orientation="portrait" r:id="rId1"/>
  <colBreaks count="1" manualBreakCount="1">
    <brk id="3" max="1048575" man="1"/>
  </colBreaks>
  <ignoredErrors>
    <ignoredError sqref="E131:G131" numberStoredAsText="1"/>
    <ignoredError sqref="J136 J194 J172 J166 J128 J95 J59 J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H7" sqref="H7"/>
    </sheetView>
  </sheetViews>
  <sheetFormatPr defaultColWidth="9" defaultRowHeight="14.4"/>
  <cols>
    <col min="1" max="1" width="34" customWidth="1"/>
    <col min="2" max="2" width="13.6640625" customWidth="1"/>
    <col min="3" max="3" width="15.88671875" customWidth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1"/>
      <c r="B3" s="1"/>
      <c r="C3" s="1"/>
      <c r="D3" s="1"/>
      <c r="E3" s="5"/>
    </row>
    <row r="4" spans="1:5" ht="33" customHeight="1">
      <c r="A4" s="124" t="s">
        <v>210</v>
      </c>
      <c r="B4" s="125" t="s">
        <v>266</v>
      </c>
      <c r="C4" s="125" t="s">
        <v>267</v>
      </c>
      <c r="D4" s="1"/>
      <c r="E4" s="5"/>
    </row>
    <row r="5" spans="1:5" ht="18.899999999999999" customHeight="1">
      <c r="A5" s="126" t="s">
        <v>20</v>
      </c>
      <c r="B5" s="127">
        <v>26.570099191139999</v>
      </c>
      <c r="C5" s="128">
        <f>'August 2024'!K22/1000000000</f>
        <v>27.956237844254819</v>
      </c>
      <c r="D5" s="1"/>
      <c r="E5" s="5"/>
    </row>
    <row r="6" spans="1:5" ht="15.6">
      <c r="A6" s="124" t="s">
        <v>52</v>
      </c>
      <c r="B6" s="127">
        <v>1191.3584606015797</v>
      </c>
      <c r="C6" s="128">
        <f>'August 2024'!K59/1000000000</f>
        <v>1279.2828340185954</v>
      </c>
      <c r="D6" s="1"/>
      <c r="E6" s="5"/>
    </row>
    <row r="7" spans="1:5" ht="15.6">
      <c r="A7" s="124" t="s">
        <v>211</v>
      </c>
      <c r="B7" s="127">
        <v>222.01574734914996</v>
      </c>
      <c r="C7" s="128">
        <f>'August 2024'!K95/1000000000</f>
        <v>214.36943685518125</v>
      </c>
      <c r="D7" s="1"/>
      <c r="E7" s="5"/>
    </row>
    <row r="8" spans="1:5" ht="15.6">
      <c r="A8" s="124" t="s">
        <v>212</v>
      </c>
      <c r="B8" s="127">
        <v>1579.0380214774918</v>
      </c>
      <c r="C8" s="128">
        <f>'August 2024'!K128/1000000000</f>
        <v>1607.0147849555251</v>
      </c>
      <c r="D8" s="1"/>
      <c r="E8" s="5"/>
    </row>
    <row r="9" spans="1:5" ht="15.6">
      <c r="A9" s="124" t="s">
        <v>213</v>
      </c>
      <c r="B9" s="127">
        <v>98.739677765599993</v>
      </c>
      <c r="C9" s="128">
        <f>'August 2024'!K136/1000000000</f>
        <v>97.521864991480001</v>
      </c>
      <c r="D9" s="1"/>
      <c r="E9" s="5"/>
    </row>
    <row r="10" spans="1:5" ht="15.6">
      <c r="A10" s="124" t="s">
        <v>166</v>
      </c>
      <c r="B10" s="127">
        <v>48.663828318699998</v>
      </c>
      <c r="C10" s="128">
        <f>'August 2024'!K166/1000000000</f>
        <v>50.134598322551852</v>
      </c>
      <c r="D10" s="1"/>
      <c r="E10" s="5"/>
    </row>
    <row r="11" spans="1:5" ht="15.6">
      <c r="A11" s="124" t="s">
        <v>192</v>
      </c>
      <c r="B11" s="127">
        <v>5.1437180626699996</v>
      </c>
      <c r="C11" s="128">
        <f>'August 2024'!K172/1000000000</f>
        <v>5.2799644214799999</v>
      </c>
      <c r="D11" s="1"/>
      <c r="E11" s="5"/>
    </row>
    <row r="12" spans="1:5" ht="15.6">
      <c r="A12" s="124" t="s">
        <v>214</v>
      </c>
      <c r="B12" s="127">
        <v>49.887626737940003</v>
      </c>
      <c r="C12" s="128">
        <f>'August 2024'!K194/1000000000</f>
        <v>47.644543394387362</v>
      </c>
      <c r="D12" s="1"/>
      <c r="E12" s="5"/>
    </row>
    <row r="13" spans="1:5">
      <c r="A13" s="1"/>
      <c r="B13" s="1"/>
      <c r="C13" s="1"/>
      <c r="D13" s="1"/>
      <c r="E13" s="5"/>
    </row>
    <row r="14" spans="1:5">
      <c r="A14" s="5"/>
      <c r="B14" s="5"/>
      <c r="C14" s="5"/>
      <c r="D14" s="5"/>
      <c r="E14" s="5"/>
    </row>
    <row r="15" spans="1:5">
      <c r="A15" s="5"/>
      <c r="B15" s="5"/>
      <c r="C15" s="5"/>
      <c r="D15" s="5"/>
      <c r="E15" s="5"/>
    </row>
    <row r="16" spans="1:5">
      <c r="A16" s="5"/>
      <c r="B16" s="18"/>
      <c r="C16" s="19"/>
      <c r="D16" s="5"/>
      <c r="E16" s="5"/>
    </row>
    <row r="17" spans="1:5">
      <c r="A17" s="20"/>
      <c r="B17" s="21"/>
      <c r="C17" s="22"/>
      <c r="D17" s="5"/>
      <c r="E17" s="5"/>
    </row>
    <row r="18" spans="1:5" ht="15.6">
      <c r="A18" s="17"/>
      <c r="B18" s="23"/>
      <c r="C18" s="24"/>
      <c r="D18" s="5"/>
      <c r="E18" s="5"/>
    </row>
    <row r="19" spans="1:5">
      <c r="A19" s="25"/>
      <c r="B19" s="21"/>
      <c r="C19" s="26"/>
      <c r="D19" s="5"/>
      <c r="E19" s="5"/>
    </row>
    <row r="20" spans="1:5">
      <c r="A20" s="25"/>
      <c r="B20" s="23"/>
      <c r="C20" s="24"/>
      <c r="D20" s="5"/>
      <c r="E20" s="5"/>
    </row>
    <row r="21" spans="1:5">
      <c r="A21" s="25"/>
      <c r="B21" s="21"/>
      <c r="C21" s="26"/>
      <c r="D21" s="5"/>
      <c r="E21" s="5"/>
    </row>
    <row r="22" spans="1:5">
      <c r="A22" s="25"/>
      <c r="B22" s="27"/>
      <c r="C22" s="28"/>
      <c r="D22" s="5"/>
      <c r="E22" s="5"/>
    </row>
    <row r="23" spans="1:5">
      <c r="A23" s="25"/>
      <c r="B23" s="21"/>
      <c r="C23" s="26"/>
      <c r="D23" s="5"/>
      <c r="E23" s="5"/>
    </row>
    <row r="24" spans="1:5">
      <c r="A24" s="25"/>
      <c r="B24" s="21"/>
      <c r="C24" s="21"/>
      <c r="D24" s="5"/>
      <c r="E24" s="5"/>
    </row>
    <row r="25" spans="1:5">
      <c r="A25" s="25"/>
      <c r="B25" s="21"/>
      <c r="C25" s="21"/>
      <c r="D25" s="5"/>
      <c r="E25" s="5"/>
    </row>
    <row r="26" spans="1:5">
      <c r="A26" s="2"/>
      <c r="B26" s="4"/>
      <c r="C26" s="4"/>
      <c r="D26" s="1"/>
    </row>
    <row r="27" spans="1:5">
      <c r="B27" s="5"/>
      <c r="C27" s="5"/>
    </row>
    <row r="28" spans="1:5">
      <c r="B28" s="5"/>
      <c r="C28" s="5"/>
    </row>
  </sheetData>
  <sheetProtection algorithmName="SHA-512" hashValue="hE6EGjdV6HD7Z/lEDANHBFDJomnganRHlVOde03OiHTKo99UxXZsIOMckYpUrcrSCcsNdc3F1y2J5JECvH9NAA==" saltValue="7PY96gm57mQC9aloCrO5l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85" zoomScaleNormal="85" workbookViewId="0">
      <selection activeCell="L11" sqref="L11"/>
    </sheetView>
  </sheetViews>
  <sheetFormatPr defaultColWidth="9" defaultRowHeight="14.4"/>
  <cols>
    <col min="1" max="1" width="26.6640625" customWidth="1"/>
    <col min="2" max="2" width="21.33203125" customWidth="1"/>
  </cols>
  <sheetData>
    <row r="1" spans="1:4">
      <c r="A1" s="129" t="s">
        <v>210</v>
      </c>
      <c r="B1" s="130" t="s">
        <v>267</v>
      </c>
      <c r="C1" s="1"/>
      <c r="D1" s="5"/>
    </row>
    <row r="2" spans="1:4">
      <c r="A2" s="129" t="s">
        <v>192</v>
      </c>
      <c r="B2" s="131">
        <f>'August 2024'!K172</f>
        <v>5279964421.4799995</v>
      </c>
      <c r="C2" s="1"/>
      <c r="D2" s="5"/>
    </row>
    <row r="3" spans="1:4">
      <c r="A3" s="129" t="s">
        <v>20</v>
      </c>
      <c r="B3" s="132">
        <f>'August 2024'!K22</f>
        <v>27956237844.254818</v>
      </c>
      <c r="C3" s="1"/>
      <c r="D3" s="5"/>
    </row>
    <row r="4" spans="1:4">
      <c r="A4" s="129" t="s">
        <v>214</v>
      </c>
      <c r="B4" s="133">
        <f>'August 2024'!K194</f>
        <v>47644543394.38736</v>
      </c>
      <c r="C4" s="1"/>
      <c r="D4" s="5"/>
    </row>
    <row r="5" spans="1:4">
      <c r="A5" s="129" t="s">
        <v>166</v>
      </c>
      <c r="B5" s="133">
        <f>'August 2024'!K166</f>
        <v>50134598322.551849</v>
      </c>
      <c r="C5" s="1"/>
      <c r="D5" s="5"/>
    </row>
    <row r="6" spans="1:4">
      <c r="A6" s="129" t="s">
        <v>213</v>
      </c>
      <c r="B6" s="134">
        <f>'August 2024'!K136</f>
        <v>97521864991.479996</v>
      </c>
      <c r="C6" s="1"/>
      <c r="D6" s="5"/>
    </row>
    <row r="7" spans="1:4">
      <c r="A7" s="129" t="s">
        <v>211</v>
      </c>
      <c r="B7" s="134">
        <f>'August 2024'!K95</f>
        <v>214369436855.18124</v>
      </c>
      <c r="C7" s="1"/>
      <c r="D7" s="5"/>
    </row>
    <row r="8" spans="1:4">
      <c r="A8" s="129" t="s">
        <v>52</v>
      </c>
      <c r="B8" s="133">
        <f>'August 2024'!K59</f>
        <v>1279282834018.5955</v>
      </c>
      <c r="C8" s="1"/>
      <c r="D8" s="5"/>
    </row>
    <row r="9" spans="1:4">
      <c r="A9" s="129" t="s">
        <v>212</v>
      </c>
      <c r="B9" s="135">
        <f>'August 2024'!K128</f>
        <v>1607014784955.5251</v>
      </c>
      <c r="C9" s="1"/>
      <c r="D9" s="5"/>
    </row>
    <row r="10" spans="1:4">
      <c r="A10" s="1"/>
      <c r="B10" s="1"/>
      <c r="C10" s="1"/>
      <c r="D10" s="5"/>
    </row>
    <row r="11" spans="1:4">
      <c r="A11" s="136"/>
      <c r="B11" s="1"/>
      <c r="C11" s="1"/>
      <c r="D11" s="5"/>
    </row>
    <row r="12" spans="1:4">
      <c r="A12" s="137"/>
      <c r="B12" s="1"/>
      <c r="C12" s="1"/>
      <c r="D12" s="5"/>
    </row>
    <row r="13" spans="1:4" ht="15" customHeight="1">
      <c r="A13" s="129"/>
      <c r="B13" s="138"/>
      <c r="C13" s="1"/>
      <c r="D13" s="5"/>
    </row>
    <row r="14" spans="1:4">
      <c r="A14" s="30"/>
      <c r="B14" s="29"/>
      <c r="C14" s="5"/>
      <c r="D14" s="5"/>
    </row>
    <row r="15" spans="1:4">
      <c r="A15" s="30"/>
      <c r="B15" s="29"/>
      <c r="C15" s="5"/>
      <c r="D15" s="5"/>
    </row>
    <row r="16" spans="1:4">
      <c r="A16" s="31"/>
      <c r="B16" s="29"/>
      <c r="C16" s="5"/>
      <c r="D16" s="5"/>
    </row>
    <row r="17" spans="1:17">
      <c r="A17" s="31"/>
      <c r="B17" s="29"/>
      <c r="C17" s="5"/>
      <c r="D17" s="5"/>
    </row>
    <row r="18" spans="1:17">
      <c r="A18" s="30"/>
      <c r="B18" s="29"/>
      <c r="C18" s="5"/>
      <c r="D18" s="5"/>
    </row>
    <row r="19" spans="1:17">
      <c r="A19" s="16"/>
      <c r="B19" s="29"/>
      <c r="C19" s="5"/>
      <c r="D19" s="5"/>
    </row>
    <row r="20" spans="1:17">
      <c r="A20" s="32"/>
      <c r="B20" s="29"/>
      <c r="C20" s="5"/>
      <c r="D20" s="5"/>
    </row>
    <row r="21" spans="1:17">
      <c r="A21" s="25"/>
      <c r="B21" s="33"/>
      <c r="C21" s="5"/>
      <c r="D21" s="5"/>
    </row>
    <row r="22" spans="1:17">
      <c r="A22" s="5"/>
      <c r="B22" s="23"/>
      <c r="C22" s="5"/>
      <c r="D22" s="5"/>
    </row>
    <row r="23" spans="1:17">
      <c r="A23" s="5"/>
      <c r="B23" s="5"/>
      <c r="C23" s="5"/>
      <c r="D23" s="5"/>
    </row>
    <row r="24" spans="1:17">
      <c r="A24" s="5"/>
      <c r="B24" s="5"/>
      <c r="C24" s="5"/>
      <c r="D24" s="5"/>
    </row>
    <row r="25" spans="1:17">
      <c r="A25" s="5"/>
      <c r="B25" s="5"/>
      <c r="C25" s="5"/>
      <c r="D25" s="5"/>
    </row>
    <row r="26" spans="1:17">
      <c r="A26" s="5"/>
      <c r="B26" s="5"/>
      <c r="C26" s="5"/>
      <c r="D26" s="5"/>
    </row>
    <row r="32" spans="1:17" ht="15.9" customHeight="1">
      <c r="A32" s="156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3"/>
    </row>
    <row r="33" spans="1:17">
      <c r="A33" s="156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3"/>
    </row>
  </sheetData>
  <sheetProtection algorithmName="SHA-512" hashValue="sOvJI6sUqvKNVuTG4H9QsoTMR7dnoa966Xg8jFe/4OsKKCfJhQ0+bZeENfLvfGxr7qBvvLkAXFSvaV99EhVQcQ==" saltValue="32rOVLTMVH+0dcJcfoKupg==" spinCount="100000" sheet="1" objects="1" scenarios="1"/>
  <sortState ref="A13:A19">
    <sortCondition ref="A12:A1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F7" sqref="F7"/>
    </sheetView>
  </sheetViews>
  <sheetFormatPr defaultColWidth="9" defaultRowHeight="14.4"/>
  <cols>
    <col min="1" max="1" width="34.6640625" customWidth="1"/>
    <col min="2" max="2" width="15" customWidth="1"/>
  </cols>
  <sheetData>
    <row r="1" spans="1:4">
      <c r="A1" s="5"/>
      <c r="B1" s="5"/>
      <c r="C1" s="5"/>
      <c r="D1" s="5"/>
    </row>
    <row r="2" spans="1:4">
      <c r="A2" s="5"/>
      <c r="B2" s="5"/>
      <c r="C2" s="5"/>
      <c r="D2" s="5"/>
    </row>
    <row r="3" spans="1:4">
      <c r="A3" s="1"/>
      <c r="B3" s="1"/>
      <c r="C3" s="1"/>
      <c r="D3" s="5"/>
    </row>
    <row r="4" spans="1:4">
      <c r="A4" s="1"/>
      <c r="B4" s="1"/>
      <c r="C4" s="1"/>
      <c r="D4" s="5"/>
    </row>
    <row r="5" spans="1:4" ht="15.6">
      <c r="A5" s="139" t="s">
        <v>210</v>
      </c>
      <c r="B5" s="140" t="s">
        <v>215</v>
      </c>
      <c r="C5" s="1"/>
      <c r="D5" s="5"/>
    </row>
    <row r="6" spans="1:4">
      <c r="A6" s="141" t="s">
        <v>20</v>
      </c>
      <c r="B6" s="142">
        <f>'August 2024'!T22</f>
        <v>48993</v>
      </c>
      <c r="C6" s="1"/>
      <c r="D6" s="5"/>
    </row>
    <row r="7" spans="1:4">
      <c r="A7" s="141" t="s">
        <v>52</v>
      </c>
      <c r="B7" s="142">
        <f>'August 2024'!T59</f>
        <v>310278</v>
      </c>
      <c r="C7" s="1"/>
      <c r="D7" s="5"/>
    </row>
    <row r="8" spans="1:4">
      <c r="A8" s="141" t="s">
        <v>211</v>
      </c>
      <c r="B8" s="142">
        <f>'August 2024'!T95</f>
        <v>45217</v>
      </c>
      <c r="C8" s="1"/>
      <c r="D8" s="5"/>
    </row>
    <row r="9" spans="1:4">
      <c r="A9" s="141" t="s">
        <v>212</v>
      </c>
      <c r="B9" s="142">
        <f>'August 2024'!T128</f>
        <v>17213</v>
      </c>
      <c r="C9" s="1"/>
      <c r="D9" s="5"/>
    </row>
    <row r="10" spans="1:4">
      <c r="A10" s="141" t="s">
        <v>213</v>
      </c>
      <c r="B10" s="142">
        <f>'August 2024'!T136</f>
        <v>216992</v>
      </c>
      <c r="C10" s="1"/>
      <c r="D10" s="5"/>
    </row>
    <row r="11" spans="1:4">
      <c r="A11" s="141" t="s">
        <v>166</v>
      </c>
      <c r="B11" s="142">
        <f>'August 2024'!T166</f>
        <v>69018</v>
      </c>
      <c r="C11" s="1"/>
      <c r="D11" s="5"/>
    </row>
    <row r="12" spans="1:4">
      <c r="A12" s="141" t="s">
        <v>192</v>
      </c>
      <c r="B12" s="142">
        <f>'August 2024'!T172</f>
        <v>13216</v>
      </c>
      <c r="C12" s="1"/>
      <c r="D12" s="5"/>
    </row>
    <row r="13" spans="1:4">
      <c r="A13" s="141" t="s">
        <v>214</v>
      </c>
      <c r="B13" s="142">
        <f>'August 2024'!T194</f>
        <v>12718</v>
      </c>
      <c r="C13" s="1"/>
      <c r="D13" s="5"/>
    </row>
    <row r="14" spans="1:4">
      <c r="A14" s="1"/>
      <c r="B14" s="1"/>
      <c r="C14" s="1"/>
      <c r="D14" s="5"/>
    </row>
    <row r="15" spans="1:4">
      <c r="A15" s="1"/>
      <c r="B15" s="1"/>
      <c r="C15" s="1"/>
      <c r="D15" s="5"/>
    </row>
    <row r="16" spans="1:4">
      <c r="A16" s="1"/>
      <c r="B16" s="1"/>
      <c r="C16" s="1"/>
      <c r="D16" s="5"/>
    </row>
    <row r="17" spans="1:4">
      <c r="A17" s="1"/>
      <c r="B17" s="1"/>
      <c r="C17" s="1"/>
      <c r="D17" s="5"/>
    </row>
    <row r="18" spans="1:4">
      <c r="A18" s="5"/>
      <c r="B18" s="5"/>
      <c r="C18" s="5"/>
      <c r="D18" s="5"/>
    </row>
    <row r="19" spans="1:4">
      <c r="A19" s="5"/>
      <c r="B19" s="5"/>
      <c r="C19" s="5"/>
      <c r="D19" s="5"/>
    </row>
    <row r="20" spans="1:4">
      <c r="A20" s="5"/>
      <c r="B20" s="5"/>
      <c r="C20" s="5"/>
      <c r="D20" s="5"/>
    </row>
    <row r="21" spans="1:4">
      <c r="A21" s="5"/>
      <c r="B21" s="5"/>
      <c r="C21" s="5"/>
      <c r="D21" s="5"/>
    </row>
  </sheetData>
  <sheetProtection algorithmName="SHA-512" hashValue="RY9BDF6ifwtThfSxyR+RO/bQJI+EKqcv/frSBF1zWxZRyMBeqPX9H21yQb5383e29R4yCB2bSAYLrn4K/K6NrQ==" saltValue="x31q5n6magAfTZa9uQqoMw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August 2024</vt:lpstr>
      <vt:lpstr>NAV Comparison</vt:lpstr>
      <vt:lpstr>Market Share</vt:lpstr>
      <vt:lpstr>Unitholders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cp:lastPrinted>2024-12-20T14:59:31Z</cp:lastPrinted>
  <dcterms:created xsi:type="dcterms:W3CDTF">2023-10-09T09:40:00Z</dcterms:created>
  <dcterms:modified xsi:type="dcterms:W3CDTF">2025-03-10T13:15:46Z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054E73640F5C4E6A998570FE791E2000_13</vt:lpwstr>
  </property>
  <property fmtid="{D5CDD505-2E9C-101B-9397-08002B2CF9AE}" pid="3" name="KSOProductBuildVer">
    <vt:lpwstr>1033-12.2.0.13266</vt:lpwstr>
  </property>
</Properties>
</file>