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USER\Desktop\Tunde Isaac\Monthly Spreadsheet of Mutual Funds\Monthly Mutal Fund Updates 2023\"/>
    </mc:Choice>
  </mc:AlternateContent>
  <xr:revisionPtr revIDLastSave="0" documentId="13_ncr:1_{3C3FBDF1-97DB-4852-8999-22048595ACA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rch 2023" sheetId="7" r:id="rId1"/>
    <sheet name="NAV Comparison" sheetId="2" r:id="rId2"/>
    <sheet name="Market Share" sheetId="3" r:id="rId3"/>
    <sheet name="Unitholders" sheetId="6" r:id="rId4"/>
  </sheets>
  <externalReferences>
    <externalReference r:id="rId5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2" l="1"/>
  <c r="B11" i="2"/>
  <c r="B10" i="2"/>
  <c r="B9" i="2"/>
  <c r="B8" i="2"/>
  <c r="B7" i="2"/>
  <c r="B6" i="2"/>
  <c r="B5" i="2"/>
  <c r="L167" i="7" l="1"/>
  <c r="D12" i="2"/>
  <c r="D11" i="2"/>
  <c r="D10" i="2"/>
  <c r="D9" i="2"/>
  <c r="D8" i="2"/>
  <c r="D7" i="2"/>
  <c r="D6" i="2"/>
  <c r="D5" i="2"/>
  <c r="C12" i="2"/>
  <c r="C11" i="2"/>
  <c r="C10" i="2"/>
  <c r="C9" i="2"/>
  <c r="C8" i="2"/>
  <c r="C7" i="2"/>
  <c r="C6" i="2"/>
  <c r="C5" i="2"/>
  <c r="L97" i="7"/>
  <c r="L98" i="7"/>
  <c r="L99" i="7"/>
  <c r="M115" i="7"/>
  <c r="N115" i="7"/>
  <c r="O115" i="7"/>
  <c r="P115" i="7"/>
  <c r="M116" i="7"/>
  <c r="N116" i="7"/>
  <c r="O116" i="7"/>
  <c r="P116" i="7"/>
  <c r="M117" i="7"/>
  <c r="N117" i="7"/>
  <c r="O117" i="7"/>
  <c r="P117" i="7"/>
  <c r="I160" i="7" l="1"/>
  <c r="I161" i="7"/>
  <c r="I162" i="7"/>
  <c r="I163" i="7"/>
  <c r="I164" i="7"/>
  <c r="I165" i="7"/>
  <c r="I122" i="7"/>
  <c r="I123" i="7"/>
  <c r="I124" i="7"/>
  <c r="I125" i="7"/>
  <c r="I126" i="7"/>
  <c r="I127" i="7"/>
  <c r="I128" i="7"/>
  <c r="I129" i="7"/>
  <c r="I130" i="7"/>
  <c r="I131" i="7"/>
  <c r="I132" i="7"/>
  <c r="I133" i="7"/>
  <c r="I134" i="7"/>
  <c r="I135" i="7"/>
  <c r="I136" i="7"/>
  <c r="I137" i="7"/>
  <c r="I138" i="7"/>
  <c r="I139" i="7"/>
  <c r="I140" i="7"/>
  <c r="I141" i="7"/>
  <c r="I142" i="7"/>
  <c r="I143" i="7"/>
  <c r="I144" i="7"/>
  <c r="K115" i="7"/>
  <c r="K116" i="7"/>
  <c r="K117" i="7"/>
  <c r="I115" i="7"/>
  <c r="I116" i="7"/>
  <c r="I117" i="7"/>
  <c r="I103" i="7"/>
  <c r="I104" i="7"/>
  <c r="I105" i="7"/>
  <c r="I106" i="7"/>
  <c r="I107" i="7"/>
  <c r="I108" i="7"/>
  <c r="I109" i="7"/>
  <c r="I110" i="7"/>
  <c r="K103" i="7"/>
  <c r="K104" i="7"/>
  <c r="K105" i="7"/>
  <c r="K106" i="7"/>
  <c r="K107" i="7"/>
  <c r="K108" i="7"/>
  <c r="K109" i="7"/>
  <c r="K110" i="7"/>
  <c r="L91" i="7"/>
  <c r="L92" i="7"/>
  <c r="L93" i="7"/>
  <c r="L94" i="7"/>
  <c r="L95" i="7"/>
  <c r="L96" i="7"/>
  <c r="K91" i="7"/>
  <c r="K92" i="7"/>
  <c r="K93" i="7"/>
  <c r="K94" i="7"/>
  <c r="K95" i="7"/>
  <c r="K96" i="7"/>
  <c r="K97" i="7"/>
  <c r="K98" i="7"/>
  <c r="K99" i="7"/>
  <c r="I91" i="7"/>
  <c r="I92" i="7"/>
  <c r="I93" i="7"/>
  <c r="I94" i="7"/>
  <c r="I95" i="7"/>
  <c r="I96" i="7"/>
  <c r="I97" i="7"/>
  <c r="I98" i="7"/>
  <c r="I99" i="7"/>
  <c r="P98" i="7"/>
  <c r="O98" i="7"/>
  <c r="N98" i="7"/>
  <c r="M98" i="7"/>
  <c r="L149" i="7"/>
  <c r="L150" i="7"/>
  <c r="M92" i="7"/>
  <c r="N92" i="7"/>
  <c r="O92" i="7"/>
  <c r="P92" i="7"/>
  <c r="M93" i="7"/>
  <c r="N93" i="7"/>
  <c r="O93" i="7"/>
  <c r="P93" i="7"/>
  <c r="M94" i="7"/>
  <c r="N94" i="7"/>
  <c r="O94" i="7"/>
  <c r="P94" i="7"/>
  <c r="M99" i="7"/>
  <c r="N99" i="7"/>
  <c r="O99" i="7"/>
  <c r="P99" i="7"/>
  <c r="M57" i="7"/>
  <c r="N57" i="7"/>
  <c r="O57" i="7"/>
  <c r="P57" i="7"/>
  <c r="M58" i="7"/>
  <c r="N58" i="7"/>
  <c r="O58" i="7"/>
  <c r="P58" i="7"/>
  <c r="M59" i="7"/>
  <c r="N59" i="7"/>
  <c r="O59" i="7"/>
  <c r="P59" i="7"/>
  <c r="M60" i="7"/>
  <c r="N60" i="7"/>
  <c r="O60" i="7"/>
  <c r="P60" i="7"/>
  <c r="M61" i="7"/>
  <c r="N61" i="7"/>
  <c r="O61" i="7"/>
  <c r="P61" i="7"/>
  <c r="M62" i="7"/>
  <c r="N62" i="7"/>
  <c r="O62" i="7"/>
  <c r="P62" i="7"/>
  <c r="M63" i="7"/>
  <c r="N63" i="7"/>
  <c r="O63" i="7"/>
  <c r="P63" i="7"/>
  <c r="M64" i="7"/>
  <c r="N64" i="7"/>
  <c r="O64" i="7"/>
  <c r="P64" i="7"/>
  <c r="M65" i="7"/>
  <c r="N65" i="7"/>
  <c r="O65" i="7"/>
  <c r="P65" i="7"/>
  <c r="M66" i="7"/>
  <c r="N66" i="7"/>
  <c r="O66" i="7"/>
  <c r="P66" i="7"/>
  <c r="M67" i="7"/>
  <c r="N67" i="7"/>
  <c r="O67" i="7"/>
  <c r="P67" i="7"/>
  <c r="M68" i="7"/>
  <c r="N68" i="7"/>
  <c r="O68" i="7"/>
  <c r="P68" i="7"/>
  <c r="M69" i="7"/>
  <c r="N69" i="7"/>
  <c r="O69" i="7"/>
  <c r="P69" i="7"/>
  <c r="M70" i="7"/>
  <c r="N70" i="7"/>
  <c r="O70" i="7"/>
  <c r="P70" i="7"/>
  <c r="M71" i="7"/>
  <c r="N71" i="7"/>
  <c r="O71" i="7"/>
  <c r="P71" i="7"/>
  <c r="M72" i="7"/>
  <c r="N72" i="7"/>
  <c r="O72" i="7"/>
  <c r="P72" i="7"/>
  <c r="M73" i="7"/>
  <c r="N73" i="7"/>
  <c r="O73" i="7"/>
  <c r="P73" i="7"/>
  <c r="M74" i="7"/>
  <c r="N74" i="7"/>
  <c r="O74" i="7"/>
  <c r="P74" i="7"/>
  <c r="M75" i="7"/>
  <c r="N75" i="7"/>
  <c r="O75" i="7"/>
  <c r="P75" i="7"/>
  <c r="M76" i="7"/>
  <c r="N76" i="7"/>
  <c r="O76" i="7"/>
  <c r="P76" i="7"/>
  <c r="M77" i="7"/>
  <c r="N77" i="7"/>
  <c r="O77" i="7"/>
  <c r="P77" i="7"/>
  <c r="M78" i="7"/>
  <c r="N78" i="7"/>
  <c r="O78" i="7"/>
  <c r="P78" i="7"/>
  <c r="M79" i="7"/>
  <c r="N79" i="7"/>
  <c r="O79" i="7"/>
  <c r="P79" i="7"/>
  <c r="M80" i="7"/>
  <c r="N80" i="7"/>
  <c r="O80" i="7"/>
  <c r="P80" i="7"/>
  <c r="M81" i="7"/>
  <c r="N81" i="7"/>
  <c r="O81" i="7"/>
  <c r="P81" i="7"/>
  <c r="M82" i="7"/>
  <c r="N82" i="7"/>
  <c r="O82" i="7"/>
  <c r="P82" i="7"/>
  <c r="M83" i="7"/>
  <c r="N83" i="7"/>
  <c r="O83" i="7"/>
  <c r="P83" i="7"/>
  <c r="M84" i="7"/>
  <c r="N84" i="7"/>
  <c r="O84" i="7"/>
  <c r="P84" i="7"/>
  <c r="M85" i="7"/>
  <c r="N85" i="7"/>
  <c r="O85" i="7"/>
  <c r="P85" i="7"/>
  <c r="M25" i="7"/>
  <c r="N25" i="7"/>
  <c r="O25" i="7"/>
  <c r="P25" i="7"/>
  <c r="M26" i="7"/>
  <c r="N26" i="7"/>
  <c r="O26" i="7"/>
  <c r="P26" i="7"/>
  <c r="M27" i="7"/>
  <c r="N27" i="7"/>
  <c r="O27" i="7"/>
  <c r="P27" i="7"/>
  <c r="M28" i="7"/>
  <c r="N28" i="7"/>
  <c r="O28" i="7"/>
  <c r="P28" i="7"/>
  <c r="M29" i="7"/>
  <c r="N29" i="7"/>
  <c r="O29" i="7"/>
  <c r="P29" i="7"/>
  <c r="M30" i="7"/>
  <c r="N30" i="7"/>
  <c r="O30" i="7"/>
  <c r="P30" i="7"/>
  <c r="M31" i="7"/>
  <c r="N31" i="7"/>
  <c r="O31" i="7"/>
  <c r="P31" i="7"/>
  <c r="M32" i="7"/>
  <c r="N32" i="7"/>
  <c r="O32" i="7"/>
  <c r="P32" i="7"/>
  <c r="M33" i="7"/>
  <c r="N33" i="7"/>
  <c r="O33" i="7"/>
  <c r="P33" i="7"/>
  <c r="M34" i="7"/>
  <c r="N34" i="7"/>
  <c r="O34" i="7"/>
  <c r="P34" i="7"/>
  <c r="M35" i="7"/>
  <c r="N35" i="7"/>
  <c r="O35" i="7"/>
  <c r="P35" i="7"/>
  <c r="M36" i="7"/>
  <c r="N36" i="7"/>
  <c r="O36" i="7"/>
  <c r="P36" i="7"/>
  <c r="M37" i="7"/>
  <c r="N37" i="7"/>
  <c r="O37" i="7"/>
  <c r="P37" i="7"/>
  <c r="M38" i="7"/>
  <c r="N38" i="7"/>
  <c r="O38" i="7"/>
  <c r="P38" i="7"/>
  <c r="M39" i="7"/>
  <c r="N39" i="7"/>
  <c r="O39" i="7"/>
  <c r="P39" i="7"/>
  <c r="M40" i="7"/>
  <c r="N40" i="7"/>
  <c r="O40" i="7"/>
  <c r="P40" i="7"/>
  <c r="M41" i="7"/>
  <c r="N41" i="7"/>
  <c r="O41" i="7"/>
  <c r="P41" i="7"/>
  <c r="M42" i="7"/>
  <c r="N42" i="7"/>
  <c r="O42" i="7"/>
  <c r="P42" i="7"/>
  <c r="M43" i="7"/>
  <c r="N43" i="7"/>
  <c r="O43" i="7"/>
  <c r="P43" i="7"/>
  <c r="M44" i="7"/>
  <c r="N44" i="7"/>
  <c r="O44" i="7"/>
  <c r="P44" i="7"/>
  <c r="M45" i="7"/>
  <c r="N45" i="7"/>
  <c r="O45" i="7"/>
  <c r="P45" i="7"/>
  <c r="M46" i="7"/>
  <c r="N46" i="7"/>
  <c r="O46" i="7"/>
  <c r="P46" i="7"/>
  <c r="M47" i="7"/>
  <c r="N47" i="7"/>
  <c r="O47" i="7"/>
  <c r="P47" i="7"/>
  <c r="M48" i="7"/>
  <c r="N48" i="7"/>
  <c r="O48" i="7"/>
  <c r="P48" i="7"/>
  <c r="M49" i="7"/>
  <c r="N49" i="7"/>
  <c r="O49" i="7"/>
  <c r="P49" i="7"/>
  <c r="M50" i="7"/>
  <c r="N50" i="7"/>
  <c r="O50" i="7"/>
  <c r="P50" i="7"/>
  <c r="M51" i="7"/>
  <c r="N51" i="7"/>
  <c r="O51" i="7"/>
  <c r="P51" i="7"/>
  <c r="M52" i="7"/>
  <c r="N52" i="7"/>
  <c r="O52" i="7"/>
  <c r="P52" i="7"/>
  <c r="M6" i="7"/>
  <c r="N6" i="7"/>
  <c r="O6" i="7"/>
  <c r="P6" i="7"/>
  <c r="M7" i="7"/>
  <c r="N7" i="7"/>
  <c r="O7" i="7"/>
  <c r="P7" i="7"/>
  <c r="M8" i="7"/>
  <c r="N8" i="7"/>
  <c r="O8" i="7"/>
  <c r="P8" i="7"/>
  <c r="M9" i="7"/>
  <c r="N9" i="7"/>
  <c r="O9" i="7"/>
  <c r="P9" i="7"/>
  <c r="M10" i="7"/>
  <c r="N10" i="7"/>
  <c r="O10" i="7"/>
  <c r="P10" i="7"/>
  <c r="M11" i="7"/>
  <c r="N11" i="7"/>
  <c r="O11" i="7"/>
  <c r="P11" i="7"/>
  <c r="M12" i="7"/>
  <c r="N12" i="7"/>
  <c r="O12" i="7"/>
  <c r="P12" i="7"/>
  <c r="M13" i="7"/>
  <c r="N13" i="7"/>
  <c r="O13" i="7"/>
  <c r="P13" i="7"/>
  <c r="M14" i="7"/>
  <c r="N14" i="7"/>
  <c r="O14" i="7"/>
  <c r="P14" i="7"/>
  <c r="M15" i="7"/>
  <c r="N15" i="7"/>
  <c r="O15" i="7"/>
  <c r="P15" i="7"/>
  <c r="M16" i="7"/>
  <c r="N16" i="7"/>
  <c r="O16" i="7"/>
  <c r="P16" i="7"/>
  <c r="M17" i="7"/>
  <c r="N17" i="7"/>
  <c r="O17" i="7"/>
  <c r="P17" i="7"/>
  <c r="M18" i="7"/>
  <c r="N18" i="7"/>
  <c r="O18" i="7"/>
  <c r="P18" i="7"/>
  <c r="M19" i="7"/>
  <c r="N19" i="7"/>
  <c r="O19" i="7"/>
  <c r="P19" i="7"/>
  <c r="M20" i="7"/>
  <c r="N20" i="7"/>
  <c r="O20" i="7"/>
  <c r="P20" i="7"/>
  <c r="J166" i="7" l="1"/>
  <c r="H166" i="7"/>
  <c r="P165" i="7"/>
  <c r="O165" i="7"/>
  <c r="N165" i="7"/>
  <c r="M165" i="7"/>
  <c r="L165" i="7"/>
  <c r="K165" i="7"/>
  <c r="P164" i="7"/>
  <c r="O164" i="7"/>
  <c r="N164" i="7"/>
  <c r="M164" i="7"/>
  <c r="L164" i="7"/>
  <c r="K164" i="7"/>
  <c r="S163" i="7"/>
  <c r="P163" i="7"/>
  <c r="O163" i="7"/>
  <c r="N163" i="7"/>
  <c r="M163" i="7"/>
  <c r="L163" i="7"/>
  <c r="K163" i="7"/>
  <c r="P162" i="7"/>
  <c r="O162" i="7"/>
  <c r="N162" i="7"/>
  <c r="M162" i="7"/>
  <c r="L162" i="7"/>
  <c r="K162" i="7"/>
  <c r="P161" i="7"/>
  <c r="O161" i="7"/>
  <c r="N161" i="7"/>
  <c r="M161" i="7"/>
  <c r="L161" i="7"/>
  <c r="K161" i="7"/>
  <c r="S160" i="7"/>
  <c r="S166" i="7" s="1"/>
  <c r="P160" i="7"/>
  <c r="O160" i="7"/>
  <c r="N160" i="7"/>
  <c r="M160" i="7"/>
  <c r="L160" i="7"/>
  <c r="K160" i="7"/>
  <c r="P159" i="7"/>
  <c r="O159" i="7"/>
  <c r="N159" i="7"/>
  <c r="M159" i="7"/>
  <c r="L159" i="7"/>
  <c r="K159" i="7"/>
  <c r="I159" i="7"/>
  <c r="P156" i="7"/>
  <c r="O156" i="7"/>
  <c r="N156" i="7"/>
  <c r="M156" i="7"/>
  <c r="L156" i="7"/>
  <c r="K156" i="7"/>
  <c r="I156" i="7"/>
  <c r="P155" i="7"/>
  <c r="O155" i="7"/>
  <c r="N155" i="7"/>
  <c r="M155" i="7"/>
  <c r="L155" i="7"/>
  <c r="K155" i="7"/>
  <c r="I155" i="7"/>
  <c r="S151" i="7"/>
  <c r="J151" i="7"/>
  <c r="H151" i="7"/>
  <c r="P150" i="7"/>
  <c r="O150" i="7"/>
  <c r="N150" i="7"/>
  <c r="M150" i="7"/>
  <c r="P149" i="7"/>
  <c r="O149" i="7"/>
  <c r="N149" i="7"/>
  <c r="M149" i="7"/>
  <c r="P148" i="7"/>
  <c r="O148" i="7"/>
  <c r="N148" i="7"/>
  <c r="M148" i="7"/>
  <c r="L148" i="7"/>
  <c r="K148" i="7"/>
  <c r="I148" i="7"/>
  <c r="J145" i="7"/>
  <c r="H145" i="7"/>
  <c r="P144" i="7"/>
  <c r="O144" i="7"/>
  <c r="N144" i="7"/>
  <c r="M144" i="7"/>
  <c r="L144" i="7"/>
  <c r="K144" i="7"/>
  <c r="P143" i="7"/>
  <c r="O143" i="7"/>
  <c r="N143" i="7"/>
  <c r="M143" i="7"/>
  <c r="L143" i="7"/>
  <c r="K143" i="7"/>
  <c r="P142" i="7"/>
  <c r="O142" i="7"/>
  <c r="N142" i="7"/>
  <c r="M142" i="7"/>
  <c r="L142" i="7"/>
  <c r="K142" i="7"/>
  <c r="P141" i="7"/>
  <c r="O141" i="7"/>
  <c r="N141" i="7"/>
  <c r="M141" i="7"/>
  <c r="L141" i="7"/>
  <c r="K141" i="7"/>
  <c r="P140" i="7"/>
  <c r="O140" i="7"/>
  <c r="N140" i="7"/>
  <c r="M140" i="7"/>
  <c r="L140" i="7"/>
  <c r="K140" i="7"/>
  <c r="P139" i="7"/>
  <c r="O139" i="7"/>
  <c r="N139" i="7"/>
  <c r="M139" i="7"/>
  <c r="L139" i="7"/>
  <c r="K139" i="7"/>
  <c r="P138" i="7"/>
  <c r="O138" i="7"/>
  <c r="N138" i="7"/>
  <c r="M138" i="7"/>
  <c r="L138" i="7"/>
  <c r="K138" i="7"/>
  <c r="P137" i="7"/>
  <c r="O137" i="7"/>
  <c r="N137" i="7"/>
  <c r="M137" i="7"/>
  <c r="L137" i="7"/>
  <c r="K137" i="7"/>
  <c r="P136" i="7"/>
  <c r="O136" i="7"/>
  <c r="N136" i="7"/>
  <c r="M136" i="7"/>
  <c r="L136" i="7"/>
  <c r="K136" i="7"/>
  <c r="P135" i="7"/>
  <c r="O135" i="7"/>
  <c r="N135" i="7"/>
  <c r="M135" i="7"/>
  <c r="L135" i="7"/>
  <c r="K135" i="7"/>
  <c r="D135" i="7"/>
  <c r="P134" i="7"/>
  <c r="O134" i="7"/>
  <c r="N134" i="7"/>
  <c r="M134" i="7"/>
  <c r="L134" i="7"/>
  <c r="K134" i="7"/>
  <c r="P133" i="7"/>
  <c r="O133" i="7"/>
  <c r="N133" i="7"/>
  <c r="M133" i="7"/>
  <c r="L133" i="7"/>
  <c r="K133" i="7"/>
  <c r="P132" i="7"/>
  <c r="O132" i="7"/>
  <c r="N132" i="7"/>
  <c r="M132" i="7"/>
  <c r="L132" i="7"/>
  <c r="K132" i="7"/>
  <c r="P131" i="7"/>
  <c r="O131" i="7"/>
  <c r="N131" i="7"/>
  <c r="M131" i="7"/>
  <c r="L131" i="7"/>
  <c r="K131" i="7"/>
  <c r="P130" i="7"/>
  <c r="O130" i="7"/>
  <c r="N130" i="7"/>
  <c r="M130" i="7"/>
  <c r="L130" i="7"/>
  <c r="K130" i="7"/>
  <c r="P129" i="7"/>
  <c r="O129" i="7"/>
  <c r="N129" i="7"/>
  <c r="M129" i="7"/>
  <c r="L129" i="7"/>
  <c r="K129" i="7"/>
  <c r="P128" i="7"/>
  <c r="O128" i="7"/>
  <c r="N128" i="7"/>
  <c r="M128" i="7"/>
  <c r="L128" i="7"/>
  <c r="K128" i="7"/>
  <c r="P127" i="7"/>
  <c r="O127" i="7"/>
  <c r="N127" i="7"/>
  <c r="M127" i="7"/>
  <c r="L127" i="7"/>
  <c r="K127" i="7"/>
  <c r="P126" i="7"/>
  <c r="O126" i="7"/>
  <c r="N126" i="7"/>
  <c r="M126" i="7"/>
  <c r="L126" i="7"/>
  <c r="K126" i="7"/>
  <c r="S125" i="7"/>
  <c r="S145" i="7" s="1"/>
  <c r="P125" i="7"/>
  <c r="O125" i="7"/>
  <c r="N125" i="7"/>
  <c r="M125" i="7"/>
  <c r="L125" i="7"/>
  <c r="K125" i="7"/>
  <c r="P124" i="7"/>
  <c r="O124" i="7"/>
  <c r="N124" i="7"/>
  <c r="M124" i="7"/>
  <c r="L124" i="7"/>
  <c r="K124" i="7"/>
  <c r="P123" i="7"/>
  <c r="O123" i="7"/>
  <c r="N123" i="7"/>
  <c r="M123" i="7"/>
  <c r="L123" i="7"/>
  <c r="K123" i="7"/>
  <c r="P122" i="7"/>
  <c r="O122" i="7"/>
  <c r="N122" i="7"/>
  <c r="M122" i="7"/>
  <c r="L122" i="7"/>
  <c r="K122" i="7"/>
  <c r="P121" i="7"/>
  <c r="O121" i="7"/>
  <c r="N121" i="7"/>
  <c r="M121" i="7"/>
  <c r="L121" i="7"/>
  <c r="K121" i="7"/>
  <c r="S118" i="7"/>
  <c r="J118" i="7"/>
  <c r="H118" i="7"/>
  <c r="L117" i="7"/>
  <c r="L116" i="7"/>
  <c r="L115" i="7"/>
  <c r="O114" i="7"/>
  <c r="M114" i="7"/>
  <c r="L114" i="7"/>
  <c r="K114" i="7"/>
  <c r="I114" i="7"/>
  <c r="G114" i="7"/>
  <c r="S111" i="7"/>
  <c r="R110" i="7"/>
  <c r="Q110" i="7"/>
  <c r="J110" i="7"/>
  <c r="O110" i="7" s="1"/>
  <c r="H110" i="7"/>
  <c r="G110" i="7"/>
  <c r="F110" i="7"/>
  <c r="M110" i="7" s="1"/>
  <c r="E110" i="7"/>
  <c r="D110" i="7"/>
  <c r="R109" i="7"/>
  <c r="Q109" i="7"/>
  <c r="J109" i="7"/>
  <c r="O109" i="7" s="1"/>
  <c r="G109" i="7"/>
  <c r="F109" i="7"/>
  <c r="M109" i="7" s="1"/>
  <c r="E109" i="7"/>
  <c r="D109" i="7"/>
  <c r="R108" i="7"/>
  <c r="Q108" i="7"/>
  <c r="J108" i="7"/>
  <c r="O108" i="7" s="1"/>
  <c r="H108" i="7"/>
  <c r="G108" i="7"/>
  <c r="F108" i="7"/>
  <c r="M108" i="7" s="1"/>
  <c r="E108" i="7"/>
  <c r="D108" i="7"/>
  <c r="R107" i="7"/>
  <c r="Q107" i="7"/>
  <c r="J107" i="7"/>
  <c r="O107" i="7" s="1"/>
  <c r="H107" i="7"/>
  <c r="G107" i="7"/>
  <c r="F107" i="7"/>
  <c r="M107" i="7" s="1"/>
  <c r="E107" i="7"/>
  <c r="D107" i="7"/>
  <c r="R106" i="7"/>
  <c r="Q106" i="7"/>
  <c r="J106" i="7"/>
  <c r="O106" i="7" s="1"/>
  <c r="H106" i="7"/>
  <c r="G106" i="7"/>
  <c r="F106" i="7"/>
  <c r="M106" i="7" s="1"/>
  <c r="E106" i="7"/>
  <c r="D106" i="7"/>
  <c r="R105" i="7"/>
  <c r="Q105" i="7"/>
  <c r="J105" i="7"/>
  <c r="O105" i="7" s="1"/>
  <c r="H105" i="7"/>
  <c r="G105" i="7"/>
  <c r="F105" i="7"/>
  <c r="M105" i="7" s="1"/>
  <c r="E105" i="7"/>
  <c r="D105" i="7"/>
  <c r="R104" i="7"/>
  <c r="Q104" i="7"/>
  <c r="J104" i="7"/>
  <c r="O104" i="7" s="1"/>
  <c r="H104" i="7"/>
  <c r="G104" i="7"/>
  <c r="F104" i="7"/>
  <c r="M104" i="7" s="1"/>
  <c r="E104" i="7"/>
  <c r="D104" i="7"/>
  <c r="R103" i="7"/>
  <c r="Q103" i="7"/>
  <c r="J103" i="7"/>
  <c r="O103" i="7" s="1"/>
  <c r="H103" i="7"/>
  <c r="G103" i="7"/>
  <c r="F103" i="7"/>
  <c r="M103" i="7" s="1"/>
  <c r="E103" i="7"/>
  <c r="D103" i="7"/>
  <c r="R102" i="7"/>
  <c r="Q102" i="7"/>
  <c r="J102" i="7"/>
  <c r="H102" i="7"/>
  <c r="G102" i="7"/>
  <c r="F102" i="7"/>
  <c r="M102" i="7" s="1"/>
  <c r="E102" i="7"/>
  <c r="D102" i="7"/>
  <c r="R97" i="7"/>
  <c r="Q97" i="7"/>
  <c r="J97" i="7"/>
  <c r="O97" i="7" s="1"/>
  <c r="H97" i="7"/>
  <c r="G97" i="7"/>
  <c r="F97" i="7"/>
  <c r="M97" i="7" s="1"/>
  <c r="E97" i="7"/>
  <c r="D97" i="7"/>
  <c r="R96" i="7"/>
  <c r="Q96" i="7"/>
  <c r="J96" i="7"/>
  <c r="O96" i="7" s="1"/>
  <c r="H96" i="7"/>
  <c r="G96" i="7"/>
  <c r="F96" i="7"/>
  <c r="M96" i="7" s="1"/>
  <c r="E96" i="7"/>
  <c r="D96" i="7"/>
  <c r="R95" i="7"/>
  <c r="Q95" i="7"/>
  <c r="J95" i="7"/>
  <c r="O95" i="7" s="1"/>
  <c r="H95" i="7"/>
  <c r="G95" i="7"/>
  <c r="F95" i="7"/>
  <c r="M95" i="7" s="1"/>
  <c r="E95" i="7"/>
  <c r="D95" i="7"/>
  <c r="D92" i="7"/>
  <c r="R91" i="7"/>
  <c r="Q91" i="7"/>
  <c r="J91" i="7"/>
  <c r="O91" i="7" s="1"/>
  <c r="H91" i="7"/>
  <c r="G91" i="7"/>
  <c r="F91" i="7"/>
  <c r="M91" i="7" s="1"/>
  <c r="E91" i="7"/>
  <c r="D91" i="7"/>
  <c r="P90" i="7"/>
  <c r="O90" i="7"/>
  <c r="N90" i="7"/>
  <c r="M90" i="7"/>
  <c r="H90" i="7"/>
  <c r="J86" i="7"/>
  <c r="H86" i="7"/>
  <c r="L85" i="7"/>
  <c r="K85" i="7"/>
  <c r="L84" i="7"/>
  <c r="K84" i="7"/>
  <c r="L83" i="7"/>
  <c r="K83" i="7"/>
  <c r="L82" i="7"/>
  <c r="K82" i="7"/>
  <c r="L81" i="7"/>
  <c r="K81" i="7"/>
  <c r="L80" i="7"/>
  <c r="K80" i="7"/>
  <c r="L79" i="7"/>
  <c r="K79" i="7"/>
  <c r="L78" i="7"/>
  <c r="K78" i="7"/>
  <c r="L77" i="7"/>
  <c r="K77" i="7"/>
  <c r="L76" i="7"/>
  <c r="K76" i="7"/>
  <c r="L75" i="7"/>
  <c r="K75" i="7"/>
  <c r="L74" i="7"/>
  <c r="K74" i="7"/>
  <c r="L73" i="7"/>
  <c r="K73" i="7"/>
  <c r="L72" i="7"/>
  <c r="K72" i="7"/>
  <c r="L71" i="7"/>
  <c r="K71" i="7"/>
  <c r="L70" i="7"/>
  <c r="K70" i="7"/>
  <c r="L69" i="7"/>
  <c r="K69" i="7"/>
  <c r="L68" i="7"/>
  <c r="K68" i="7"/>
  <c r="L67" i="7"/>
  <c r="K67" i="7"/>
  <c r="L66" i="7"/>
  <c r="K66" i="7"/>
  <c r="D66" i="7"/>
  <c r="L65" i="7"/>
  <c r="K65" i="7"/>
  <c r="S64" i="7"/>
  <c r="S86" i="7" s="1"/>
  <c r="L64" i="7"/>
  <c r="K64" i="7"/>
  <c r="L63" i="7"/>
  <c r="K63" i="7"/>
  <c r="L62" i="7"/>
  <c r="K62" i="7"/>
  <c r="L61" i="7"/>
  <c r="K61" i="7"/>
  <c r="L60" i="7"/>
  <c r="K60" i="7"/>
  <c r="L59" i="7"/>
  <c r="K59" i="7"/>
  <c r="L58" i="7"/>
  <c r="K58" i="7"/>
  <c r="L57" i="7"/>
  <c r="K57" i="7"/>
  <c r="P56" i="7"/>
  <c r="O56" i="7"/>
  <c r="N56" i="7"/>
  <c r="M56" i="7"/>
  <c r="L56" i="7"/>
  <c r="K56" i="7"/>
  <c r="I56" i="7"/>
  <c r="J53" i="7"/>
  <c r="H53" i="7"/>
  <c r="L52" i="7"/>
  <c r="K52" i="7"/>
  <c r="L51" i="7"/>
  <c r="K51" i="7"/>
  <c r="L50" i="7"/>
  <c r="K50" i="7"/>
  <c r="L49" i="7"/>
  <c r="K49" i="7"/>
  <c r="L48" i="7"/>
  <c r="K48" i="7"/>
  <c r="L47" i="7"/>
  <c r="K47" i="7"/>
  <c r="L46" i="7"/>
  <c r="K46" i="7"/>
  <c r="L45" i="7"/>
  <c r="K45" i="7"/>
  <c r="S44" i="7"/>
  <c r="L44" i="7"/>
  <c r="K44" i="7"/>
  <c r="L43" i="7"/>
  <c r="K43" i="7"/>
  <c r="L42" i="7"/>
  <c r="K42" i="7"/>
  <c r="L41" i="7"/>
  <c r="K41" i="7"/>
  <c r="L40" i="7"/>
  <c r="K40" i="7"/>
  <c r="L39" i="7"/>
  <c r="K39" i="7"/>
  <c r="S38" i="7"/>
  <c r="S53" i="7" s="1"/>
  <c r="L38" i="7"/>
  <c r="K38" i="7"/>
  <c r="L37" i="7"/>
  <c r="K37" i="7"/>
  <c r="L36" i="7"/>
  <c r="K36" i="7"/>
  <c r="L35" i="7"/>
  <c r="K35" i="7"/>
  <c r="L34" i="7"/>
  <c r="K34" i="7"/>
  <c r="L33" i="7"/>
  <c r="K33" i="7"/>
  <c r="L32" i="7"/>
  <c r="K32" i="7"/>
  <c r="L31" i="7"/>
  <c r="K31" i="7"/>
  <c r="L30" i="7"/>
  <c r="K30" i="7"/>
  <c r="L29" i="7"/>
  <c r="K29" i="7"/>
  <c r="L28" i="7"/>
  <c r="K28" i="7"/>
  <c r="L27" i="7"/>
  <c r="K27" i="7"/>
  <c r="L26" i="7"/>
  <c r="K26" i="7"/>
  <c r="L25" i="7"/>
  <c r="K25" i="7"/>
  <c r="P24" i="7"/>
  <c r="O24" i="7"/>
  <c r="N24" i="7"/>
  <c r="M24" i="7"/>
  <c r="L24" i="7"/>
  <c r="K24" i="7"/>
  <c r="I24" i="7"/>
  <c r="S21" i="7"/>
  <c r="S167" i="7" s="1"/>
  <c r="J21" i="7"/>
  <c r="H21" i="7"/>
  <c r="L20" i="7"/>
  <c r="L19" i="7"/>
  <c r="L18" i="7"/>
  <c r="D18" i="7"/>
  <c r="L17" i="7"/>
  <c r="L16" i="7"/>
  <c r="L15" i="7"/>
  <c r="L14" i="7"/>
  <c r="L13" i="7"/>
  <c r="L12" i="7"/>
  <c r="L11" i="7"/>
  <c r="L10" i="7"/>
  <c r="L9" i="7"/>
  <c r="L8" i="7"/>
  <c r="L7" i="7"/>
  <c r="L6" i="7"/>
  <c r="P5" i="7"/>
  <c r="O5" i="7"/>
  <c r="N5" i="7"/>
  <c r="M5" i="7"/>
  <c r="L5" i="7"/>
  <c r="K5" i="7"/>
  <c r="I5" i="7"/>
  <c r="I57" i="7" l="1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149" i="7"/>
  <c r="I150" i="7"/>
  <c r="L151" i="7"/>
  <c r="K149" i="7"/>
  <c r="K150" i="7"/>
  <c r="I121" i="7"/>
  <c r="N91" i="7"/>
  <c r="P91" i="7"/>
  <c r="N95" i="7"/>
  <c r="P95" i="7"/>
  <c r="N96" i="7"/>
  <c r="P96" i="7"/>
  <c r="N97" i="7"/>
  <c r="P97" i="7"/>
  <c r="N103" i="7"/>
  <c r="P103" i="7"/>
  <c r="N104" i="7"/>
  <c r="P104" i="7"/>
  <c r="N105" i="7"/>
  <c r="P105" i="7"/>
  <c r="N106" i="7"/>
  <c r="P106" i="7"/>
  <c r="N107" i="7"/>
  <c r="P107" i="7"/>
  <c r="N108" i="7"/>
  <c r="P108" i="7"/>
  <c r="N109" i="7"/>
  <c r="P109" i="7"/>
  <c r="N110" i="7"/>
  <c r="P110" i="7"/>
  <c r="L103" i="7"/>
  <c r="L104" i="7"/>
  <c r="L105" i="7"/>
  <c r="L106" i="7"/>
  <c r="L107" i="7"/>
  <c r="L108" i="7"/>
  <c r="L109" i="7"/>
  <c r="L110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K6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L21" i="7"/>
  <c r="L53" i="7"/>
  <c r="L86" i="7"/>
  <c r="H111" i="7"/>
  <c r="L90" i="7"/>
  <c r="I90" i="7"/>
  <c r="J111" i="7"/>
  <c r="P102" i="7"/>
  <c r="N102" i="7"/>
  <c r="I102" i="7"/>
  <c r="O102" i="7"/>
  <c r="L102" i="7"/>
  <c r="K102" i="7"/>
  <c r="P114" i="7"/>
  <c r="N114" i="7"/>
  <c r="L118" i="7"/>
  <c r="L145" i="7"/>
  <c r="L166" i="7"/>
  <c r="L111" i="7" l="1"/>
  <c r="K90" i="7"/>
  <c r="J167" i="7"/>
  <c r="H167" i="7"/>
  <c r="I21" i="7" l="1"/>
  <c r="I53" i="7"/>
  <c r="I86" i="7"/>
  <c r="I118" i="7"/>
  <c r="I145" i="7"/>
  <c r="I151" i="7"/>
  <c r="I166" i="7"/>
  <c r="I111" i="7"/>
  <c r="K21" i="7"/>
  <c r="K53" i="7"/>
  <c r="K86" i="7"/>
  <c r="K118" i="7"/>
  <c r="K145" i="7"/>
  <c r="K151" i="7"/>
  <c r="K166" i="7"/>
  <c r="K111" i="7"/>
</calcChain>
</file>

<file path=xl/sharedStrings.xml><?xml version="1.0" encoding="utf-8"?>
<sst xmlns="http://schemas.openxmlformats.org/spreadsheetml/2006/main" count="363" uniqueCount="229">
  <si>
    <t>EQUITY BASED FUNDS</t>
  </si>
  <si>
    <t>MONEY MARKET FUNDS</t>
  </si>
  <si>
    <t>DOLLAR FUNDS</t>
  </si>
  <si>
    <t>BALANCED FUNDS</t>
  </si>
  <si>
    <t>ETHICAL FUNDS</t>
  </si>
  <si>
    <t>FUNDS</t>
  </si>
  <si>
    <t>BONDS/FIXED INCOME FUNDS</t>
  </si>
  <si>
    <t>REAL ESTATE INVESTMENT TRUST</t>
  </si>
  <si>
    <t>SHARI'AH COMPLAINT FUNDS</t>
  </si>
  <si>
    <t>UNIT HOLDERS</t>
  </si>
  <si>
    <t>Feb 2023</t>
  </si>
  <si>
    <t>S/N</t>
  </si>
  <si>
    <t>Afrinvest Equity Fund</t>
  </si>
  <si>
    <t>Afrinvest Asset Management Ltd.</t>
  </si>
  <si>
    <t>Anchoria Equity Fund</t>
  </si>
  <si>
    <t>Anchoria Asset Management Limited</t>
  </si>
  <si>
    <t>ARM Aggressive Growth Fund</t>
  </si>
  <si>
    <t xml:space="preserve">ARM Investment Managers Limited </t>
  </si>
  <si>
    <t>AXA Mansard Equity Income Fund</t>
  </si>
  <si>
    <t>AXA Mansard Investments Limited</t>
  </si>
  <si>
    <t>FBN Nigeria Smart Beta Equity Fund</t>
  </si>
  <si>
    <t>FBN Capital Asset Mgt</t>
  </si>
  <si>
    <t>Frontier Fund</t>
  </si>
  <si>
    <t>SCM Capital Limited</t>
  </si>
  <si>
    <t>Futureview Equity Fund</t>
  </si>
  <si>
    <t xml:space="preserve">Futureview Asset Management Limited </t>
  </si>
  <si>
    <t>Legacy Equity Fund</t>
  </si>
  <si>
    <t>First City Asset Management Plc</t>
  </si>
  <si>
    <t>Meristem Equity Market Fund</t>
  </si>
  <si>
    <t>Meristem Wealth Management Limited</t>
  </si>
  <si>
    <t>Pacam Equity Fund</t>
  </si>
  <si>
    <t>PAC Asset Management Ltd.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</si>
  <si>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</si>
  <si>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</si>
  <si>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</si>
  <si>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</si>
  <si>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</si>
  <si>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UBA Nom-Cowry Equity Fund</t>
  </si>
  <si>
    <t>Cowry Treasurers Limited</t>
  </si>
  <si>
    <t>United Capital Equity Fund</t>
  </si>
  <si>
    <t>United Capital Asset Mgt. Ltd</t>
  </si>
  <si>
    <t>Vantage Equity Income Fund</t>
  </si>
  <si>
    <t>Investment One Funds Management Limited</t>
  </si>
  <si>
    <t>Sub Total</t>
  </si>
  <si>
    <t>Abacus Money Market Fund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</si>
  <si>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</si>
  <si>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</si>
  <si>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</si>
  <si>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</si>
  <si>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</si>
  <si>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</si>
  <si>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 xml:space="preserve">AXA Mansard Investments Limited </t>
  </si>
  <si>
    <t>Chapel Hill Denham Money Market Fund(Frml NGIF)</t>
  </si>
  <si>
    <t>Coral Money Market Fund (FSDH Treasury Bill Fund)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</si>
  <si>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</si>
  <si>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</si>
  <si>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</si>
  <si>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</si>
  <si>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</si>
  <si>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</si>
  <si>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Coronation Asset Management Limited</t>
  </si>
  <si>
    <t>EDC Money Market Class A</t>
  </si>
  <si>
    <t>EDC Fund Management</t>
  </si>
  <si>
    <t>EDC Money Market Class B</t>
  </si>
  <si>
    <t>Emerging Africa Money Market Fund</t>
  </si>
  <si>
    <t>Emerging Africa Asset Management Limited</t>
  </si>
  <si>
    <t>FAAM Money Market Fund</t>
  </si>
  <si>
    <t>First Ally Asset Management Limited</t>
  </si>
  <si>
    <t>FBN Money Market Fund</t>
  </si>
  <si>
    <t>FBN Capital Asset Mgt. Limited</t>
  </si>
  <si>
    <t>GDL Money Market Fund</t>
  </si>
  <si>
    <t xml:space="preserve">Growth and Development Asset Management Limited </t>
  </si>
  <si>
    <t>Greenwich Plus Money Market</t>
  </si>
  <si>
    <t xml:space="preserve">Greenwich Asst Management Ltd </t>
  </si>
  <si>
    <t>Legacy Money Market Fund</t>
  </si>
  <si>
    <t>Meristem Money Market Fund</t>
  </si>
  <si>
    <t>Norrenberger Money Market Fund</t>
  </si>
  <si>
    <t>Norrenberger Investment and Capital Management Limited</t>
  </si>
  <si>
    <t>NOVA Prime Money Market Fund</t>
  </si>
  <si>
    <t>NOVAMBL Asset Management Limited</t>
  </si>
  <si>
    <t>PACAM Money Market Fund</t>
  </si>
  <si>
    <t>Stanbic IBTC Money Market Fund</t>
  </si>
  <si>
    <t>Trustbanc Money Market Fund</t>
  </si>
  <si>
    <t>Trustbanc Asset Management Limited</t>
  </si>
  <si>
    <t>United Capital Money Market Fund</t>
  </si>
  <si>
    <t>ValuAlliance Money Market Fund</t>
  </si>
  <si>
    <t>ValuAlliance Asset Management Limited</t>
  </si>
  <si>
    <t>Vetiva Money Market Fund</t>
  </si>
  <si>
    <t>Vetiva Fund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</si>
  <si>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</si>
  <si>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</si>
  <si>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</si>
  <si>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</si>
  <si>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</si>
  <si>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Term-Bond Fund</t>
  </si>
  <si>
    <t>ARM Investment Managers</t>
  </si>
  <si>
    <t>AVA GAM Fixed Income Naira Fund</t>
  </si>
  <si>
    <t>AVA Global Asset Managers Limited</t>
  </si>
  <si>
    <t>CardinalStone Fixed Income Alpha Fund</t>
  </si>
  <si>
    <t>CardinalStone Asset Mgt. Limited</t>
  </si>
  <si>
    <t>CEAT Fixed Income Fund(Frml BGL Sapphire)</t>
  </si>
  <si>
    <t>Capital Express Assset &amp; Trust Limited</t>
  </si>
  <si>
    <t>Chapel Hill Denham Nigeria Bond Fund</t>
  </si>
  <si>
    <t>Coral Income Fund</t>
  </si>
  <si>
    <t>Cordros Fixed Income Fund</t>
  </si>
  <si>
    <t>Coronation Fixed Income Fund</t>
  </si>
  <si>
    <t>DLM Fixed Income Fund</t>
  </si>
  <si>
    <t>DLM Asset Management Limited</t>
  </si>
  <si>
    <t>EDC Nigeria Fixed Income Fund</t>
  </si>
  <si>
    <t>Emerging Africa Bond Fund</t>
  </si>
  <si>
    <t>FBN Bond Fund (FBN Fixed Income Fund)</t>
  </si>
  <si>
    <t>GDL Income Fund</t>
  </si>
  <si>
    <t xml:space="preserve">Lead Fixed Income Fund </t>
  </si>
  <si>
    <t>Lead Asset Mgt Ltd</t>
  </si>
  <si>
    <t>Legacy Debt Fund</t>
  </si>
  <si>
    <t>Lotus Halal Fixed Income Fund</t>
  </si>
  <si>
    <t>Lotus Capital Limited</t>
  </si>
  <si>
    <t>Nigeria International Debt Fund</t>
  </si>
  <si>
    <t>PACAM Fixed Income Fund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</si>
  <si>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</si>
  <si>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</si>
  <si>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</si>
  <si>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</si>
  <si>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</si>
  <si>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</si>
  <si>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</si>
  <si>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UBA Nom-Cowry Fixed Income Fund</t>
  </si>
  <si>
    <t>United Capital Fixed Income Fund</t>
  </si>
  <si>
    <t>Vantage Guaranteed Income Fund</t>
  </si>
  <si>
    <t>Zenith Income Fund</t>
  </si>
  <si>
    <t>DOLLAR FUND</t>
  </si>
  <si>
    <t>EUROBONDS</t>
  </si>
  <si>
    <t>Afrinvest Dollar Fund</t>
  </si>
  <si>
    <t>ARM Eurobond Fund</t>
  </si>
  <si>
    <t>Emerging Africa Eurobond Fund</t>
  </si>
  <si>
    <t>FBN Dollar Fund (Retail)</t>
  </si>
  <si>
    <t>FBNQuest Asset Management Limited</t>
  </si>
  <si>
    <t>FBN Specialized Dollar Fund</t>
  </si>
  <si>
    <t>Futureview Dollar Fund</t>
  </si>
  <si>
    <t>Futureview Asset Management Limited</t>
  </si>
  <si>
    <t>Legacy USD Bond Fund</t>
  </si>
  <si>
    <t>First City Asset Management Ltd.</t>
  </si>
  <si>
    <t xml:space="preserve">Nigerian Eurobond Fund </t>
  </si>
  <si>
    <t>Pacam Eurobond Fund</t>
  </si>
  <si>
    <t>FIXED INCOME</t>
  </si>
  <si>
    <t>AVA GAM Fixed Income Dollar Fund</t>
  </si>
  <si>
    <t>AXA Mansard Dollar Bond Fund</t>
  </si>
  <si>
    <t>Cordros Dollar Fund</t>
  </si>
  <si>
    <t>FSDH Dollar Fund</t>
  </si>
  <si>
    <t>Nigeria Dollar Income Fund</t>
  </si>
  <si>
    <t>NOVA Dollar Fixed Income Fund</t>
  </si>
  <si>
    <t>Stanbic IBTC Dollar Fund</t>
  </si>
  <si>
    <t>Vantage Dollar Fund</t>
  </si>
  <si>
    <t>REAL ESTATE FUNDS</t>
  </si>
  <si>
    <t>Nigeria Real Estate Investment Trust</t>
  </si>
  <si>
    <t>SFS Real Estate Investment Trust Fund</t>
  </si>
  <si>
    <t>Union Homes REITS</t>
  </si>
  <si>
    <t>UPDC Real Estate Investment Fund</t>
  </si>
  <si>
    <t>Stanbic IBTC Asset Management Limited</t>
  </si>
  <si>
    <t>AIICO Balanced Fund</t>
  </si>
  <si>
    <t>ARM Discovery Balanced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</si>
  <si>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</si>
  <si>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</si>
  <si>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</si>
  <si>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</si>
  <si>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</si>
  <si>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EDC Balanced Fund</t>
  </si>
  <si>
    <t>EDC Fund Management Limited</t>
  </si>
  <si>
    <t>Emerging Africa Balanced-Diversity Fund (Gender/Diversity)</t>
  </si>
  <si>
    <t>FBN Balanced Fund</t>
  </si>
  <si>
    <t>GDL Canary Balanced Fund</t>
  </si>
  <si>
    <t xml:space="preserve">Lead Balanced Fund </t>
  </si>
  <si>
    <t>Nigeria Energy Sector Fund</t>
  </si>
  <si>
    <t>NOVA Hybrid Balanced Fund</t>
  </si>
  <si>
    <t>PACAM Balanced Fund</t>
  </si>
  <si>
    <t>Stanbic IBTC Balanced Fund</t>
  </si>
  <si>
    <t>UBA Nom-Cowry Balanced Fund</t>
  </si>
  <si>
    <t>United Capital Balanced Fund</t>
  </si>
  <si>
    <t>ValuAlliance Value Fund</t>
  </si>
  <si>
    <t>Vantage Balanced Fund</t>
  </si>
  <si>
    <t>Wealth For Women Fund</t>
  </si>
  <si>
    <t>Women's Balanced Fund</t>
  </si>
  <si>
    <t>Zenith Balanced Strategy Fund</t>
  </si>
  <si>
    <t>ARM Ethical Fund</t>
  </si>
  <si>
    <t>Stanbic IBTC Ethical Fund</t>
  </si>
  <si>
    <t>Zenith ESG Impact Fund</t>
  </si>
  <si>
    <t>SHARI'AH COMPLIANT FUNDS</t>
  </si>
  <si>
    <t>EQUITIES</t>
  </si>
  <si>
    <t>Lotus Halal Investment  Fund</t>
  </si>
  <si>
    <t>Stanbic IBTC Imaan Fund</t>
  </si>
  <si>
    <t>Capital Trust Halal Fixed Income Fund</t>
  </si>
  <si>
    <t xml:space="preserve">Capital Trust Investments &amp; Asset Mgt. Ltd </t>
  </si>
  <si>
    <t>Cordros Halal Fixed Income Fund</t>
  </si>
  <si>
    <t>EDC Halal Fund</t>
  </si>
  <si>
    <t>FBN Halal Fund</t>
  </si>
  <si>
    <t>Norrenberger Islamic Fund</t>
  </si>
  <si>
    <t>Norrenberger Investment &amp; Capital Management Limited</t>
  </si>
  <si>
    <t>Stanbic IBTC Shariah Fixed Income Fund</t>
  </si>
  <si>
    <t>United Capital Sukuk Fund</t>
  </si>
  <si>
    <t>Grand Total</t>
  </si>
  <si>
    <t>Note:</t>
  </si>
  <si>
    <t>Norrenberger Dollar Fund</t>
  </si>
  <si>
    <t xml:space="preserve">United Capital Global Fixed Income Fund </t>
  </si>
  <si>
    <t>17,316,165.04</t>
  </si>
  <si>
    <t>Greenwich Balanced Fund</t>
  </si>
  <si>
    <r>
      <t>US$/NG</t>
    </r>
    <r>
      <rPr>
        <strike/>
        <sz val="6"/>
        <color theme="0"/>
        <rFont val="Times New Roman"/>
        <family val="1"/>
      </rPr>
      <t>N</t>
    </r>
    <r>
      <rPr>
        <sz val="6"/>
        <color theme="0"/>
        <rFont val="Times New Roman"/>
        <family val="1"/>
      </rPr>
      <t xml:space="preserve"> I&amp;E as at 31st</t>
    </r>
    <r>
      <rPr>
        <sz val="6"/>
        <color theme="0"/>
        <rFont val="Times New Roman"/>
        <family val="1"/>
      </rPr>
      <t xml:space="preserve"> March, 2023 = </t>
    </r>
    <r>
      <rPr>
        <strike/>
        <sz val="6"/>
        <color theme="0"/>
        <rFont val="Times New Roman"/>
        <family val="1"/>
      </rPr>
      <t>N460.85</t>
    </r>
  </si>
  <si>
    <t>March 2023</t>
  </si>
  <si>
    <t>The chart above shows that the Money Market Fund has the highest share of the Aggregate Net Asset Value (NAV) at 51.03% , followed by Bond/Fixed Income Fund with 20.66%, Dollar Fund (Eurobonds and Fixed Income) at 20.56%, Real Estate Investment Trust at 2.94%.  Next is Balanced Fund at 1.97%, Shari'ah Compliant Fund at 1.59%, Equity Fund at 1.09% and Ethical Fund at 0.19%.</t>
  </si>
  <si>
    <t>MONTHLY UPDATE ON REGISTERED MUTUAL FUNDS AS AT 31ST MARCH, 2023</t>
  </si>
  <si>
    <t>Jan 2023</t>
  </si>
  <si>
    <t>FUND</t>
  </si>
  <si>
    <t>FUND MANAGER</t>
  </si>
  <si>
    <t>TOTAL INCOME (N)</t>
  </si>
  <si>
    <t>TOTAL VALUE OF INVESTMENT (N)</t>
  </si>
  <si>
    <t>TOTAL EXPENSES (N)</t>
  </si>
  <si>
    <t>NET INCOME/LOSS (N)</t>
  </si>
  <si>
    <t>NET ASSET VALUE (N) PREVIOUS - FEBRUARY</t>
  </si>
  <si>
    <t>% ON TOTAL</t>
  </si>
  <si>
    <t xml:space="preserve">NET ASSET VALUE (N) </t>
  </si>
  <si>
    <t>% CHANGE IN NAV</t>
  </si>
  <si>
    <t>EXPENSE RATIO</t>
  </si>
  <si>
    <t>RETURN ON EQUITY (ROE)</t>
  </si>
  <si>
    <t>NET ASSET PER UNIT</t>
  </si>
  <si>
    <t>EARNINGS PER UNIT (EPU)</t>
  </si>
  <si>
    <t>BID PRICE (N)</t>
  </si>
  <si>
    <t>OFFER PRICE (N)</t>
  </si>
  <si>
    <t>NUMBER OF UNIT HOLDERS</t>
  </si>
  <si>
    <t>OPENING NUMBER OF UNITS</t>
  </si>
  <si>
    <t>CLOSING NUMBER OF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</si>
</sst>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&quot; &quot;* #,##0.00&quot; &quot;;&quot;-&quot;* #,##0.00&quot; &quot;;&quot; &quot;* &quot;-&quot;??&quot; &quot;"/>
    <numFmt numFmtId="167" formatCode="&quot; &quot;* #,##0&quot; &quot;;&quot;-&quot;* #,##0&quot; &quot;;&quot; &quot;* &quot;-&quot;??&quot; &quot;"/>
    <numFmt numFmtId="168" formatCode="&quot; &quot;* #,##0.00&quot; &quot;;&quot; &quot;* \(#,##0.00\);&quot; &quot;* &quot;-&quot;??&quot; &quot;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Futura Bk BT"/>
      <family val="2"/>
    </font>
    <font>
      <sz val="10"/>
      <color rgb="FFFF0000"/>
      <name val="Arial Narrow"/>
      <family val="2"/>
    </font>
    <font>
      <sz val="10"/>
      <name val="Arial"/>
      <family val="2"/>
    </font>
    <font>
      <b/>
      <sz val="8"/>
      <color theme="1"/>
      <name val="Century Gothic"/>
      <family val="2"/>
    </font>
    <font>
      <b/>
      <sz val="12"/>
      <color indexed="8"/>
      <name val="Century Gothic"/>
      <family val="2"/>
    </font>
    <font>
      <b/>
      <sz val="10"/>
      <color indexed="8"/>
      <name val="Century Gothic"/>
      <family val="2"/>
    </font>
    <font>
      <sz val="8"/>
      <color theme="1"/>
      <name val="Century Gothic"/>
      <family val="2"/>
    </font>
    <font>
      <b/>
      <sz val="8"/>
      <color rgb="FF00B050"/>
      <name val="Century Gothic"/>
      <family val="2"/>
    </font>
    <font>
      <sz val="8"/>
      <color indexed="8"/>
      <name val="Century Gothic"/>
      <family val="2"/>
    </font>
    <font>
      <sz val="6"/>
      <color theme="0"/>
      <name val="Times New Roman"/>
      <family val="1"/>
    </font>
    <font>
      <strike/>
      <sz val="6"/>
      <color theme="0"/>
      <name val="Times New Roman"/>
      <family val="1"/>
    </font>
    <font>
      <sz val="10"/>
      <color indexed="8"/>
      <name val="Arial Narrow"/>
      <family val="2"/>
    </font>
    <font>
      <sz val="12"/>
      <color indexed="8"/>
      <name val="Calibri"/>
      <family val="2"/>
    </font>
    <font>
      <sz val="8"/>
      <name val="Century Gothic"/>
      <family val="2"/>
    </font>
    <font>
      <b/>
      <sz val="8"/>
      <color indexed="8"/>
      <name val="Century Gothic"/>
      <family val="2"/>
    </font>
    <font>
      <b/>
      <sz val="8"/>
      <name val="Century Gothic"/>
      <family val="2"/>
    </font>
    <font>
      <sz val="8"/>
      <color indexed="8"/>
      <name val="Calibri"/>
      <family val="2"/>
    </font>
    <font>
      <b/>
      <sz val="32"/>
      <color indexed="9"/>
      <name val="Segoe UI Black"/>
      <family val="2"/>
    </font>
    <font>
      <sz val="8"/>
      <color rgb="FFFF0000"/>
      <name val="Century Gothic"/>
      <family val="2"/>
    </font>
    <font>
      <b/>
      <sz val="8"/>
      <color rgb="FFFF0000"/>
      <name val="Century Gothic"/>
      <family val="2"/>
    </font>
    <font>
      <b/>
      <sz val="10"/>
      <name val="Century Gothic"/>
      <family val="2"/>
    </font>
    <font>
      <b/>
      <sz val="8"/>
      <color theme="9"/>
      <name val="Century Gothic"/>
      <family val="2"/>
    </font>
    <font>
      <b/>
      <sz val="9"/>
      <name val="Century Gothic"/>
      <family val="2"/>
    </font>
    <font>
      <sz val="8"/>
      <color theme="1"/>
      <name val="Calibri"/>
      <family val="2"/>
      <scheme val="minor"/>
    </font>
    <font>
      <b/>
      <sz val="10"/>
      <color rgb="FFFF0000"/>
      <name val="Century Gothic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sz val="12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/>
        <bgColor indexed="64"/>
      </patternFill>
    </fill>
  </fills>
  <borders count="7">
    <border>
      <left/>
      <right/>
      <top/>
      <bottom/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3" tint="0.79998168889431442"/>
      </left>
      <right/>
      <top style="thin">
        <color theme="3" tint="0.79998168889431442"/>
      </top>
      <bottom style="thin">
        <color theme="3" tint="0.79998168889431442"/>
      </bottom>
      <diagonal/>
    </border>
    <border>
      <left/>
      <right/>
      <top style="thin">
        <color theme="3" tint="0.79998168889431442"/>
      </top>
      <bottom style="thin">
        <color theme="3" tint="0.79998168889431442"/>
      </bottom>
      <diagonal/>
    </border>
    <border>
      <left/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0" fontId="9" fillId="0" borderId="0"/>
  </cellStyleXfs>
  <cellXfs count="126">
    <xf numFmtId="0" fontId="0" fillId="0" borderId="0" xfId="0"/>
    <xf numFmtId="0" fontId="2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4" fontId="4" fillId="2" borderId="0" xfId="0" applyNumberFormat="1" applyFont="1" applyFill="1"/>
    <xf numFmtId="0" fontId="3" fillId="2" borderId="0" xfId="0" applyFont="1" applyFill="1" applyAlignment="1">
      <alignment wrapText="1"/>
    </xf>
    <xf numFmtId="4" fontId="3" fillId="2" borderId="0" xfId="0" applyNumberFormat="1" applyFont="1" applyFill="1" applyAlignment="1">
      <alignment horizontal="right"/>
    </xf>
    <xf numFmtId="43" fontId="0" fillId="0" borderId="0" xfId="6" applyFont="1"/>
    <xf numFmtId="0" fontId="16" fillId="6" borderId="0" xfId="0" applyFont="1" applyFill="1" applyAlignment="1">
      <alignment horizontal="left"/>
    </xf>
    <xf numFmtId="0" fontId="16" fillId="6" borderId="0" xfId="0" applyFont="1" applyFill="1" applyAlignment="1">
      <alignment horizontal="right" vertical="center"/>
    </xf>
    <xf numFmtId="0" fontId="0" fillId="2" borderId="0" xfId="0" applyFill="1"/>
    <xf numFmtId="164" fontId="1" fillId="2" borderId="0" xfId="1" applyFont="1" applyFill="1" applyBorder="1" applyAlignment="1"/>
    <xf numFmtId="0" fontId="18" fillId="2" borderId="0" xfId="0" applyFont="1" applyFill="1"/>
    <xf numFmtId="166" fontId="19" fillId="2" borderId="0" xfId="0" applyNumberFormat="1" applyFont="1" applyFill="1"/>
    <xf numFmtId="168" fontId="19" fillId="2" borderId="0" xfId="0" applyNumberFormat="1" applyFont="1" applyFill="1"/>
    <xf numFmtId="49" fontId="11" fillId="4" borderId="1" xfId="0" applyNumberFormat="1" applyFont="1" applyFill="1" applyBorder="1" applyAlignment="1">
      <alignment horizontal="center" vertical="top" wrapText="1"/>
    </xf>
    <xf numFmtId="164" fontId="11" fillId="4" borderId="1" xfId="1" applyFont="1" applyFill="1" applyBorder="1" applyAlignment="1">
      <alignment horizontal="center" vertical="top" wrapText="1"/>
    </xf>
    <xf numFmtId="167" fontId="20" fillId="2" borderId="1" xfId="0" applyNumberFormat="1" applyFont="1" applyFill="1" applyBorder="1" applyAlignment="1">
      <alignment horizontal="center" wrapText="1"/>
    </xf>
    <xf numFmtId="49" fontId="20" fillId="2" borderId="1" xfId="0" applyNumberFormat="1" applyFont="1" applyFill="1" applyBorder="1" applyAlignment="1">
      <alignment wrapText="1"/>
    </xf>
    <xf numFmtId="4" fontId="15" fillId="2" borderId="1" xfId="0" applyNumberFormat="1" applyFont="1" applyFill="1" applyBorder="1"/>
    <xf numFmtId="164" fontId="15" fillId="2" borderId="1" xfId="1" applyFont="1" applyFill="1" applyBorder="1" applyAlignment="1"/>
    <xf numFmtId="166" fontId="15" fillId="2" borderId="1" xfId="0" applyNumberFormat="1" applyFont="1" applyFill="1" applyBorder="1" applyAlignment="1">
      <alignment horizontal="left"/>
    </xf>
    <xf numFmtId="10" fontId="15" fillId="2" borderId="1" xfId="0" applyNumberFormat="1" applyFont="1" applyFill="1" applyBorder="1"/>
    <xf numFmtId="10" fontId="25" fillId="2" borderId="1" xfId="0" applyNumberFormat="1" applyFont="1" applyFill="1" applyBorder="1" applyAlignment="1">
      <alignment horizontal="right" vertical="center"/>
    </xf>
    <xf numFmtId="10" fontId="15" fillId="2" borderId="1" xfId="0" applyNumberFormat="1" applyFont="1" applyFill="1" applyBorder="1" applyAlignment="1">
      <alignment horizontal="right" vertical="center"/>
    </xf>
    <xf numFmtId="166" fontId="15" fillId="2" borderId="1" xfId="0" applyNumberFormat="1" applyFont="1" applyFill="1" applyBorder="1" applyAlignment="1">
      <alignment horizontal="right" vertical="center"/>
    </xf>
    <xf numFmtId="166" fontId="15" fillId="2" borderId="1" xfId="0" applyNumberFormat="1" applyFont="1" applyFill="1" applyBorder="1"/>
    <xf numFmtId="167" fontId="15" fillId="2" borderId="1" xfId="0" applyNumberFormat="1" applyFont="1" applyFill="1" applyBorder="1"/>
    <xf numFmtId="49" fontId="20" fillId="2" borderId="1" xfId="0" applyNumberFormat="1" applyFont="1" applyFill="1" applyBorder="1"/>
    <xf numFmtId="49" fontId="20" fillId="2" borderId="1" xfId="0" applyNumberFormat="1" applyFont="1" applyFill="1" applyBorder="1" applyAlignment="1">
      <alignment vertical="center" wrapText="1"/>
    </xf>
    <xf numFmtId="166" fontId="20" fillId="2" borderId="1" xfId="0" applyNumberFormat="1" applyFont="1" applyFill="1" applyBorder="1"/>
    <xf numFmtId="4" fontId="20" fillId="2" borderId="1" xfId="0" applyNumberFormat="1" applyFont="1" applyFill="1" applyBorder="1" applyAlignment="1">
      <alignment wrapText="1"/>
    </xf>
    <xf numFmtId="0" fontId="20" fillId="2" borderId="1" xfId="0" applyFont="1" applyFill="1" applyBorder="1" applyAlignment="1">
      <alignment wrapText="1"/>
    </xf>
    <xf numFmtId="166" fontId="21" fillId="2" borderId="1" xfId="0" applyNumberFormat="1" applyFont="1" applyFill="1" applyBorder="1" applyAlignment="1">
      <alignment horizontal="left"/>
    </xf>
    <xf numFmtId="166" fontId="21" fillId="2" borderId="1" xfId="0" applyNumberFormat="1" applyFont="1" applyFill="1" applyBorder="1"/>
    <xf numFmtId="164" fontId="15" fillId="2" borderId="1" xfId="1" applyFont="1" applyFill="1" applyBorder="1"/>
    <xf numFmtId="166" fontId="15" fillId="2" borderId="1" xfId="0" applyNumberFormat="1" applyFont="1" applyFill="1" applyBorder="1" applyAlignment="1">
      <alignment horizontal="right"/>
    </xf>
    <xf numFmtId="164" fontId="21" fillId="2" borderId="1" xfId="1" applyFont="1" applyFill="1" applyBorder="1" applyAlignment="1"/>
    <xf numFmtId="2" fontId="15" fillId="2" borderId="1" xfId="0" applyNumberFormat="1" applyFont="1" applyFill="1" applyBorder="1"/>
    <xf numFmtId="3" fontId="15" fillId="2" borderId="1" xfId="0" applyNumberFormat="1" applyFont="1" applyFill="1" applyBorder="1"/>
    <xf numFmtId="167" fontId="20" fillId="2" borderId="1" xfId="0" applyNumberFormat="1" applyFont="1" applyFill="1" applyBorder="1" applyAlignment="1">
      <alignment horizontal="right" wrapText="1"/>
    </xf>
    <xf numFmtId="164" fontId="15" fillId="2" borderId="1" xfId="1" applyFont="1" applyFill="1" applyBorder="1" applyAlignment="1">
      <alignment horizontal="left"/>
    </xf>
    <xf numFmtId="167" fontId="25" fillId="2" borderId="1" xfId="0" applyNumberFormat="1" applyFont="1" applyFill="1" applyBorder="1" applyAlignment="1">
      <alignment horizontal="center" wrapText="1"/>
    </xf>
    <xf numFmtId="49" fontId="25" fillId="2" borderId="1" xfId="0" applyNumberFormat="1" applyFont="1" applyFill="1" applyBorder="1" applyAlignment="1">
      <alignment wrapText="1"/>
    </xf>
    <xf numFmtId="49" fontId="25" fillId="2" borderId="1" xfId="0" applyNumberFormat="1" applyFont="1" applyFill="1" applyBorder="1"/>
    <xf numFmtId="164" fontId="15" fillId="2" borderId="1" xfId="1" applyFont="1" applyFill="1" applyBorder="1" applyAlignment="1">
      <alignment horizontal="right"/>
    </xf>
    <xf numFmtId="49" fontId="15" fillId="2" borderId="1" xfId="0" applyNumberFormat="1" applyFont="1" applyFill="1" applyBorder="1" applyAlignment="1">
      <alignment horizontal="right"/>
    </xf>
    <xf numFmtId="4" fontId="15" fillId="2" borderId="1" xfId="0" applyNumberFormat="1" applyFont="1" applyFill="1" applyBorder="1" applyAlignment="1">
      <alignment horizontal="right"/>
    </xf>
    <xf numFmtId="0" fontId="20" fillId="2" borderId="1" xfId="0" applyFont="1" applyFill="1" applyBorder="1"/>
    <xf numFmtId="49" fontId="20" fillId="2" borderId="1" xfId="0" applyNumberFormat="1" applyFont="1" applyFill="1" applyBorder="1" applyAlignment="1">
      <alignment vertical="top" wrapText="1"/>
    </xf>
    <xf numFmtId="166" fontId="15" fillId="2" borderId="1" xfId="0" applyNumberFormat="1" applyFont="1" applyFill="1" applyBorder="1" applyAlignment="1">
      <alignment horizontal="left" wrapText="1"/>
    </xf>
    <xf numFmtId="0" fontId="15" fillId="2" borderId="1" xfId="0" applyFont="1" applyFill="1" applyBorder="1"/>
    <xf numFmtId="10" fontId="22" fillId="5" borderId="1" xfId="0" applyNumberFormat="1" applyFont="1" applyFill="1" applyBorder="1" applyAlignment="1">
      <alignment horizontal="center" vertical="center"/>
    </xf>
    <xf numFmtId="10" fontId="15" fillId="5" borderId="1" xfId="0" applyNumberFormat="1" applyFont="1" applyFill="1" applyBorder="1" applyAlignment="1">
      <alignment horizontal="center" vertical="center"/>
    </xf>
    <xf numFmtId="166" fontId="15" fillId="5" borderId="1" xfId="0" applyNumberFormat="1" applyFont="1" applyFill="1" applyBorder="1" applyAlignment="1">
      <alignment horizontal="right" vertical="center"/>
    </xf>
    <xf numFmtId="164" fontId="20" fillId="2" borderId="1" xfId="1" applyFont="1" applyFill="1" applyBorder="1"/>
    <xf numFmtId="164" fontId="21" fillId="2" borderId="1" xfId="1" applyFont="1" applyFill="1" applyBorder="1"/>
    <xf numFmtId="10" fontId="21" fillId="5" borderId="1" xfId="0" applyNumberFormat="1" applyFont="1" applyFill="1" applyBorder="1" applyAlignment="1">
      <alignment horizontal="center" vertical="center"/>
    </xf>
    <xf numFmtId="166" fontId="21" fillId="5" borderId="1" xfId="0" applyNumberFormat="1" applyFont="1" applyFill="1" applyBorder="1" applyAlignment="1">
      <alignment horizontal="right" vertical="center"/>
    </xf>
    <xf numFmtId="10" fontId="21" fillId="2" borderId="1" xfId="0" applyNumberFormat="1" applyFont="1" applyFill="1" applyBorder="1" applyAlignment="1">
      <alignment horizontal="center"/>
    </xf>
    <xf numFmtId="10" fontId="15" fillId="2" borderId="1" xfId="0" applyNumberFormat="1" applyFont="1" applyFill="1" applyBorder="1" applyAlignment="1">
      <alignment horizontal="center"/>
    </xf>
    <xf numFmtId="10" fontId="28" fillId="2" borderId="1" xfId="0" applyNumberFormat="1" applyFont="1" applyFill="1" applyBorder="1" applyAlignment="1">
      <alignment horizontal="center"/>
    </xf>
    <xf numFmtId="10" fontId="14" fillId="2" borderId="1" xfId="0" applyNumberFormat="1" applyFont="1" applyFill="1" applyBorder="1" applyAlignment="1">
      <alignment horizontal="center"/>
    </xf>
    <xf numFmtId="10" fontId="14" fillId="2" borderId="1" xfId="0" applyNumberFormat="1" applyFont="1" applyFill="1" applyBorder="1"/>
    <xf numFmtId="164" fontId="15" fillId="2" borderId="1" xfId="1" applyFont="1" applyFill="1" applyBorder="1" applyAlignment="1">
      <alignment vertical="center"/>
    </xf>
    <xf numFmtId="10" fontId="10" fillId="5" borderId="1" xfId="0" applyNumberFormat="1" applyFont="1" applyFill="1" applyBorder="1" applyAlignment="1">
      <alignment horizontal="center" vertical="center"/>
    </xf>
    <xf numFmtId="10" fontId="13" fillId="5" borderId="1" xfId="0" applyNumberFormat="1" applyFont="1" applyFill="1" applyBorder="1" applyAlignment="1">
      <alignment horizontal="center" vertical="center"/>
    </xf>
    <xf numFmtId="164" fontId="20" fillId="2" borderId="1" xfId="1" applyFont="1" applyFill="1" applyBorder="1" applyAlignment="1"/>
    <xf numFmtId="0" fontId="23" fillId="2" borderId="0" xfId="0" applyFont="1" applyFill="1"/>
    <xf numFmtId="0" fontId="30" fillId="2" borderId="0" xfId="0" applyFont="1" applyFill="1"/>
    <xf numFmtId="164" fontId="30" fillId="2" borderId="0" xfId="1" applyFont="1" applyFill="1" applyBorder="1" applyAlignment="1"/>
    <xf numFmtId="10" fontId="15" fillId="5" borderId="1" xfId="0" applyNumberFormat="1" applyFont="1" applyFill="1" applyBorder="1" applyAlignment="1">
      <alignment horizontal="right" vertical="center"/>
    </xf>
    <xf numFmtId="10" fontId="22" fillId="5" borderId="1" xfId="0" applyNumberFormat="1" applyFont="1" applyFill="1" applyBorder="1" applyAlignment="1">
      <alignment horizontal="right" vertical="center"/>
    </xf>
    <xf numFmtId="10" fontId="20" fillId="2" borderId="1" xfId="0" applyNumberFormat="1" applyFont="1" applyFill="1" applyBorder="1" applyAlignment="1">
      <alignment horizontal="center"/>
    </xf>
    <xf numFmtId="10" fontId="20" fillId="5" borderId="1" xfId="0" applyNumberFormat="1" applyFont="1" applyFill="1" applyBorder="1" applyAlignment="1">
      <alignment horizontal="center" vertical="center"/>
    </xf>
    <xf numFmtId="10" fontId="22" fillId="2" borderId="1" xfId="0" applyNumberFormat="1" applyFont="1" applyFill="1" applyBorder="1" applyAlignment="1">
      <alignment horizontal="center"/>
    </xf>
    <xf numFmtId="164" fontId="21" fillId="2" borderId="1" xfId="1" applyFont="1" applyFill="1" applyBorder="1" applyAlignment="1">
      <alignment wrapText="1"/>
    </xf>
    <xf numFmtId="166" fontId="20" fillId="5" borderId="1" xfId="0" applyNumberFormat="1" applyFont="1" applyFill="1" applyBorder="1" applyAlignment="1">
      <alignment horizontal="right" vertical="center"/>
    </xf>
    <xf numFmtId="166" fontId="22" fillId="5" borderId="1" xfId="0" applyNumberFormat="1" applyFont="1" applyFill="1" applyBorder="1" applyAlignment="1">
      <alignment horizontal="right" vertical="center"/>
    </xf>
    <xf numFmtId="164" fontId="15" fillId="2" borderId="5" xfId="1" applyFont="1" applyFill="1" applyBorder="1"/>
    <xf numFmtId="164" fontId="15" fillId="2" borderId="5" xfId="1" applyFont="1" applyFill="1" applyBorder="1" applyAlignment="1">
      <alignment horizontal="right"/>
    </xf>
    <xf numFmtId="166" fontId="12" fillId="4" borderId="1" xfId="0" applyNumberFormat="1" applyFont="1" applyFill="1" applyBorder="1"/>
    <xf numFmtId="10" fontId="12" fillId="4" borderId="1" xfId="0" applyNumberFormat="1" applyFont="1" applyFill="1" applyBorder="1"/>
    <xf numFmtId="10" fontId="31" fillId="4" borderId="1" xfId="0" applyNumberFormat="1" applyFont="1" applyFill="1" applyBorder="1" applyAlignment="1">
      <alignment horizontal="right" vertical="center"/>
    </xf>
    <xf numFmtId="10" fontId="12" fillId="4" borderId="1" xfId="0" applyNumberFormat="1" applyFont="1" applyFill="1" applyBorder="1" applyAlignment="1">
      <alignment horizontal="right" vertical="center"/>
    </xf>
    <xf numFmtId="166" fontId="12" fillId="4" borderId="1" xfId="0" applyNumberFormat="1" applyFont="1" applyFill="1" applyBorder="1" applyAlignment="1">
      <alignment horizontal="right" vertical="center"/>
    </xf>
    <xf numFmtId="164" fontId="12" fillId="4" borderId="1" xfId="1" applyFont="1" applyFill="1" applyBorder="1"/>
    <xf numFmtId="10" fontId="12" fillId="4" borderId="1" xfId="0" applyNumberFormat="1" applyFont="1" applyFill="1" applyBorder="1" applyAlignment="1">
      <alignment horizontal="center"/>
    </xf>
    <xf numFmtId="164" fontId="35" fillId="2" borderId="0" xfId="1" applyFont="1" applyFill="1" applyBorder="1" applyAlignment="1">
      <alignment horizontal="right" vertical="top" wrapText="1"/>
    </xf>
    <xf numFmtId="0" fontId="33" fillId="0" borderId="0" xfId="0" applyFont="1" applyAlignment="1">
      <alignment horizontal="right"/>
    </xf>
    <xf numFmtId="16" fontId="33" fillId="2" borderId="0" xfId="0" quotePrefix="1" applyNumberFormat="1" applyFont="1" applyFill="1" applyAlignment="1">
      <alignment horizontal="right" wrapText="1"/>
    </xf>
    <xf numFmtId="0" fontId="33" fillId="0" borderId="0" xfId="0" applyFont="1" applyAlignment="1">
      <alignment horizontal="right" wrapText="1"/>
    </xf>
    <xf numFmtId="43" fontId="5" fillId="0" borderId="0" xfId="6" applyFont="1" applyBorder="1"/>
    <xf numFmtId="0" fontId="34" fillId="0" borderId="0" xfId="0" applyFont="1" applyAlignment="1">
      <alignment horizontal="right"/>
    </xf>
    <xf numFmtId="16" fontId="34" fillId="2" borderId="0" xfId="0" applyNumberFormat="1" applyFont="1" applyFill="1"/>
    <xf numFmtId="4" fontId="35" fillId="2" borderId="0" xfId="0" applyNumberFormat="1" applyFont="1" applyFill="1"/>
    <xf numFmtId="4" fontId="35" fillId="2" borderId="0" xfId="0" applyNumberFormat="1" applyFont="1" applyFill="1" applyAlignment="1">
      <alignment horizontal="right"/>
    </xf>
    <xf numFmtId="16" fontId="34" fillId="2" borderId="0" xfId="0" quotePrefix="1" applyNumberFormat="1" applyFont="1" applyFill="1" applyAlignment="1">
      <alignment horizontal="right"/>
    </xf>
    <xf numFmtId="0" fontId="32" fillId="0" borderId="0" xfId="0" applyFont="1" applyAlignment="1">
      <alignment horizontal="right"/>
    </xf>
    <xf numFmtId="165" fontId="5" fillId="0" borderId="0" xfId="6" applyNumberFormat="1" applyFont="1" applyBorder="1"/>
    <xf numFmtId="167" fontId="12" fillId="4" borderId="2" xfId="0" applyNumberFormat="1" applyFont="1" applyFill="1" applyBorder="1" applyAlignment="1">
      <alignment horizontal="right" wrapText="1"/>
    </xf>
    <xf numFmtId="167" fontId="12" fillId="4" borderId="3" xfId="0" applyNumberFormat="1" applyFont="1" applyFill="1" applyBorder="1" applyAlignment="1">
      <alignment horizontal="right" wrapText="1"/>
    </xf>
    <xf numFmtId="167" fontId="12" fillId="4" borderId="4" xfId="0" applyNumberFormat="1" applyFont="1" applyFill="1" applyBorder="1" applyAlignment="1">
      <alignment horizontal="right" wrapText="1"/>
    </xf>
    <xf numFmtId="49" fontId="22" fillId="2" borderId="1" xfId="0" applyNumberFormat="1" applyFont="1" applyFill="1" applyBorder="1" applyAlignment="1">
      <alignment horizontal="center" vertical="top" wrapText="1"/>
    </xf>
    <xf numFmtId="0" fontId="29" fillId="2" borderId="1" xfId="0" applyFont="1" applyFill="1" applyBorder="1" applyAlignment="1">
      <alignment horizontal="center" wrapText="1"/>
    </xf>
    <xf numFmtId="167" fontId="26" fillId="2" borderId="2" xfId="0" applyNumberFormat="1" applyFont="1" applyFill="1" applyBorder="1" applyAlignment="1">
      <alignment horizontal="center" wrapText="1"/>
    </xf>
    <xf numFmtId="167" fontId="26" fillId="2" borderId="3" xfId="0" applyNumberFormat="1" applyFont="1" applyFill="1" applyBorder="1" applyAlignment="1">
      <alignment horizontal="center" wrapText="1"/>
    </xf>
    <xf numFmtId="167" fontId="26" fillId="2" borderId="4" xfId="0" applyNumberFormat="1" applyFont="1" applyFill="1" applyBorder="1" applyAlignment="1">
      <alignment horizontal="center" wrapText="1"/>
    </xf>
    <xf numFmtId="167" fontId="25" fillId="2" borderId="2" xfId="0" applyNumberFormat="1" applyFont="1" applyFill="1" applyBorder="1" applyAlignment="1">
      <alignment horizontal="center" wrapText="1"/>
    </xf>
    <xf numFmtId="167" fontId="25" fillId="2" borderId="3" xfId="0" applyNumberFormat="1" applyFont="1" applyFill="1" applyBorder="1" applyAlignment="1">
      <alignment horizontal="center" wrapText="1"/>
    </xf>
    <xf numFmtId="167" fontId="25" fillId="2" borderId="4" xfId="0" applyNumberFormat="1" applyFont="1" applyFill="1" applyBorder="1" applyAlignment="1">
      <alignment horizontal="center" wrapText="1"/>
    </xf>
    <xf numFmtId="167" fontId="22" fillId="2" borderId="1" xfId="0" applyNumberFormat="1" applyFont="1" applyFill="1" applyBorder="1" applyAlignment="1">
      <alignment horizontal="right"/>
    </xf>
    <xf numFmtId="49" fontId="24" fillId="7" borderId="1" xfId="0" applyNumberFormat="1" applyFont="1" applyFill="1" applyBorder="1" applyAlignment="1">
      <alignment horizontal="center"/>
    </xf>
    <xf numFmtId="0" fontId="24" fillId="7" borderId="1" xfId="0" applyFont="1" applyFill="1" applyBorder="1" applyAlignment="1">
      <alignment horizontal="center"/>
    </xf>
    <xf numFmtId="49" fontId="12" fillId="2" borderId="1" xfId="0" applyNumberFormat="1" applyFont="1" applyFill="1" applyBorder="1" applyAlignment="1">
      <alignment horizontal="center" vertical="top" wrapText="1"/>
    </xf>
    <xf numFmtId="167" fontId="26" fillId="2" borderId="1" xfId="0" applyNumberFormat="1" applyFont="1" applyFill="1" applyBorder="1" applyAlignment="1">
      <alignment horizontal="center"/>
    </xf>
    <xf numFmtId="49" fontId="26" fillId="2" borderId="2" xfId="0" applyNumberFormat="1" applyFont="1" applyFill="1" applyBorder="1" applyAlignment="1">
      <alignment horizontal="center" wrapText="1"/>
    </xf>
    <xf numFmtId="49" fontId="26" fillId="2" borderId="3" xfId="0" applyNumberFormat="1" applyFont="1" applyFill="1" applyBorder="1" applyAlignment="1">
      <alignment horizontal="center" wrapText="1"/>
    </xf>
    <xf numFmtId="49" fontId="26" fillId="2" borderId="4" xfId="0" applyNumberFormat="1" applyFont="1" applyFill="1" applyBorder="1" applyAlignment="1">
      <alignment horizontal="center" wrapText="1"/>
    </xf>
    <xf numFmtId="49" fontId="21" fillId="2" borderId="1" xfId="0" applyNumberFormat="1" applyFont="1" applyFill="1" applyBorder="1" applyAlignment="1">
      <alignment horizontal="center" vertical="top" wrapText="1"/>
    </xf>
    <xf numFmtId="49" fontId="27" fillId="2" borderId="1" xfId="0" applyNumberFormat="1" applyFont="1" applyFill="1" applyBorder="1" applyAlignment="1">
      <alignment horizontal="center" vertical="top" wrapText="1"/>
    </xf>
    <xf numFmtId="166" fontId="29" fillId="2" borderId="1" xfId="0" applyNumberFormat="1" applyFont="1" applyFill="1" applyBorder="1" applyAlignment="1">
      <alignment horizontal="center" wrapText="1"/>
    </xf>
    <xf numFmtId="166" fontId="22" fillId="2" borderId="1" xfId="0" applyNumberFormat="1" applyFont="1" applyFill="1" applyBorder="1" applyAlignment="1">
      <alignment horizontal="center" wrapText="1"/>
    </xf>
    <xf numFmtId="0" fontId="8" fillId="3" borderId="0" xfId="0" applyFont="1" applyFill="1" applyAlignment="1">
      <alignment horizontal="center" wrapText="1"/>
    </xf>
    <xf numFmtId="16" fontId="33" fillId="2" borderId="6" xfId="0" quotePrefix="1" applyNumberFormat="1" applyFont="1" applyFill="1" applyBorder="1" applyAlignment="1">
      <alignment horizontal="right" wrapText="1"/>
    </xf>
    <xf numFmtId="43" fontId="36" fillId="0" borderId="0" xfId="6" applyFont="1"/>
  </cellXfs>
  <cellStyles count="8">
    <cellStyle name="Comma" xfId="1" builtinId="3"/>
    <cellStyle name="Comma 10 13" xfId="2" xr:uid="{00000000-0005-0000-0000-000001000000}"/>
    <cellStyle name="Comma 2" xfId="6" xr:uid="{00000000-0005-0000-0000-000002000000}"/>
    <cellStyle name="Comma 3 2" xfId="3" xr:uid="{00000000-0005-0000-0000-000003000000}"/>
    <cellStyle name="Normal" xfId="0" builtinId="0"/>
    <cellStyle name="Normal 2" xfId="7" xr:uid="{6E835889-8A32-48B2-8C41-226AFE52856D}"/>
    <cellStyle name="Normal 27 2" xfId="5" xr:uid="{00000000-0005-0000-0000-000005000000}"/>
    <cellStyle name="Percent 2 2" xfId="4" xr:uid="{00000000-0005-0000-0000-000007000000}"/>
  </cellStyles>
  <dxfs count="0"/>
  <tableStyles count="0" defaultTableStyle="TableStyleMedium2" defaultPivotStyle="PivotStyleLight16"/>
  <colors>
    <mruColors>
      <color rgb="FF0C6856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ysClr val="windowText" lastClr="000000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>
                <a:solidFill>
                  <a:sysClr val="windowText" lastClr="000000"/>
                </a:solidFill>
              </a:rPr>
              <a:t>NAV BY CLASSES OF FUND (N'Bn): JAN - MAR 2023</a:t>
            </a:r>
          </a:p>
        </c:rich>
      </c:tx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ysClr val="windowText" lastClr="000000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4365911696382779E-2"/>
          <c:y val="0.12704992830139486"/>
          <c:w val="0.94540908679518509"/>
          <c:h val="0.73327195070502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Comparison'!$B$4</c:f>
              <c:strCache>
                <c:ptCount val="1"/>
                <c:pt idx="0">
                  <c:v>Jan 2023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Comparison'!$B$5:$B$12</c:f>
              <c:numCache>
                <c:formatCode>_(* #,##0.00_);_(* \(#,##0.00\);_(* "-"??_);_(@_)</c:formatCode>
                <c:ptCount val="8"/>
                <c:pt idx="0">
                  <c:v>16.908516222279999</c:v>
                </c:pt>
                <c:pt idx="1">
                  <c:v>695.06269248001001</c:v>
                </c:pt>
                <c:pt idx="2">
                  <c:v>353.82214594098997</c:v>
                </c:pt>
                <c:pt idx="3">
                  <c:v>321.92234233432004</c:v>
                </c:pt>
                <c:pt idx="4">
                  <c:v>46.357532510620004</c:v>
                </c:pt>
                <c:pt idx="5">
                  <c:v>30.595879635870201</c:v>
                </c:pt>
                <c:pt idx="6">
                  <c:v>3.0550927124899996</c:v>
                </c:pt>
                <c:pt idx="7">
                  <c:v>22.969877180849998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60-45B9-A30A-C545D9245C39}"/>
            </c:ext>
          </c:extLst>
        </c:ser>
        <c:ser>
          <c:idx val="1"/>
          <c:order val="1"/>
          <c:tx>
            <c:strRef>
              <c:f>'NAV Comparison'!$C$4</c:f>
              <c:strCache>
                <c:ptCount val="1"/>
                <c:pt idx="0">
                  <c:v>Feb 2023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Comparison'!$C$5:$C$12</c:f>
              <c:numCache>
                <c:formatCode>_(* #,##0.00_);_(* \(#,##0.00\);_(* "-"??_);_(@_)</c:formatCode>
                <c:ptCount val="8"/>
                <c:pt idx="0">
                  <c:v>17.475775177479999</c:v>
                </c:pt>
                <c:pt idx="1">
                  <c:v>769.36595477856997</c:v>
                </c:pt>
                <c:pt idx="2">
                  <c:v>337.46479226241996</c:v>
                </c:pt>
                <c:pt idx="3">
                  <c:v>321.187212794635</c:v>
                </c:pt>
                <c:pt idx="4">
                  <c:v>46.530408764599997</c:v>
                </c:pt>
                <c:pt idx="5">
                  <c:v>31.462784542599998</c:v>
                </c:pt>
                <c:pt idx="6">
                  <c:v>3.1839281716899999</c:v>
                </c:pt>
                <c:pt idx="7">
                  <c:v>23.254934570050001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60-45B9-A30A-C545D9245C39}"/>
            </c:ext>
          </c:extLst>
        </c:ser>
        <c:ser>
          <c:idx val="2"/>
          <c:order val="2"/>
          <c:tx>
            <c:strRef>
              <c:f>'NAV Comparison'!$D$4</c:f>
              <c:strCache>
                <c:ptCount val="1"/>
                <c:pt idx="0">
                  <c:v>March 2023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Comparison'!$D$5:$D$12</c:f>
              <c:numCache>
                <c:formatCode>_(* #,##0.00_);_(* \(#,##0.00\);_(* "-"??_);_(@_)</c:formatCode>
                <c:ptCount val="8"/>
                <c:pt idx="0">
                  <c:v>17.162105333066602</c:v>
                </c:pt>
                <c:pt idx="1">
                  <c:v>804.66001574395</c:v>
                </c:pt>
                <c:pt idx="2">
                  <c:v>325.72723700436001</c:v>
                </c:pt>
                <c:pt idx="3">
                  <c:v>324.11359301700202</c:v>
                </c:pt>
                <c:pt idx="4">
                  <c:v>46.394476576620001</c:v>
                </c:pt>
                <c:pt idx="5">
                  <c:v>31.003962360459997</c:v>
                </c:pt>
                <c:pt idx="6">
                  <c:v>3.01376989169</c:v>
                </c:pt>
                <c:pt idx="7">
                  <c:v>24.677036094049999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27-4D1A-8B13-AC6A61F1B00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</c:rich>
      </c:tx>
      <c:layout>
        <c:manualLayout>
          <c:xMode val="edge"/>
          <c:yMode val="edge"/>
          <c:x val="0.2318438431180958"/>
          <c:y val="1.752753154170248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lt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217560112984174"/>
          <c:y val="0.16745090014142081"/>
          <c:w val="0.84316500743410161"/>
          <c:h val="0.81423920364184155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March 2023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4ED-4F83-A203-9FCC25B0DFA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4ED-4F83-A203-9FCC25B0DFA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4ED-4F83-A203-9FCC25B0DFAD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4ED-4F83-A203-9FCC25B0DFAD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4ED-4F83-A203-9FCC25B0DFAD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4ED-4F83-A203-9FCC25B0DFAD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4ED-4F83-A203-9FCC25B0DFAD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4ED-4F83-A203-9FCC25B0DFAD}"/>
              </c:ext>
            </c:extLst>
          </c:dPt>
          <c:dLbls>
            <c:dLbl>
              <c:idx val="0"/>
              <c:layout>
                <c:manualLayout>
                  <c:x val="-4.3124205825803251E-2"/>
                  <c:y val="0.115998558608086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ED-4F83-A203-9FCC25B0DFAD}"/>
                </c:ext>
              </c:extLst>
            </c:dLbl>
            <c:dLbl>
              <c:idx val="1"/>
              <c:layout>
                <c:manualLayout>
                  <c:x val="-8.3929154372232542E-2"/>
                  <c:y val="5.52374088609937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ED-4F83-A203-9FCC25B0DFAD}"/>
                </c:ext>
              </c:extLst>
            </c:dLbl>
            <c:dLbl>
              <c:idx val="2"/>
              <c:layout>
                <c:manualLayout>
                  <c:x val="-6.3908902826365646E-2"/>
                  <c:y val="-8.285611329149063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ED-4F83-A203-9FCC25B0DFAD}"/>
                </c:ext>
              </c:extLst>
            </c:dLbl>
            <c:dLbl>
              <c:idx val="3"/>
              <c:layout>
                <c:manualLayout>
                  <c:x val="-2.652695514873012E-2"/>
                  <c:y val="-6.352302019014281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4ED-4F83-A203-9FCC25B0DFAD}"/>
                </c:ext>
              </c:extLst>
            </c:dLbl>
            <c:dLbl>
              <c:idx val="4"/>
              <c:layout>
                <c:manualLayout>
                  <c:x val="-2.2105334402515702E-2"/>
                  <c:y val="-0.102189206392838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4ED-4F83-A203-9FCC25B0DFAD}"/>
                </c:ext>
              </c:extLst>
            </c:dLbl>
            <c:dLbl>
              <c:idx val="5"/>
              <c:layout>
                <c:manualLayout>
                  <c:x val="0.17345977414073466"/>
                  <c:y val="7.18087014623514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4ED-4F83-A203-9FCC25B0DFAD}"/>
                </c:ext>
              </c:extLst>
            </c:dLbl>
            <c:dLbl>
              <c:idx val="6"/>
              <c:layout>
                <c:manualLayout>
                  <c:x val="-0.11676596925004035"/>
                  <c:y val="0.1159985586080868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4ED-4F83-A203-9FCC25B0DFAD}"/>
                </c:ext>
              </c:extLst>
            </c:dLbl>
            <c:dLbl>
              <c:idx val="7"/>
              <c:layout>
                <c:manualLayout>
                  <c:x val="-0.23297582723395927"/>
                  <c:y val="-0.3286625827229128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4ED-4F83-A203-9FCC25B0DFAD}"/>
                </c:ext>
              </c:extLst>
            </c:dLbl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SHARI'AH COMPLAINT FUNDS</c:v>
                </c:pt>
                <c:pt idx="3">
                  <c:v>BALANCED FUNDS</c:v>
                </c:pt>
                <c:pt idx="4">
                  <c:v>REAL ESTATE INVESTMENT TRUST</c:v>
                </c:pt>
                <c:pt idx="5">
                  <c:v>DOLLAR FUNDS</c:v>
                </c:pt>
                <c:pt idx="6">
                  <c:v>BONDS/FIXED INCOME FUNDS</c:v>
                </c:pt>
                <c:pt idx="7">
                  <c:v>MONEY MARKET FUNDS</c:v>
                </c:pt>
              </c:strCache>
            </c:strRef>
          </c:cat>
          <c:val>
            <c:numRef>
              <c:f>'Market Share'!$B$2:$B$9</c:f>
              <c:numCache>
                <c:formatCode>_(* #,##0.00_);_(* \(#,##0.00\);_(* "-"??_);_(@_)</c:formatCode>
                <c:ptCount val="8"/>
                <c:pt idx="0">
                  <c:v>3013769891.6900001</c:v>
                </c:pt>
                <c:pt idx="1">
                  <c:v>17162105333.066624</c:v>
                </c:pt>
                <c:pt idx="2">
                  <c:v>24677036094.049999</c:v>
                </c:pt>
                <c:pt idx="3">
                  <c:v>31003962360.459999</c:v>
                </c:pt>
                <c:pt idx="4">
                  <c:v>46394476576.619995</c:v>
                </c:pt>
                <c:pt idx="5">
                  <c:v>324113593017.00153</c:v>
                </c:pt>
                <c:pt idx="6">
                  <c:v>325727237004.36005</c:v>
                </c:pt>
                <c:pt idx="7">
                  <c:v>804660015743.9502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23-4F76-8609-5E1FC182E85C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UNITHOLDERS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Unitholders!$B$5</c:f>
              <c:strCache>
                <c:ptCount val="1"/>
                <c:pt idx="0">
                  <c:v>UNIT HOLDERS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Unitholders!$A$6:$A$13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Unitholders!$B$6:$B$13</c:f>
              <c:numCache>
                <c:formatCode>_(* #,##0_);_(* \(#,##0\);_(* "-"??_);_(@_)</c:formatCode>
                <c:ptCount val="8"/>
                <c:pt idx="0">
                  <c:v>39932</c:v>
                </c:pt>
                <c:pt idx="1">
                  <c:v>219154</c:v>
                </c:pt>
                <c:pt idx="2">
                  <c:v>49632</c:v>
                </c:pt>
                <c:pt idx="3">
                  <c:v>10691</c:v>
                </c:pt>
                <c:pt idx="4">
                  <c:v>7983</c:v>
                </c:pt>
                <c:pt idx="5">
                  <c:v>47364</c:v>
                </c:pt>
                <c:pt idx="6">
                  <c:v>11051</c:v>
                </c:pt>
                <c:pt idx="7">
                  <c:v>17866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D0-443E-8C73-1420CF4870E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1014904000"/>
        <c:axId val="1014895840"/>
      </c:barChart>
      <c:catAx>
        <c:axId val="10149040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895840"/>
        <c:crosses val="autoZero"/>
        <c:auto val="1"/>
        <c:lblAlgn val="ctr"/>
        <c:lblOffset val="100"/>
        <c:noMultiLvlLbl val="0"/>
      </c:catAx>
      <c:valAx>
        <c:axId val="1014895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904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none" strike="noStrike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Calibri" panose="020F0502020204030204"/>
              </a:rPr>
              <a:t>UNITHOLDERS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Unitholders!$B$5</c:f>
              <c:strCache>
                <c:ptCount val="1"/>
                <c:pt idx="0">
                  <c:v>UNIT HOLDERS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Unitholders!$A$6:$A$13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Unitholders!$B$6:$B$13</c:f>
              <c:numCache>
                <c:formatCode>_(* #,##0_);_(* \(#,##0\);_(* "-"??_);_(@_)</c:formatCode>
                <c:ptCount val="8"/>
                <c:pt idx="0">
                  <c:v>39932</c:v>
                </c:pt>
                <c:pt idx="1">
                  <c:v>219154</c:v>
                </c:pt>
                <c:pt idx="2">
                  <c:v>49632</c:v>
                </c:pt>
                <c:pt idx="3">
                  <c:v>10691</c:v>
                </c:pt>
                <c:pt idx="4">
                  <c:v>7983</c:v>
                </c:pt>
                <c:pt idx="5">
                  <c:v>47364</c:v>
                </c:pt>
                <c:pt idx="6">
                  <c:v>11051</c:v>
                </c:pt>
                <c:pt idx="7">
                  <c:v>17866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08-4814-998C-E89EDACDD49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axId val="1011601631"/>
        <c:axId val="1011608351"/>
      </c:barChart>
      <c:catAx>
        <c:axId val="10116016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CLASSES OF FUND</a:t>
                </a:r>
              </a:p>
            </c:rich>
          </c:tx>
          <c:layout>
            <c:manualLayout>
              <c:xMode val="edge"/>
              <c:yMode val="edge"/>
              <c:x val="0.4438504235574483"/>
              <c:y val="0.9061206647152333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1608351"/>
        <c:crosses val="autoZero"/>
        <c:auto val="1"/>
        <c:lblAlgn val="ctr"/>
        <c:lblOffset val="100"/>
        <c:noMultiLvlLbl val="0"/>
      </c:catAx>
      <c:valAx>
        <c:axId val="1011608351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crossAx val="1011601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6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dk1"/>
    </cs:fontRef>
    <cs:defRPr sz="9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75000"/>
            <a:lumOff val="2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  <a:lumOff val="10000"/>
              </a:schemeClr>
            </a:gs>
            <a:gs pos="0">
              <a:schemeClr val="lt1">
                <a:lumMod val="75000"/>
                <a:alpha val="36000"/>
                <a:lumOff val="10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chemeClr val="bg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/>
  </cs:title>
  <cs:trendline>
    <cs:lnRef idx="0"/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9525</xdr:rowOff>
    </xdr:from>
    <xdr:to>
      <xdr:col>11</xdr:col>
      <xdr:colOff>548640</xdr:colOff>
      <xdr:row>22</xdr:row>
      <xdr:rowOff>137160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582705</xdr:colOff>
      <xdr:row>30</xdr:row>
      <xdr:rowOff>100853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171450</xdr:colOff>
      <xdr:row>3</xdr:row>
      <xdr:rowOff>57151</xdr:rowOff>
    </xdr:from>
    <xdr:to>
      <xdr:col>8</xdr:col>
      <xdr:colOff>28576</xdr:colOff>
      <xdr:row>15</xdr:row>
      <xdr:rowOff>66676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605D71D-361A-0FF5-C768-7F3E5CAB58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590550</xdr:colOff>
      <xdr:row>18</xdr:row>
      <xdr:rowOff>14288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D376096-6B4C-F10D-2DF2-F7E5BB6744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Tunde%20Isaac\Monthly%20Spreadsheet%20of%20Mutual%20Funds\Monthly%20Mutal%20Fund%20Updates%202023\Update%20on%20Registered%20Mutual%20Funds%20as%20at%20January%202023.xlsx" TargetMode="External"/><Relationship Id="rId1" Type="http://schemas.openxmlformats.org/officeDocument/2006/relationships/externalLinkPath" Target="Update%20on%20Registered%20Mutual%20Funds%20as%20at%20January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uary 2023"/>
      <sheetName val="NAV Comparison"/>
      <sheetName val="Market Share"/>
      <sheetName val="Unitholders"/>
    </sheetNames>
    <sheetDataSet>
      <sheetData sheetId="0"/>
      <sheetData sheetId="1">
        <row r="4">
          <cell r="B4" t="str">
            <v>Dec 2022</v>
          </cell>
          <cell r="C4" t="str">
            <v>Jan 2023</v>
          </cell>
        </row>
        <row r="5">
          <cell r="A5" t="str">
            <v>EQUITY BASED FUNDS</v>
          </cell>
          <cell r="B5">
            <v>16.142783399100001</v>
          </cell>
          <cell r="C5">
            <v>16.908516222279999</v>
          </cell>
        </row>
        <row r="6">
          <cell r="A6" t="str">
            <v>MONEY MARKET FUNDS</v>
          </cell>
          <cell r="B6">
            <v>624.79205500497994</v>
          </cell>
          <cell r="C6">
            <v>695.06269248001001</v>
          </cell>
        </row>
        <row r="7">
          <cell r="A7" t="str">
            <v>BONDS/FIXED INCOME FUNDS</v>
          </cell>
          <cell r="B7">
            <v>347.37379602212002</v>
          </cell>
          <cell r="C7">
            <v>353.82214594098997</v>
          </cell>
        </row>
        <row r="8">
          <cell r="A8" t="str">
            <v>DOLLAR FUNDS</v>
          </cell>
          <cell r="B8">
            <v>325.96844610193</v>
          </cell>
          <cell r="C8">
            <v>321.92234233432004</v>
          </cell>
        </row>
        <row r="9">
          <cell r="A9" t="str">
            <v>REAL ESTATE INVESTMENT TRUST</v>
          </cell>
          <cell r="B9">
            <v>45.688239118309994</v>
          </cell>
          <cell r="C9">
            <v>46.357532510620004</v>
          </cell>
        </row>
        <row r="10">
          <cell r="A10" t="str">
            <v>BALANCED FUNDS</v>
          </cell>
          <cell r="B10">
            <v>30.274803491250001</v>
          </cell>
          <cell r="C10">
            <v>30.595879635870201</v>
          </cell>
        </row>
        <row r="11">
          <cell r="A11" t="str">
            <v>ETHICAL FUNDS</v>
          </cell>
          <cell r="B11">
            <v>2.9725528787399997</v>
          </cell>
          <cell r="C11">
            <v>3.0550927124899996</v>
          </cell>
        </row>
        <row r="12">
          <cell r="A12" t="str">
            <v>SHARI'AH COMPLAINT FUNDS</v>
          </cell>
          <cell r="B12">
            <v>22.62378840873</v>
          </cell>
          <cell r="C12">
            <v>22.969877180849998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AEA4D-F2E2-4347-A2A8-A76B9964E5AB}">
  <dimension ref="A1:U169"/>
  <sheetViews>
    <sheetView tabSelected="1" workbookViewId="0">
      <pane ySplit="2" topLeftCell="A3" activePane="bottomLeft" state="frozen"/>
      <selection pane="bottomLeft" activeCell="A2" sqref="A2"/>
    </sheetView>
  </sheetViews>
  <sheetFormatPr defaultRowHeight="15"/>
  <cols>
    <col min="1" max="1" width="6.7109375" customWidth="1"/>
    <col min="2" max="2" width="53.7109375" customWidth="1"/>
    <col min="3" max="3" width="47" customWidth="1"/>
    <col min="4" max="4" width="21.5703125" customWidth="1"/>
    <col min="5" max="5" width="19.140625" customWidth="1"/>
    <col min="6" max="6" width="19.7109375" customWidth="1"/>
    <col min="7" max="7" width="20" customWidth="1"/>
    <col min="8" max="8" width="22" customWidth="1"/>
    <col min="9" max="9" width="9.140625" customWidth="1"/>
    <col min="10" max="10" width="23" customWidth="1"/>
    <col min="12" max="12" width="11.5703125" customWidth="1"/>
    <col min="13" max="13" width="12.140625" customWidth="1"/>
    <col min="14" max="14" width="12.5703125" customWidth="1"/>
    <col min="15" max="15" width="12.140625" customWidth="1"/>
    <col min="16" max="16" width="12.7109375" customWidth="1"/>
    <col min="17" max="18" width="14.42578125" customWidth="1"/>
    <col min="19" max="19" width="13.7109375" customWidth="1"/>
    <col min="20" max="21" width="20.140625" customWidth="1"/>
  </cols>
  <sheetData>
    <row r="1" spans="1:21" ht="38.25" customHeight="1">
      <c r="A1" s="112" t="s">
        <v>208</v>
      </c>
      <c r="B1" s="112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</row>
    <row r="2" spans="1:21" ht="48" customHeight="1">
      <c r="A2" s="15" t="s">
        <v>11</v>
      </c>
      <c r="B2" s="15" t="s">
        <v>210</v>
      </c>
      <c r="C2" s="15" t="s">
        <v>211</v>
      </c>
      <c r="D2" s="15" t="s">
        <v>213</v>
      </c>
      <c r="E2" s="15" t="s">
        <v>212</v>
      </c>
      <c r="F2" s="15" t="s">
        <v>214</v>
      </c>
      <c r="G2" s="16" t="s">
        <v>215</v>
      </c>
      <c r="H2" s="15" t="s">
        <v>216</v>
      </c>
      <c r="I2" s="15" t="s">
        <v>217</v>
      </c>
      <c r="J2" s="15" t="s">
        <v>218</v>
      </c>
      <c r="K2" s="15" t="s">
        <v>217</v>
      </c>
      <c r="L2" s="15" t="s">
        <v>219</v>
      </c>
      <c r="M2" s="15" t="s">
        <v>220</v>
      </c>
      <c r="N2" s="15" t="s">
        <v>221</v>
      </c>
      <c r="O2" s="15" t="s">
        <v>222</v>
      </c>
      <c r="P2" s="15" t="s">
        <v>223</v>
      </c>
      <c r="Q2" s="15" t="s">
        <v>224</v>
      </c>
      <c r="R2" s="15" t="s">
        <v>225</v>
      </c>
      <c r="S2" s="15" t="s">
        <v>226</v>
      </c>
      <c r="T2" s="15" t="s">
        <v>227</v>
      </c>
      <c r="U2" s="15" t="s">
        <v>228</v>
      </c>
    </row>
    <row r="3" spans="1:21" ht="6" customHeight="1">
      <c r="A3" s="114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</row>
    <row r="4" spans="1:21" ht="15.75" customHeight="1">
      <c r="A4" s="119" t="s">
        <v>0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</row>
    <row r="5" spans="1:21" ht="15" customHeight="1">
      <c r="A5" s="17">
        <v>1</v>
      </c>
      <c r="B5" s="18" t="s">
        <v>12</v>
      </c>
      <c r="C5" s="18" t="s">
        <v>13</v>
      </c>
      <c r="D5" s="19">
        <v>432274629.17000002</v>
      </c>
      <c r="E5" s="19">
        <v>795240.99</v>
      </c>
      <c r="F5" s="19">
        <v>899456.84</v>
      </c>
      <c r="G5" s="20">
        <v>-104215.85</v>
      </c>
      <c r="H5" s="21">
        <v>440384958.29000002</v>
      </c>
      <c r="I5" s="60">
        <f t="shared" ref="I5:I20" si="0">(H5/$H$21)</f>
        <v>2.5199738141372871E-2</v>
      </c>
      <c r="J5" s="21">
        <v>426531501.76999998</v>
      </c>
      <c r="K5" s="60">
        <f>(J5/$J$21)</f>
        <v>2.4853098934673936E-2</v>
      </c>
      <c r="L5" s="60">
        <f>((J5-H5)/H5)</f>
        <v>-3.1457606031306214E-2</v>
      </c>
      <c r="M5" s="52">
        <f t="shared" ref="M5" si="1">(F5/J5)</f>
        <v>2.1087700117517162E-3</v>
      </c>
      <c r="N5" s="53">
        <f t="shared" ref="N5" si="2">G5/J5</f>
        <v>-2.4433330145025647E-4</v>
      </c>
      <c r="O5" s="54">
        <f t="shared" ref="O5" si="3">J5/U5</f>
        <v>199.64794404527885</v>
      </c>
      <c r="P5" s="54">
        <f t="shared" ref="P5" si="4">G5/U5</f>
        <v>-4.878064129633905E-2</v>
      </c>
      <c r="Q5" s="26">
        <v>199.64789999999999</v>
      </c>
      <c r="R5" s="26">
        <v>202.834</v>
      </c>
      <c r="S5" s="35">
        <v>1717</v>
      </c>
      <c r="T5" s="35">
        <v>2141941.4053000002</v>
      </c>
      <c r="U5" s="35">
        <v>2136418.2026</v>
      </c>
    </row>
    <row r="6" spans="1:21" ht="15.75">
      <c r="A6" s="17">
        <v>2</v>
      </c>
      <c r="B6" s="18" t="s">
        <v>14</v>
      </c>
      <c r="C6" s="18" t="s">
        <v>15</v>
      </c>
      <c r="D6" s="19">
        <v>465924420.58999997</v>
      </c>
      <c r="E6" s="19">
        <v>1161438.98</v>
      </c>
      <c r="F6" s="19">
        <v>4492065.3099999996</v>
      </c>
      <c r="G6" s="20">
        <v>-3330626.33</v>
      </c>
      <c r="H6" s="21">
        <v>473228472.94</v>
      </c>
      <c r="I6" s="60">
        <f t="shared" si="0"/>
        <v>2.7079111978381459E-2</v>
      </c>
      <c r="J6" s="21">
        <v>462768157.35000002</v>
      </c>
      <c r="K6" s="60">
        <f t="shared" ref="K6:K20" si="5">(J6/$J$21)</f>
        <v>2.6964533101796896E-2</v>
      </c>
      <c r="L6" s="60">
        <f t="shared" ref="L6:L20" si="6">((J6-H6)/H6)</f>
        <v>-2.2104155155782908E-2</v>
      </c>
      <c r="M6" s="52">
        <f t="shared" ref="M6:M20" si="7">(F6/J6)</f>
        <v>9.7069455593561255E-3</v>
      </c>
      <c r="N6" s="53">
        <f t="shared" ref="N6:N20" si="8">G6/J6</f>
        <v>-7.1971813036413963E-3</v>
      </c>
      <c r="O6" s="54">
        <f t="shared" ref="O6:O20" si="9">J6/U6</f>
        <v>155.64282692504563</v>
      </c>
      <c r="P6" s="54">
        <f t="shared" ref="P6:P20" si="10">G6/U6</f>
        <v>-1.1201896439908321</v>
      </c>
      <c r="Q6" s="26">
        <v>158.71</v>
      </c>
      <c r="R6" s="26">
        <v>160.41999999999999</v>
      </c>
      <c r="S6" s="35">
        <v>306</v>
      </c>
      <c r="T6" s="35">
        <v>2978627.87</v>
      </c>
      <c r="U6" s="35">
        <v>2973270.06</v>
      </c>
    </row>
    <row r="7" spans="1:21" ht="15.75">
      <c r="A7" s="17">
        <v>3</v>
      </c>
      <c r="B7" s="18" t="s">
        <v>16</v>
      </c>
      <c r="C7" s="28" t="s">
        <v>17</v>
      </c>
      <c r="D7" s="26">
        <v>2144017674.1300001</v>
      </c>
      <c r="E7" s="19">
        <v>23766342.149999999</v>
      </c>
      <c r="F7" s="19">
        <v>2923227.34</v>
      </c>
      <c r="G7" s="20">
        <v>-50878094.340000004</v>
      </c>
      <c r="H7" s="21">
        <v>2499015767</v>
      </c>
      <c r="I7" s="60">
        <f t="shared" si="0"/>
        <v>0.14299885078747948</v>
      </c>
      <c r="J7" s="21">
        <v>2440199109</v>
      </c>
      <c r="K7" s="60">
        <f t="shared" si="5"/>
        <v>0.1421853007916466</v>
      </c>
      <c r="L7" s="60">
        <f t="shared" si="6"/>
        <v>-2.3535929135256234E-2</v>
      </c>
      <c r="M7" s="52">
        <f t="shared" si="7"/>
        <v>1.1979462369355368E-3</v>
      </c>
      <c r="N7" s="53">
        <f t="shared" si="8"/>
        <v>-2.0849976607380197E-2</v>
      </c>
      <c r="O7" s="54">
        <f t="shared" si="9"/>
        <v>23.447749291983797</v>
      </c>
      <c r="P7" s="54">
        <f t="shared" si="10"/>
        <v>-0.48888502423357777</v>
      </c>
      <c r="Q7" s="26">
        <v>23.330500000000001</v>
      </c>
      <c r="R7" s="26">
        <v>24.033899999999999</v>
      </c>
      <c r="S7" s="35">
        <v>738</v>
      </c>
      <c r="T7" s="35">
        <v>104300394</v>
      </c>
      <c r="U7" s="35">
        <v>104069652</v>
      </c>
    </row>
    <row r="8" spans="1:21" ht="15.75">
      <c r="A8" s="17">
        <v>4</v>
      </c>
      <c r="B8" s="29" t="s">
        <v>18</v>
      </c>
      <c r="C8" s="29" t="s">
        <v>19</v>
      </c>
      <c r="D8" s="19">
        <v>215959127.19999999</v>
      </c>
      <c r="E8" s="19">
        <v>6906469.4100000001</v>
      </c>
      <c r="F8" s="19">
        <v>629364.37</v>
      </c>
      <c r="G8" s="20">
        <v>6277105.04</v>
      </c>
      <c r="H8" s="21">
        <v>273343219.52999997</v>
      </c>
      <c r="I8" s="60">
        <f t="shared" si="0"/>
        <v>1.5641264364755689E-2</v>
      </c>
      <c r="J8" s="21">
        <v>243081088.03999999</v>
      </c>
      <c r="K8" s="60">
        <f t="shared" si="5"/>
        <v>1.4163826833742248E-2</v>
      </c>
      <c r="L8" s="60">
        <f t="shared" si="6"/>
        <v>-0.11071111089579688</v>
      </c>
      <c r="M8" s="52">
        <f t="shared" si="7"/>
        <v>2.5891128556098757E-3</v>
      </c>
      <c r="N8" s="53">
        <f t="shared" si="8"/>
        <v>2.5823090930739444E-2</v>
      </c>
      <c r="O8" s="54">
        <f t="shared" si="9"/>
        <v>143.09750484232302</v>
      </c>
      <c r="P8" s="54">
        <f t="shared" si="10"/>
        <v>3.6952198795052347</v>
      </c>
      <c r="Q8" s="26">
        <v>142.38</v>
      </c>
      <c r="R8" s="26">
        <v>143.1</v>
      </c>
      <c r="S8" s="35">
        <v>582</v>
      </c>
      <c r="T8" s="35">
        <v>1689299.03</v>
      </c>
      <c r="U8" s="35">
        <v>1698709.48</v>
      </c>
    </row>
    <row r="9" spans="1:21" ht="15.75">
      <c r="A9" s="17">
        <v>5</v>
      </c>
      <c r="B9" s="18" t="s">
        <v>20</v>
      </c>
      <c r="C9" s="18" t="s">
        <v>21</v>
      </c>
      <c r="D9" s="19">
        <v>379889233.93000001</v>
      </c>
      <c r="E9" s="19">
        <v>806364.54</v>
      </c>
      <c r="F9" s="19">
        <v>954171.45</v>
      </c>
      <c r="G9" s="20">
        <v>-15646775.85</v>
      </c>
      <c r="H9" s="21">
        <v>373839134.64999998</v>
      </c>
      <c r="I9" s="60">
        <f t="shared" si="0"/>
        <v>2.1391848479015936E-2</v>
      </c>
      <c r="J9" s="21">
        <v>379889233.93000001</v>
      </c>
      <c r="K9" s="60">
        <f t="shared" si="5"/>
        <v>2.2135351494321543E-2</v>
      </c>
      <c r="L9" s="60">
        <f t="shared" si="6"/>
        <v>1.6183696994870066E-2</v>
      </c>
      <c r="M9" s="52">
        <f t="shared" si="7"/>
        <v>2.5117096373829316E-3</v>
      </c>
      <c r="N9" s="53">
        <f t="shared" si="8"/>
        <v>-4.1187731718880828E-2</v>
      </c>
      <c r="O9" s="54">
        <f t="shared" si="9"/>
        <v>176.1794521030134</v>
      </c>
      <c r="P9" s="54">
        <f t="shared" si="10"/>
        <v>-7.2564320075983311</v>
      </c>
      <c r="Q9" s="26">
        <v>176.18</v>
      </c>
      <c r="R9" s="26">
        <v>178.5</v>
      </c>
      <c r="S9" s="35">
        <v>1444</v>
      </c>
      <c r="T9" s="35">
        <v>2156684</v>
      </c>
      <c r="U9" s="35">
        <v>2156263</v>
      </c>
    </row>
    <row r="10" spans="1:21" ht="15.75">
      <c r="A10" s="17">
        <v>6</v>
      </c>
      <c r="B10" s="18" t="s">
        <v>22</v>
      </c>
      <c r="C10" s="28" t="s">
        <v>23</v>
      </c>
      <c r="D10" s="19">
        <v>272000143.64999998</v>
      </c>
      <c r="E10" s="19">
        <v>1633559.88</v>
      </c>
      <c r="F10" s="19">
        <v>740879.35</v>
      </c>
      <c r="G10" s="20">
        <v>892680.53</v>
      </c>
      <c r="H10" s="21">
        <v>270991832.27999997</v>
      </c>
      <c r="I10" s="60">
        <f t="shared" si="0"/>
        <v>1.5506713123044245E-2</v>
      </c>
      <c r="J10" s="21">
        <v>263425033.59</v>
      </c>
      <c r="K10" s="60">
        <f t="shared" si="5"/>
        <v>1.5349226011476163E-2</v>
      </c>
      <c r="L10" s="60">
        <f t="shared" si="6"/>
        <v>-2.7922607948499489E-2</v>
      </c>
      <c r="M10" s="52">
        <f t="shared" si="7"/>
        <v>2.8124864972139262E-3</v>
      </c>
      <c r="N10" s="53">
        <f t="shared" si="8"/>
        <v>3.3887460042593591E-3</v>
      </c>
      <c r="O10" s="54">
        <f t="shared" si="9"/>
        <v>132.38569806968434</v>
      </c>
      <c r="P10" s="54">
        <f t="shared" si="10"/>
        <v>0.44862150535472883</v>
      </c>
      <c r="Q10" s="26">
        <v>132.38999999999999</v>
      </c>
      <c r="R10" s="26">
        <v>135.54</v>
      </c>
      <c r="S10" s="35">
        <v>2470</v>
      </c>
      <c r="T10" s="35">
        <v>1990359</v>
      </c>
      <c r="U10" s="35">
        <v>1989830</v>
      </c>
    </row>
    <row r="11" spans="1:21" ht="15.75">
      <c r="A11" s="17">
        <v>7</v>
      </c>
      <c r="B11" s="18" t="s">
        <v>24</v>
      </c>
      <c r="C11" s="18" t="s">
        <v>25</v>
      </c>
      <c r="D11" s="19">
        <v>26008126.874109589</v>
      </c>
      <c r="E11" s="19">
        <v>70663.013698630151</v>
      </c>
      <c r="F11" s="19">
        <v>68326.119832172073</v>
      </c>
      <c r="G11" s="20">
        <v>2336.8938664580783</v>
      </c>
      <c r="H11" s="21">
        <v>27239574.789999999</v>
      </c>
      <c r="I11" s="60">
        <f t="shared" si="0"/>
        <v>1.5587048078474959E-3</v>
      </c>
      <c r="J11" s="21">
        <v>26274947.976626258</v>
      </c>
      <c r="K11" s="60">
        <f t="shared" si="5"/>
        <v>1.5309862902427077E-3</v>
      </c>
      <c r="L11" s="60">
        <f t="shared" si="6"/>
        <v>-3.5412697180863033E-2</v>
      </c>
      <c r="M11" s="52">
        <f t="shared" si="7"/>
        <v>2.6004283583340991E-3</v>
      </c>
      <c r="N11" s="53">
        <f t="shared" si="8"/>
        <v>8.8939999749454836E-5</v>
      </c>
      <c r="O11" s="54">
        <f t="shared" si="9"/>
        <v>104.26566657391372</v>
      </c>
      <c r="P11" s="54">
        <f t="shared" si="10"/>
        <v>9.2733883589606273E-3</v>
      </c>
      <c r="Q11" s="26">
        <v>102.53669573533733</v>
      </c>
      <c r="R11" s="26">
        <v>105.73842002228177</v>
      </c>
      <c r="S11" s="35">
        <v>2</v>
      </c>
      <c r="T11" s="35">
        <v>253000</v>
      </c>
      <c r="U11" s="35">
        <v>252000</v>
      </c>
    </row>
    <row r="12" spans="1:21" ht="15.75">
      <c r="A12" s="17">
        <v>8</v>
      </c>
      <c r="B12" s="18" t="s">
        <v>26</v>
      </c>
      <c r="C12" s="28" t="s">
        <v>27</v>
      </c>
      <c r="D12" s="19">
        <v>1038551885.1</v>
      </c>
      <c r="E12" s="20">
        <v>1266202.3799999999</v>
      </c>
      <c r="F12" s="19">
        <v>1671951.89</v>
      </c>
      <c r="G12" s="20">
        <v>405749.51</v>
      </c>
      <c r="H12" s="21">
        <v>1060206203.17</v>
      </c>
      <c r="I12" s="60">
        <f t="shared" si="0"/>
        <v>6.0667191721270546E-2</v>
      </c>
      <c r="J12" s="21">
        <v>1031974627.4299999</v>
      </c>
      <c r="K12" s="60">
        <f t="shared" si="5"/>
        <v>6.0131004174742514E-2</v>
      </c>
      <c r="L12" s="60">
        <f t="shared" si="6"/>
        <v>-2.6628381965308295E-2</v>
      </c>
      <c r="M12" s="52">
        <f t="shared" si="7"/>
        <v>1.6201482532218656E-3</v>
      </c>
      <c r="N12" s="53">
        <f t="shared" si="8"/>
        <v>3.9317779644492518E-4</v>
      </c>
      <c r="O12" s="54">
        <f t="shared" si="9"/>
        <v>2.1010572882623748</v>
      </c>
      <c r="P12" s="54">
        <f t="shared" si="10"/>
        <v>8.2608907480355041E-4</v>
      </c>
      <c r="Q12" s="26">
        <v>2.08</v>
      </c>
      <c r="R12" s="26">
        <v>2.12</v>
      </c>
      <c r="S12" s="35">
        <v>3676</v>
      </c>
      <c r="T12" s="35">
        <v>491233610</v>
      </c>
      <c r="U12" s="35">
        <v>491169200</v>
      </c>
    </row>
    <row r="13" spans="1:21" ht="15.75">
      <c r="A13" s="17">
        <v>9</v>
      </c>
      <c r="B13" s="18" t="s">
        <v>28</v>
      </c>
      <c r="C13" s="18" t="s">
        <v>29</v>
      </c>
      <c r="D13" s="19">
        <v>308767746.11000001</v>
      </c>
      <c r="E13" s="19">
        <v>542266.98</v>
      </c>
      <c r="F13" s="19">
        <v>591154.77</v>
      </c>
      <c r="G13" s="20">
        <v>9235229.3499999996</v>
      </c>
      <c r="H13" s="21">
        <v>317441034.56</v>
      </c>
      <c r="I13" s="60">
        <f t="shared" si="0"/>
        <v>1.8164632546261383E-2</v>
      </c>
      <c r="J13" s="21">
        <v>311863451.02999997</v>
      </c>
      <c r="K13" s="60">
        <f t="shared" si="5"/>
        <v>1.8171631334130404E-2</v>
      </c>
      <c r="L13" s="60">
        <f t="shared" si="6"/>
        <v>-1.7570455368919245E-2</v>
      </c>
      <c r="M13" s="52">
        <f t="shared" si="7"/>
        <v>1.8955564303786705E-3</v>
      </c>
      <c r="N13" s="53">
        <f t="shared" si="8"/>
        <v>2.9613054429746592E-2</v>
      </c>
      <c r="O13" s="54">
        <f t="shared" si="9"/>
        <v>12.927040317821177</v>
      </c>
      <c r="P13" s="54">
        <f t="shared" si="10"/>
        <v>0.38280914854716719</v>
      </c>
      <c r="Q13" s="26">
        <v>12.98</v>
      </c>
      <c r="R13" s="26">
        <v>13.05</v>
      </c>
      <c r="S13" s="35">
        <v>205</v>
      </c>
      <c r="T13" s="35">
        <v>23819800.530000001</v>
      </c>
      <c r="U13" s="35">
        <v>24124891.960000001</v>
      </c>
    </row>
    <row r="14" spans="1:21" ht="15.75">
      <c r="A14" s="17">
        <v>10</v>
      </c>
      <c r="B14" s="29" t="s">
        <v>30</v>
      </c>
      <c r="C14" s="29" t="s">
        <v>31</v>
      </c>
      <c r="D14" s="19">
        <v>299060591.19999999</v>
      </c>
      <c r="E14" s="19">
        <v>504436.64</v>
      </c>
      <c r="F14" s="19">
        <v>461982.94</v>
      </c>
      <c r="G14" s="20">
        <v>42453.7</v>
      </c>
      <c r="H14" s="21">
        <v>313431332</v>
      </c>
      <c r="I14" s="60">
        <f t="shared" si="0"/>
        <v>1.7935189072694209E-2</v>
      </c>
      <c r="J14" s="21">
        <v>305436433.41000003</v>
      </c>
      <c r="K14" s="60">
        <f t="shared" si="5"/>
        <v>1.7797142453234372E-2</v>
      </c>
      <c r="L14" s="60">
        <f t="shared" si="6"/>
        <v>-2.5507655979970675E-2</v>
      </c>
      <c r="M14" s="52">
        <f t="shared" si="7"/>
        <v>1.51253383508398E-3</v>
      </c>
      <c r="N14" s="53">
        <f t="shared" si="8"/>
        <v>1.3899356905799326E-4</v>
      </c>
      <c r="O14" s="54">
        <f t="shared" si="9"/>
        <v>1.5524806228012611</v>
      </c>
      <c r="P14" s="54">
        <f t="shared" si="10"/>
        <v>2.1578482265652348E-4</v>
      </c>
      <c r="Q14" s="26">
        <v>1.53</v>
      </c>
      <c r="R14" s="26">
        <v>1.55</v>
      </c>
      <c r="S14" s="35">
        <v>16</v>
      </c>
      <c r="T14" s="35">
        <v>196716042</v>
      </c>
      <c r="U14" s="35">
        <v>196740899</v>
      </c>
    </row>
    <row r="15" spans="1:21" ht="15.75">
      <c r="A15" s="17">
        <v>11</v>
      </c>
      <c r="B15" s="18" t="s">
        <v>32</v>
      </c>
      <c r="C15" s="18" t="s">
        <v>33</v>
      </c>
      <c r="D15" s="19">
        <v>754640556.74000001</v>
      </c>
      <c r="E15" s="19">
        <v>7658011.5999999996</v>
      </c>
      <c r="F15" s="19">
        <v>1780456.83</v>
      </c>
      <c r="G15" s="20">
        <v>5877554.7699999996</v>
      </c>
      <c r="H15" s="21">
        <v>778064582.27999997</v>
      </c>
      <c r="I15" s="60">
        <f t="shared" si="0"/>
        <v>4.4522464633365497E-2</v>
      </c>
      <c r="J15" s="21">
        <v>749696610.78999996</v>
      </c>
      <c r="K15" s="60">
        <f t="shared" si="5"/>
        <v>4.3683254253517614E-2</v>
      </c>
      <c r="L15" s="60">
        <f t="shared" si="6"/>
        <v>-3.6459661750534875E-2</v>
      </c>
      <c r="M15" s="52">
        <f t="shared" si="7"/>
        <v>2.3749031333139235E-3</v>
      </c>
      <c r="N15" s="53">
        <f t="shared" si="8"/>
        <v>7.839911085907765E-3</v>
      </c>
      <c r="O15" s="54">
        <f t="shared" si="9"/>
        <v>19.066024854337197</v>
      </c>
      <c r="P15" s="54">
        <f t="shared" si="10"/>
        <v>0.14947593961971117</v>
      </c>
      <c r="Q15" s="26">
        <v>19.420000000000002</v>
      </c>
      <c r="R15" s="26">
        <v>19.82</v>
      </c>
      <c r="S15" s="35">
        <v>8849</v>
      </c>
      <c r="T15" s="35">
        <v>37669312.969999999</v>
      </c>
      <c r="U15" s="35">
        <v>39321075.920000002</v>
      </c>
    </row>
    <row r="16" spans="1:21" ht="15.75">
      <c r="A16" s="17">
        <v>12</v>
      </c>
      <c r="B16" s="28" t="s">
        <v>34</v>
      </c>
      <c r="C16" s="18" t="s">
        <v>35</v>
      </c>
      <c r="D16" s="30">
        <v>347117300.98000002</v>
      </c>
      <c r="E16" s="30">
        <v>32499.42</v>
      </c>
      <c r="F16" s="30">
        <v>531137.87</v>
      </c>
      <c r="G16" s="30">
        <v>-4959817.12</v>
      </c>
      <c r="H16" s="26">
        <v>353845192.12</v>
      </c>
      <c r="I16" s="60">
        <f t="shared" si="0"/>
        <v>2.0247753734894656E-2</v>
      </c>
      <c r="J16" s="26">
        <v>353845192.12</v>
      </c>
      <c r="K16" s="60">
        <f t="shared" si="5"/>
        <v>2.0617819623693738E-2</v>
      </c>
      <c r="L16" s="60">
        <f t="shared" si="6"/>
        <v>0</v>
      </c>
      <c r="M16" s="52">
        <f t="shared" si="7"/>
        <v>1.5010458862469848E-3</v>
      </c>
      <c r="N16" s="53">
        <f t="shared" si="8"/>
        <v>-1.4016912566436597E-2</v>
      </c>
      <c r="O16" s="54">
        <f t="shared" si="9"/>
        <v>3495.1639659651255</v>
      </c>
      <c r="P16" s="54">
        <f t="shared" si="10"/>
        <v>-48.991407716292947</v>
      </c>
      <c r="Q16" s="30">
        <v>3455.73</v>
      </c>
      <c r="R16" s="30">
        <v>3497.56</v>
      </c>
      <c r="S16" s="55">
        <v>19</v>
      </c>
      <c r="T16" s="55">
        <v>101238.51</v>
      </c>
      <c r="U16" s="55">
        <v>101238.51</v>
      </c>
    </row>
    <row r="17" spans="1:21" ht="15.75">
      <c r="A17" s="17">
        <v>13</v>
      </c>
      <c r="B17" s="18" t="s">
        <v>36</v>
      </c>
      <c r="C17" s="18" t="s">
        <v>35</v>
      </c>
      <c r="D17" s="30">
        <v>7620671887.1300001</v>
      </c>
      <c r="E17" s="30">
        <v>27542906.75</v>
      </c>
      <c r="F17" s="30">
        <v>21878294.129999999</v>
      </c>
      <c r="G17" s="30">
        <v>-84214178.010000005</v>
      </c>
      <c r="H17" s="26">
        <v>7665411985.7399998</v>
      </c>
      <c r="I17" s="60">
        <f t="shared" si="0"/>
        <v>0.43863072784421969</v>
      </c>
      <c r="J17" s="26">
        <v>7558720483.8299999</v>
      </c>
      <c r="K17" s="60">
        <f t="shared" si="5"/>
        <v>0.44043084092173929</v>
      </c>
      <c r="L17" s="60">
        <f t="shared" si="6"/>
        <v>-1.3918560686428666E-2</v>
      </c>
      <c r="M17" s="52">
        <f t="shared" si="7"/>
        <v>2.8944441293739013E-3</v>
      </c>
      <c r="N17" s="53">
        <f t="shared" si="8"/>
        <v>-1.1141327184958786E-2</v>
      </c>
      <c r="O17" s="54">
        <f t="shared" si="9"/>
        <v>13067.29795597359</v>
      </c>
      <c r="P17" s="54">
        <f t="shared" si="10"/>
        <v>-145.58704195084493</v>
      </c>
      <c r="Q17" s="30">
        <v>12975.6</v>
      </c>
      <c r="R17" s="30">
        <v>13130.14</v>
      </c>
      <c r="S17" s="55">
        <v>16927</v>
      </c>
      <c r="T17" s="55">
        <v>587476.68999999994</v>
      </c>
      <c r="U17" s="55">
        <v>578445.56000000006</v>
      </c>
    </row>
    <row r="18" spans="1:21" ht="15.75">
      <c r="A18" s="17">
        <v>14</v>
      </c>
      <c r="B18" s="31" t="s">
        <v>37</v>
      </c>
      <c r="C18" s="32" t="s">
        <v>38</v>
      </c>
      <c r="D18" s="30">
        <f>4704110.32+28012539.6</f>
        <v>32716649.920000002</v>
      </c>
      <c r="E18" s="30">
        <v>574550.24</v>
      </c>
      <c r="F18" s="30">
        <v>87307.199999999997</v>
      </c>
      <c r="G18" s="30">
        <v>487243.04</v>
      </c>
      <c r="H18" s="26">
        <v>58061236.799999997</v>
      </c>
      <c r="I18" s="60">
        <f t="shared" si="0"/>
        <v>3.3223840550901619E-3</v>
      </c>
      <c r="J18" s="26">
        <v>57641691.409999996</v>
      </c>
      <c r="K18" s="60">
        <f t="shared" si="5"/>
        <v>3.3586608572399577E-3</v>
      </c>
      <c r="L18" s="60">
        <f t="shared" si="6"/>
        <v>-7.2259120391317709E-3</v>
      </c>
      <c r="M18" s="52">
        <f t="shared" si="7"/>
        <v>1.5146536797296941E-3</v>
      </c>
      <c r="N18" s="53">
        <f t="shared" si="8"/>
        <v>8.452962223719036E-3</v>
      </c>
      <c r="O18" s="54">
        <f t="shared" si="9"/>
        <v>109.41614552998523</v>
      </c>
      <c r="P18" s="54">
        <f t="shared" si="10"/>
        <v>0.92489054482990951</v>
      </c>
      <c r="Q18" s="30">
        <v>109.28870000000001</v>
      </c>
      <c r="R18" s="30">
        <v>109.7247</v>
      </c>
      <c r="S18" s="55">
        <v>31</v>
      </c>
      <c r="T18" s="55">
        <v>524814.44999999995</v>
      </c>
      <c r="U18" s="55">
        <v>526811.56999999995</v>
      </c>
    </row>
    <row r="19" spans="1:21" ht="15.75">
      <c r="A19" s="17">
        <v>15</v>
      </c>
      <c r="B19" s="18" t="s">
        <v>39</v>
      </c>
      <c r="C19" s="18" t="s">
        <v>40</v>
      </c>
      <c r="D19" s="19">
        <v>1522097426</v>
      </c>
      <c r="E19" s="19">
        <v>35448248</v>
      </c>
      <c r="F19" s="19">
        <v>3710649</v>
      </c>
      <c r="G19" s="20">
        <v>-21150401</v>
      </c>
      <c r="H19" s="21">
        <v>2198747821</v>
      </c>
      <c r="I19" s="60">
        <f t="shared" si="0"/>
        <v>0.12581689788693304</v>
      </c>
      <c r="J19" s="21">
        <v>2184223227</v>
      </c>
      <c r="K19" s="60">
        <f t="shared" si="5"/>
        <v>0.12727012127070486</v>
      </c>
      <c r="L19" s="60">
        <f t="shared" si="6"/>
        <v>-6.6058480473645915E-3</v>
      </c>
      <c r="M19" s="52">
        <f t="shared" si="7"/>
        <v>1.6988414710233277E-3</v>
      </c>
      <c r="N19" s="53">
        <f t="shared" si="8"/>
        <v>-9.6832598145427558E-3</v>
      </c>
      <c r="O19" s="54">
        <f t="shared" si="9"/>
        <v>1.1247499465614283</v>
      </c>
      <c r="P19" s="54">
        <f t="shared" si="10"/>
        <v>-1.0891245958947393E-2</v>
      </c>
      <c r="Q19" s="26">
        <v>1.1200000000000001</v>
      </c>
      <c r="R19" s="26">
        <v>1.1499999999999999</v>
      </c>
      <c r="S19" s="35">
        <v>2764</v>
      </c>
      <c r="T19" s="35">
        <v>1944462482</v>
      </c>
      <c r="U19" s="35">
        <v>1941963397</v>
      </c>
    </row>
    <row r="20" spans="1:21" ht="15.75">
      <c r="A20" s="17">
        <v>16</v>
      </c>
      <c r="B20" s="28" t="s">
        <v>41</v>
      </c>
      <c r="C20" s="18" t="s">
        <v>42</v>
      </c>
      <c r="D20" s="19">
        <v>370467027.07999998</v>
      </c>
      <c r="E20" s="19">
        <v>637948.23</v>
      </c>
      <c r="F20" s="19">
        <v>760312.8</v>
      </c>
      <c r="G20" s="20">
        <v>-9308785.4199999999</v>
      </c>
      <c r="H20" s="21">
        <v>372522830.32999998</v>
      </c>
      <c r="I20" s="60">
        <f t="shared" si="0"/>
        <v>2.131652682337366E-2</v>
      </c>
      <c r="J20" s="21">
        <v>366534544.38999999</v>
      </c>
      <c r="K20" s="60">
        <f t="shared" si="5"/>
        <v>2.135720165309727E-2</v>
      </c>
      <c r="L20" s="60">
        <f t="shared" si="6"/>
        <v>-1.6074950184114256E-2</v>
      </c>
      <c r="M20" s="52">
        <f t="shared" si="7"/>
        <v>2.0743278133997984E-3</v>
      </c>
      <c r="N20" s="53">
        <f t="shared" si="8"/>
        <v>-2.5396747898597159E-2</v>
      </c>
      <c r="O20" s="54">
        <f t="shared" si="9"/>
        <v>1.3674365399531447</v>
      </c>
      <c r="P20" s="54">
        <f t="shared" si="10"/>
        <v>-3.4728441072520003E-2</v>
      </c>
      <c r="Q20" s="26">
        <v>1.3</v>
      </c>
      <c r="R20" s="26">
        <v>1.34</v>
      </c>
      <c r="S20" s="35">
        <v>186</v>
      </c>
      <c r="T20" s="35">
        <v>267465739.74000001</v>
      </c>
      <c r="U20" s="35">
        <v>268045012.46000001</v>
      </c>
    </row>
    <row r="21" spans="1:21" ht="16.5" customHeight="1">
      <c r="A21" s="111" t="s">
        <v>43</v>
      </c>
      <c r="B21" s="111"/>
      <c r="C21" s="111"/>
      <c r="D21" s="111"/>
      <c r="E21" s="111"/>
      <c r="F21" s="111"/>
      <c r="G21" s="111"/>
      <c r="H21" s="33">
        <f>SUM(H5:H20)</f>
        <v>17475775177.48</v>
      </c>
      <c r="I21" s="61">
        <f>(H21/$H$167)</f>
        <v>1.1202840905533855E-2</v>
      </c>
      <c r="J21" s="33">
        <f>SUM(J5:J20)</f>
        <v>17162105333.066624</v>
      </c>
      <c r="K21" s="61">
        <f>(J21/$J$167)</f>
        <v>1.0884465787568746E-2</v>
      </c>
      <c r="L21" s="59">
        <f>((J21-H21)/H21)</f>
        <v>-1.7948837246291864E-2</v>
      </c>
      <c r="M21" s="52"/>
      <c r="N21" s="53"/>
      <c r="O21" s="54"/>
      <c r="P21" s="54"/>
      <c r="Q21" s="34"/>
      <c r="R21" s="34"/>
      <c r="S21" s="56">
        <f>SUM(S5:S20)</f>
        <v>39932</v>
      </c>
      <c r="T21" s="56"/>
      <c r="U21" s="56"/>
    </row>
    <row r="22" spans="1:21" ht="6.75" customHeight="1">
      <c r="A22" s="115"/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</row>
    <row r="23" spans="1:21">
      <c r="A23" s="103" t="s">
        <v>1</v>
      </c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</row>
    <row r="24" spans="1:21" ht="16.5" customHeight="1">
      <c r="A24" s="17">
        <v>17</v>
      </c>
      <c r="B24" s="18" t="s">
        <v>44</v>
      </c>
      <c r="C24" s="18" t="s">
        <v>42</v>
      </c>
      <c r="D24" s="26">
        <v>15857053559.440001</v>
      </c>
      <c r="E24" s="26">
        <v>124944968.09</v>
      </c>
      <c r="F24" s="26">
        <v>22929131.960000001</v>
      </c>
      <c r="G24" s="20">
        <v>102015836.14</v>
      </c>
      <c r="H24" s="26">
        <v>18930067180.669998</v>
      </c>
      <c r="I24" s="60">
        <f t="shared" ref="I24:I52" si="11">(H24/$H$53)</f>
        <v>2.4288574921814642E-2</v>
      </c>
      <c r="J24" s="26">
        <v>15738569436.309999</v>
      </c>
      <c r="K24" s="60">
        <f>(J24/$J$53)</f>
        <v>1.9559278612544046E-2</v>
      </c>
      <c r="L24" s="60">
        <f>((J24-H24)/H24)</f>
        <v>-0.16859410555177126</v>
      </c>
      <c r="M24" s="52">
        <f t="shared" ref="M24" si="12">(F24/J24)</f>
        <v>1.4568752295301289E-3</v>
      </c>
      <c r="N24" s="53">
        <f t="shared" ref="N24" si="13">G24/J24</f>
        <v>6.4819001849457936E-3</v>
      </c>
      <c r="O24" s="54">
        <f t="shared" ref="O24" si="14">J24/U24</f>
        <v>100.00000000196967</v>
      </c>
      <c r="P24" s="54">
        <f t="shared" ref="P24" si="15">G24/U24</f>
        <v>0.64819001850734659</v>
      </c>
      <c r="Q24" s="26">
        <v>100</v>
      </c>
      <c r="R24" s="26">
        <v>100</v>
      </c>
      <c r="S24" s="35">
        <v>9593</v>
      </c>
      <c r="T24" s="35">
        <v>189300671.81</v>
      </c>
      <c r="U24" s="35">
        <v>157385694.36000001</v>
      </c>
    </row>
    <row r="25" spans="1:21" ht="18" customHeight="1">
      <c r="A25" s="17">
        <v>18</v>
      </c>
      <c r="B25" s="18" t="s">
        <v>45</v>
      </c>
      <c r="C25" s="18" t="s">
        <v>13</v>
      </c>
      <c r="D25" s="26">
        <v>766228133.76999998</v>
      </c>
      <c r="E25" s="26">
        <v>8266982.5</v>
      </c>
      <c r="F25" s="26">
        <v>1555232.82</v>
      </c>
      <c r="G25" s="20">
        <v>6711749.6799999997</v>
      </c>
      <c r="H25" s="26">
        <v>686639408.17999995</v>
      </c>
      <c r="I25" s="60">
        <f t="shared" si="11"/>
        <v>8.8100546874340891E-4</v>
      </c>
      <c r="J25" s="26">
        <v>749367264.89999998</v>
      </c>
      <c r="K25" s="60">
        <f t="shared" ref="K25:K52" si="16">(J25/$J$53)</f>
        <v>9.3128433156601032E-4</v>
      </c>
      <c r="L25" s="60">
        <f t="shared" ref="L25:L52" si="17">((J25-H25)/H25)</f>
        <v>9.1354874148959653E-2</v>
      </c>
      <c r="M25" s="52">
        <f t="shared" ref="M25:M52" si="18">(F25/J25)</f>
        <v>2.0753946600636998E-3</v>
      </c>
      <c r="N25" s="53">
        <f t="shared" ref="N25:N52" si="19">G25/J25</f>
        <v>8.9565557429248741E-3</v>
      </c>
      <c r="O25" s="54">
        <f t="shared" ref="O25:O52" si="20">J25/U25</f>
        <v>101.61228959004823</v>
      </c>
      <c r="P25" s="54">
        <f t="shared" ref="P25:P52" si="21">G25/U25</f>
        <v>0.91009613587949179</v>
      </c>
      <c r="Q25" s="26">
        <v>100</v>
      </c>
      <c r="R25" s="26">
        <v>100</v>
      </c>
      <c r="S25" s="35">
        <v>685</v>
      </c>
      <c r="T25" s="35">
        <v>6745420</v>
      </c>
      <c r="U25" s="35">
        <v>7374770</v>
      </c>
    </row>
    <row r="26" spans="1:21" ht="15.75">
      <c r="A26" s="17">
        <v>19</v>
      </c>
      <c r="B26" s="18" t="s">
        <v>46</v>
      </c>
      <c r="C26" s="18" t="s">
        <v>47</v>
      </c>
      <c r="D26" s="26">
        <v>2483453978.9099998</v>
      </c>
      <c r="E26" s="26">
        <v>28356924.75</v>
      </c>
      <c r="F26" s="26">
        <v>3877865.93</v>
      </c>
      <c r="G26" s="20">
        <v>24479058.82</v>
      </c>
      <c r="H26" s="26">
        <v>1989578202.48</v>
      </c>
      <c r="I26" s="60">
        <f t="shared" si="11"/>
        <v>2.5527653321320348E-3</v>
      </c>
      <c r="J26" s="26">
        <v>2463229014.25</v>
      </c>
      <c r="K26" s="60">
        <f t="shared" si="16"/>
        <v>3.0612046902474908E-3</v>
      </c>
      <c r="L26" s="60">
        <f t="shared" si="17"/>
        <v>0.23806594341433598</v>
      </c>
      <c r="M26" s="52">
        <f t="shared" si="18"/>
        <v>1.5743018239742221E-3</v>
      </c>
      <c r="N26" s="53">
        <f t="shared" si="19"/>
        <v>9.9377924985401111E-3</v>
      </c>
      <c r="O26" s="54">
        <f t="shared" si="20"/>
        <v>103.03172328592072</v>
      </c>
      <c r="P26" s="54">
        <f t="shared" si="21"/>
        <v>1.0239078867824833</v>
      </c>
      <c r="Q26" s="26">
        <v>1</v>
      </c>
      <c r="R26" s="26">
        <v>1</v>
      </c>
      <c r="S26" s="35">
        <v>926</v>
      </c>
      <c r="T26" s="35">
        <v>19454927.530000001</v>
      </c>
      <c r="U26" s="35">
        <v>23907481.460000001</v>
      </c>
    </row>
    <row r="27" spans="1:21" ht="15.75">
      <c r="A27" s="17">
        <v>20</v>
      </c>
      <c r="B27" s="18" t="s">
        <v>48</v>
      </c>
      <c r="C27" s="18" t="s">
        <v>15</v>
      </c>
      <c r="D27" s="26">
        <v>438378095.93000001</v>
      </c>
      <c r="E27" s="26">
        <v>2823884.07</v>
      </c>
      <c r="F27" s="26">
        <v>631793.68999999994</v>
      </c>
      <c r="G27" s="20">
        <v>2192090.38</v>
      </c>
      <c r="H27" s="26">
        <v>483377555.47000003</v>
      </c>
      <c r="I27" s="60">
        <f t="shared" si="11"/>
        <v>6.202065665960923E-4</v>
      </c>
      <c r="J27" s="26">
        <v>451341009.00999999</v>
      </c>
      <c r="K27" s="60">
        <f t="shared" si="16"/>
        <v>5.6090895555772294E-4</v>
      </c>
      <c r="L27" s="60">
        <f t="shared" si="17"/>
        <v>-6.6276446015061885E-2</v>
      </c>
      <c r="M27" s="52">
        <f t="shared" si="18"/>
        <v>1.3998145025328327E-3</v>
      </c>
      <c r="N27" s="53">
        <f t="shared" si="19"/>
        <v>4.856838479641524E-3</v>
      </c>
      <c r="O27" s="54">
        <f t="shared" si="20"/>
        <v>102.42558465335483</v>
      </c>
      <c r="P27" s="54">
        <f t="shared" si="21"/>
        <v>0.49746452084419412</v>
      </c>
      <c r="Q27" s="26">
        <v>100</v>
      </c>
      <c r="R27" s="26">
        <v>100</v>
      </c>
      <c r="S27" s="35">
        <v>1085</v>
      </c>
      <c r="T27" s="35">
        <v>4147556.09</v>
      </c>
      <c r="U27" s="35">
        <v>4406526.07</v>
      </c>
    </row>
    <row r="28" spans="1:21" ht="15.75">
      <c r="A28" s="17">
        <v>21</v>
      </c>
      <c r="B28" s="18" t="s">
        <v>49</v>
      </c>
      <c r="C28" s="28" t="s">
        <v>17</v>
      </c>
      <c r="D28" s="26">
        <v>23014628662.720001</v>
      </c>
      <c r="E28" s="26">
        <v>828219288.73000002</v>
      </c>
      <c r="F28" s="26">
        <v>165130057.33000001</v>
      </c>
      <c r="G28" s="20">
        <v>663089231.39999998</v>
      </c>
      <c r="H28" s="26">
        <v>73576068598</v>
      </c>
      <c r="I28" s="60">
        <f t="shared" si="11"/>
        <v>9.4403143820847579E-2</v>
      </c>
      <c r="J28" s="26">
        <v>75871633614</v>
      </c>
      <c r="K28" s="60">
        <f t="shared" si="16"/>
        <v>9.4290299169212125E-2</v>
      </c>
      <c r="L28" s="60">
        <f t="shared" si="17"/>
        <v>3.1199886861886499E-2</v>
      </c>
      <c r="M28" s="52">
        <f t="shared" si="18"/>
        <v>2.1764399877048364E-3</v>
      </c>
      <c r="N28" s="53">
        <f t="shared" si="19"/>
        <v>8.7396198001151951E-3</v>
      </c>
      <c r="O28" s="54">
        <f t="shared" si="20"/>
        <v>1</v>
      </c>
      <c r="P28" s="54">
        <f t="shared" si="21"/>
        <v>8.7396198001151951E-3</v>
      </c>
      <c r="Q28" s="26">
        <v>1</v>
      </c>
      <c r="R28" s="26">
        <v>1</v>
      </c>
      <c r="S28" s="35">
        <v>30301</v>
      </c>
      <c r="T28" s="35">
        <v>73576068598</v>
      </c>
      <c r="U28" s="35">
        <v>75871633614</v>
      </c>
    </row>
    <row r="29" spans="1:21" ht="15.75">
      <c r="A29" s="17">
        <v>22</v>
      </c>
      <c r="B29" s="18" t="s">
        <v>50</v>
      </c>
      <c r="C29" s="18" t="s">
        <v>51</v>
      </c>
      <c r="D29" s="26">
        <v>16805121391.940001</v>
      </c>
      <c r="E29" s="26">
        <v>373092009.47000003</v>
      </c>
      <c r="F29" s="26">
        <v>43169045.590000004</v>
      </c>
      <c r="G29" s="20">
        <v>329922963.88</v>
      </c>
      <c r="H29" s="21">
        <v>36300147572.639999</v>
      </c>
      <c r="I29" s="60">
        <f t="shared" si="11"/>
        <v>4.6575579768216593E-2</v>
      </c>
      <c r="J29" s="26">
        <v>38001509176.75</v>
      </c>
      <c r="K29" s="60">
        <f t="shared" si="16"/>
        <v>4.7226789492722118E-2</v>
      </c>
      <c r="L29" s="60">
        <f t="shared" si="17"/>
        <v>4.6869275137392113E-2</v>
      </c>
      <c r="M29" s="52">
        <f t="shared" si="18"/>
        <v>1.135982399783522E-3</v>
      </c>
      <c r="N29" s="53">
        <f t="shared" si="19"/>
        <v>8.6818384592434218E-3</v>
      </c>
      <c r="O29" s="54">
        <f t="shared" si="20"/>
        <v>1.0256609835517554</v>
      </c>
      <c r="P29" s="54">
        <f t="shared" si="21"/>
        <v>8.9046229731450655E-3</v>
      </c>
      <c r="Q29" s="26">
        <v>10</v>
      </c>
      <c r="R29" s="26">
        <v>10</v>
      </c>
      <c r="S29" s="35">
        <v>22348</v>
      </c>
      <c r="T29" s="35">
        <v>35668793461.379997</v>
      </c>
      <c r="U29" s="35">
        <v>37050750478.150002</v>
      </c>
    </row>
    <row r="30" spans="1:21" ht="15.75">
      <c r="A30" s="17">
        <v>23</v>
      </c>
      <c r="B30" s="28" t="s">
        <v>52</v>
      </c>
      <c r="C30" s="28" t="s">
        <v>33</v>
      </c>
      <c r="D30" s="26">
        <v>5429965653.0299997</v>
      </c>
      <c r="E30" s="26">
        <v>53898203.170000002</v>
      </c>
      <c r="F30" s="26">
        <v>9270443.3300000001</v>
      </c>
      <c r="G30" s="20">
        <v>44627759.840000004</v>
      </c>
      <c r="H30" s="26">
        <v>5291715690.2700005</v>
      </c>
      <c r="I30" s="60">
        <f t="shared" si="11"/>
        <v>6.7896342776484504E-3</v>
      </c>
      <c r="J30" s="26">
        <v>5285163228.9799995</v>
      </c>
      <c r="K30" s="60">
        <f t="shared" si="16"/>
        <v>6.5681941758887951E-3</v>
      </c>
      <c r="L30" s="60">
        <f t="shared" si="17"/>
        <v>-1.2382489297467507E-3</v>
      </c>
      <c r="M30" s="52">
        <f t="shared" si="18"/>
        <v>1.7540505237695625E-3</v>
      </c>
      <c r="N30" s="53">
        <f t="shared" si="19"/>
        <v>8.4439700169133391E-3</v>
      </c>
      <c r="O30" s="54">
        <f t="shared" si="20"/>
        <v>99.999999999621579</v>
      </c>
      <c r="P30" s="54">
        <f t="shared" si="21"/>
        <v>0.84439700168813847</v>
      </c>
      <c r="Q30" s="26">
        <v>1</v>
      </c>
      <c r="R30" s="26">
        <v>1</v>
      </c>
      <c r="S30" s="35">
        <v>1851</v>
      </c>
      <c r="T30" s="35">
        <v>52917156.899999999</v>
      </c>
      <c r="U30" s="35">
        <v>52851632.289999999</v>
      </c>
    </row>
    <row r="31" spans="1:21" ht="15.75">
      <c r="A31" s="17">
        <v>24</v>
      </c>
      <c r="B31" s="18" t="s">
        <v>53</v>
      </c>
      <c r="C31" s="18" t="s">
        <v>54</v>
      </c>
      <c r="D31" s="36">
        <v>11818288720.120001</v>
      </c>
      <c r="E31" s="26">
        <v>124107827.29000001</v>
      </c>
      <c r="F31" s="26">
        <v>18892999.440000001</v>
      </c>
      <c r="G31" s="20">
        <v>107077348.70999999</v>
      </c>
      <c r="H31" s="26">
        <v>10286044721.52</v>
      </c>
      <c r="I31" s="60">
        <f t="shared" si="11"/>
        <v>1.3197701069063619E-2</v>
      </c>
      <c r="J31" s="26">
        <v>11441647419.57</v>
      </c>
      <c r="K31" s="60">
        <f t="shared" si="16"/>
        <v>1.4219231968412894E-2</v>
      </c>
      <c r="L31" s="60">
        <f t="shared" si="17"/>
        <v>0.11234665309516875</v>
      </c>
      <c r="M31" s="52">
        <f t="shared" si="18"/>
        <v>1.651248176699194E-3</v>
      </c>
      <c r="N31" s="53">
        <f t="shared" si="19"/>
        <v>9.358560422588532E-3</v>
      </c>
      <c r="O31" s="54">
        <f t="shared" si="20"/>
        <v>99.999999996241797</v>
      </c>
      <c r="P31" s="54">
        <f t="shared" si="21"/>
        <v>0.93585604222368168</v>
      </c>
      <c r="Q31" s="26">
        <v>100</v>
      </c>
      <c r="R31" s="26">
        <v>100</v>
      </c>
      <c r="S31" s="35">
        <v>1394</v>
      </c>
      <c r="T31" s="35">
        <v>102860447.22</v>
      </c>
      <c r="U31" s="35">
        <v>114416474.2</v>
      </c>
    </row>
    <row r="32" spans="1:21" ht="15.75">
      <c r="A32" s="17">
        <v>25</v>
      </c>
      <c r="B32" s="18" t="s">
        <v>55</v>
      </c>
      <c r="C32" s="18" t="s">
        <v>56</v>
      </c>
      <c r="D32" s="26">
        <v>2551884778.5999999</v>
      </c>
      <c r="E32" s="26">
        <v>50041229.450000003</v>
      </c>
      <c r="F32" s="26">
        <v>6819196.3799999999</v>
      </c>
      <c r="G32" s="20">
        <v>43222033.07</v>
      </c>
      <c r="H32" s="26">
        <v>5922864100</v>
      </c>
      <c r="I32" s="60">
        <f t="shared" si="11"/>
        <v>7.5994409883274718E-3</v>
      </c>
      <c r="J32" s="26">
        <v>5424353559.4499998</v>
      </c>
      <c r="K32" s="60">
        <f t="shared" si="16"/>
        <v>6.7411744753278213E-3</v>
      </c>
      <c r="L32" s="60">
        <f t="shared" si="17"/>
        <v>-8.4167141459484132E-2</v>
      </c>
      <c r="M32" s="52">
        <f t="shared" si="18"/>
        <v>1.2571445251978431E-3</v>
      </c>
      <c r="N32" s="53">
        <f t="shared" si="19"/>
        <v>7.9681445164467637E-3</v>
      </c>
      <c r="O32" s="54">
        <f t="shared" si="20"/>
        <v>99.999999252445491</v>
      </c>
      <c r="P32" s="54">
        <f t="shared" si="21"/>
        <v>0.79681444568805393</v>
      </c>
      <c r="Q32" s="26">
        <v>100</v>
      </c>
      <c r="R32" s="26">
        <v>100</v>
      </c>
      <c r="S32" s="35">
        <v>5383</v>
      </c>
      <c r="T32" s="35">
        <v>59228641</v>
      </c>
      <c r="U32" s="35">
        <v>54243536</v>
      </c>
    </row>
    <row r="33" spans="1:21" ht="15.75">
      <c r="A33" s="17">
        <v>26</v>
      </c>
      <c r="B33" s="18" t="s">
        <v>57</v>
      </c>
      <c r="C33" s="28" t="s">
        <v>58</v>
      </c>
      <c r="D33" s="26">
        <v>39263942.280000001</v>
      </c>
      <c r="E33" s="19">
        <v>275433.01</v>
      </c>
      <c r="F33" s="19">
        <v>41437.480000000003</v>
      </c>
      <c r="G33" s="20">
        <v>233995.53</v>
      </c>
      <c r="H33" s="26">
        <v>39203248.560000002</v>
      </c>
      <c r="I33" s="60">
        <f t="shared" si="11"/>
        <v>5.0300457507112811E-5</v>
      </c>
      <c r="J33" s="26">
        <v>39203248.560000002</v>
      </c>
      <c r="K33" s="60">
        <f t="shared" si="16"/>
        <v>4.8720264202210363E-5</v>
      </c>
      <c r="L33" s="60">
        <f t="shared" si="17"/>
        <v>0</v>
      </c>
      <c r="M33" s="52">
        <f t="shared" si="18"/>
        <v>1.056990977076314E-3</v>
      </c>
      <c r="N33" s="53">
        <f t="shared" si="19"/>
        <v>5.9687790832403404E-3</v>
      </c>
      <c r="O33" s="54">
        <f t="shared" si="20"/>
        <v>101.87107246798604</v>
      </c>
      <c r="P33" s="54">
        <f t="shared" si="21"/>
        <v>0.608045926534176</v>
      </c>
      <c r="Q33" s="26">
        <v>10</v>
      </c>
      <c r="R33" s="26">
        <v>10</v>
      </c>
      <c r="S33" s="35">
        <v>86</v>
      </c>
      <c r="T33" s="35">
        <v>333972.73</v>
      </c>
      <c r="U33" s="35">
        <v>384832</v>
      </c>
    </row>
    <row r="34" spans="1:21" ht="15.75">
      <c r="A34" s="17">
        <v>27</v>
      </c>
      <c r="B34" s="18" t="s">
        <v>59</v>
      </c>
      <c r="C34" s="18" t="s">
        <v>60</v>
      </c>
      <c r="D34" s="26">
        <v>4685822326.8299999</v>
      </c>
      <c r="E34" s="26">
        <v>44681664.5</v>
      </c>
      <c r="F34" s="26">
        <v>7142056.3799999999</v>
      </c>
      <c r="G34" s="20">
        <v>7539608.1200000001</v>
      </c>
      <c r="H34" s="26">
        <v>4277748805.2800002</v>
      </c>
      <c r="I34" s="60">
        <f t="shared" si="11"/>
        <v>5.488645199307157E-3</v>
      </c>
      <c r="J34" s="26">
        <v>4720793975.8999996</v>
      </c>
      <c r="K34" s="60">
        <f t="shared" si="16"/>
        <v>5.866818138758118E-3</v>
      </c>
      <c r="L34" s="60">
        <f t="shared" si="17"/>
        <v>0.10356970238017514</v>
      </c>
      <c r="M34" s="52">
        <f t="shared" si="18"/>
        <v>1.5128930464791987E-3</v>
      </c>
      <c r="N34" s="53">
        <f t="shared" si="19"/>
        <v>1.597105944146314E-3</v>
      </c>
      <c r="O34" s="54">
        <f t="shared" si="20"/>
        <v>1.0198645939249353</v>
      </c>
      <c r="P34" s="54">
        <f t="shared" si="21"/>
        <v>1.6288318051818809E-3</v>
      </c>
      <c r="Q34" s="26">
        <v>1</v>
      </c>
      <c r="R34" s="26">
        <v>1</v>
      </c>
      <c r="S34" s="35">
        <v>1855</v>
      </c>
      <c r="T34" s="35">
        <v>4221218550.0100002</v>
      </c>
      <c r="U34" s="35">
        <v>4628843872.04</v>
      </c>
    </row>
    <row r="35" spans="1:21" ht="15.75">
      <c r="A35" s="17">
        <v>28</v>
      </c>
      <c r="B35" s="18" t="s">
        <v>61</v>
      </c>
      <c r="C35" s="18" t="s">
        <v>62</v>
      </c>
      <c r="D35" s="26">
        <v>11523559170.92</v>
      </c>
      <c r="E35" s="26"/>
      <c r="F35" s="26">
        <v>19344621.84</v>
      </c>
      <c r="G35" s="20">
        <v>98539906.599999994</v>
      </c>
      <c r="H35" s="26">
        <v>11650597756.02</v>
      </c>
      <c r="I35" s="60">
        <f t="shared" si="11"/>
        <v>1.4948516229777154E-2</v>
      </c>
      <c r="J35" s="26">
        <v>12310082217</v>
      </c>
      <c r="K35" s="60">
        <f t="shared" si="16"/>
        <v>1.529848877307354E-2</v>
      </c>
      <c r="L35" s="60">
        <f t="shared" si="17"/>
        <v>5.660520385224322E-2</v>
      </c>
      <c r="M35" s="52">
        <f t="shared" si="18"/>
        <v>1.5714453810296595E-3</v>
      </c>
      <c r="N35" s="53">
        <f t="shared" si="19"/>
        <v>8.0048130356041147E-3</v>
      </c>
      <c r="O35" s="54">
        <f t="shared" si="20"/>
        <v>100.00000013809819</v>
      </c>
      <c r="P35" s="54">
        <f t="shared" si="21"/>
        <v>0.80048130466586154</v>
      </c>
      <c r="Q35" s="26">
        <v>100</v>
      </c>
      <c r="R35" s="26">
        <v>100</v>
      </c>
      <c r="S35" s="35">
        <v>4743</v>
      </c>
      <c r="T35" s="35">
        <v>116505978</v>
      </c>
      <c r="U35" s="35">
        <v>123100822</v>
      </c>
    </row>
    <row r="36" spans="1:21" ht="15.75">
      <c r="A36" s="17">
        <v>29</v>
      </c>
      <c r="B36" s="18" t="s">
        <v>63</v>
      </c>
      <c r="C36" s="18" t="s">
        <v>62</v>
      </c>
      <c r="D36" s="26">
        <v>439742922.16000003</v>
      </c>
      <c r="E36" s="26"/>
      <c r="F36" s="26">
        <v>402729.04</v>
      </c>
      <c r="G36" s="20">
        <v>4004602.37</v>
      </c>
      <c r="H36" s="26">
        <v>431858985.26999998</v>
      </c>
      <c r="I36" s="60">
        <f t="shared" si="11"/>
        <v>5.5410470651155882E-4</v>
      </c>
      <c r="J36" s="26">
        <v>436108767.47000003</v>
      </c>
      <c r="K36" s="60">
        <f t="shared" si="16"/>
        <v>5.4197892145391949E-4</v>
      </c>
      <c r="L36" s="60">
        <f t="shared" si="17"/>
        <v>9.8406710175152814E-3</v>
      </c>
      <c r="M36" s="52">
        <f t="shared" si="18"/>
        <v>9.2346008619903237E-4</v>
      </c>
      <c r="N36" s="53">
        <f t="shared" si="19"/>
        <v>9.1825770741366195E-3</v>
      </c>
      <c r="O36" s="54">
        <f t="shared" si="20"/>
        <v>1000249.466674312</v>
      </c>
      <c r="P36" s="54">
        <f t="shared" si="21"/>
        <v>9184.8678211009174</v>
      </c>
      <c r="Q36" s="26">
        <v>1000000</v>
      </c>
      <c r="R36" s="26">
        <v>1000000</v>
      </c>
      <c r="S36" s="35">
        <v>15</v>
      </c>
      <c r="T36" s="35">
        <v>432</v>
      </c>
      <c r="U36" s="35">
        <v>436</v>
      </c>
    </row>
    <row r="37" spans="1:21" ht="15.75">
      <c r="A37" s="17">
        <v>30</v>
      </c>
      <c r="B37" s="28" t="s">
        <v>64</v>
      </c>
      <c r="C37" s="28" t="s">
        <v>65</v>
      </c>
      <c r="D37" s="26">
        <v>1462705207.05</v>
      </c>
      <c r="E37" s="26">
        <v>16000882.529999999</v>
      </c>
      <c r="F37" s="26">
        <v>2415934.91</v>
      </c>
      <c r="G37" s="20">
        <v>13584947.619999999</v>
      </c>
      <c r="H37" s="26">
        <v>1143347703.8599999</v>
      </c>
      <c r="I37" s="60">
        <f t="shared" si="11"/>
        <v>1.4669935453396244E-3</v>
      </c>
      <c r="J37" s="26">
        <v>1381330560.4400001</v>
      </c>
      <c r="K37" s="60">
        <f t="shared" si="16"/>
        <v>1.7166636012886608E-3</v>
      </c>
      <c r="L37" s="60">
        <f t="shared" si="17"/>
        <v>0.20814565488394995</v>
      </c>
      <c r="M37" s="52">
        <f t="shared" si="18"/>
        <v>1.7489911388266425E-3</v>
      </c>
      <c r="N37" s="53">
        <f t="shared" si="19"/>
        <v>9.8346825944926157E-3</v>
      </c>
      <c r="O37" s="54">
        <f t="shared" si="20"/>
        <v>1.0003300432349285</v>
      </c>
      <c r="P37" s="54">
        <f t="shared" si="21"/>
        <v>9.8379284649505964E-3</v>
      </c>
      <c r="Q37" s="26">
        <v>1</v>
      </c>
      <c r="R37" s="26">
        <v>1</v>
      </c>
      <c r="S37" s="35">
        <v>365</v>
      </c>
      <c r="T37" s="35">
        <v>1142607430.6800001</v>
      </c>
      <c r="U37" s="35">
        <v>1380874812.05</v>
      </c>
    </row>
    <row r="38" spans="1:21" ht="15.75">
      <c r="A38" s="17">
        <v>31</v>
      </c>
      <c r="B38" s="18" t="s">
        <v>66</v>
      </c>
      <c r="C38" s="18" t="s">
        <v>67</v>
      </c>
      <c r="D38" s="26">
        <v>133651903.48</v>
      </c>
      <c r="E38" s="26">
        <v>2240512.37</v>
      </c>
      <c r="F38" s="26">
        <v>637126.06999999995</v>
      </c>
      <c r="G38" s="20">
        <v>1603386.3</v>
      </c>
      <c r="H38" s="26">
        <v>274724474.98000002</v>
      </c>
      <c r="I38" s="60">
        <f t="shared" si="11"/>
        <v>3.5249034933280965E-4</v>
      </c>
      <c r="J38" s="26">
        <v>278084368.29000002</v>
      </c>
      <c r="K38" s="60">
        <f t="shared" si="16"/>
        <v>3.4559237795964859E-4</v>
      </c>
      <c r="L38" s="60">
        <f t="shared" si="17"/>
        <v>1.2230047250957903E-2</v>
      </c>
      <c r="M38" s="52">
        <f t="shared" si="18"/>
        <v>2.2911250780395308E-3</v>
      </c>
      <c r="N38" s="53">
        <f t="shared" si="19"/>
        <v>5.7658267879620983E-3</v>
      </c>
      <c r="O38" s="54">
        <f t="shared" si="20"/>
        <v>1.0197763583945365</v>
      </c>
      <c r="P38" s="54">
        <f t="shared" si="21"/>
        <v>5.8798538449616571E-3</v>
      </c>
      <c r="Q38" s="26">
        <v>1</v>
      </c>
      <c r="R38" s="26">
        <v>1</v>
      </c>
      <c r="S38" s="35">
        <f>381+15+6</f>
        <v>402</v>
      </c>
      <c r="T38" s="35">
        <v>272277523</v>
      </c>
      <c r="U38" s="35">
        <v>272691523</v>
      </c>
    </row>
    <row r="39" spans="1:21" ht="15.75">
      <c r="A39" s="17">
        <v>32</v>
      </c>
      <c r="B39" s="18" t="s">
        <v>68</v>
      </c>
      <c r="C39" s="18" t="s">
        <v>69</v>
      </c>
      <c r="D39" s="26">
        <v>187678330513.03</v>
      </c>
      <c r="E39" s="19">
        <v>1658799708.8599999</v>
      </c>
      <c r="F39" s="19">
        <v>263886245.28999999</v>
      </c>
      <c r="G39" s="20">
        <v>1394913463.5699999</v>
      </c>
      <c r="H39" s="26">
        <v>184560645311.35001</v>
      </c>
      <c r="I39" s="60">
        <f t="shared" si="11"/>
        <v>0.23680397002714307</v>
      </c>
      <c r="J39" s="26">
        <v>187678330513.03</v>
      </c>
      <c r="K39" s="60">
        <f t="shared" si="16"/>
        <v>0.23323928968871602</v>
      </c>
      <c r="L39" s="60">
        <f t="shared" si="17"/>
        <v>1.689247020360447E-2</v>
      </c>
      <c r="M39" s="52">
        <f t="shared" si="18"/>
        <v>1.4060560138650588E-3</v>
      </c>
      <c r="N39" s="53">
        <f t="shared" si="19"/>
        <v>7.4324694798644049E-3</v>
      </c>
      <c r="O39" s="54">
        <f t="shared" si="20"/>
        <v>100.02983213909201</v>
      </c>
      <c r="P39" s="54">
        <f t="shared" si="21"/>
        <v>0.74346867444976084</v>
      </c>
      <c r="Q39" s="26">
        <v>100</v>
      </c>
      <c r="R39" s="26">
        <v>100</v>
      </c>
      <c r="S39" s="35">
        <v>24443</v>
      </c>
      <c r="T39" s="35">
        <v>1845011176</v>
      </c>
      <c r="U39" s="35">
        <v>1876223587.5</v>
      </c>
    </row>
    <row r="40" spans="1:21" ht="15.75">
      <c r="A40" s="17">
        <v>33</v>
      </c>
      <c r="B40" s="18" t="s">
        <v>70</v>
      </c>
      <c r="C40" s="18" t="s">
        <v>71</v>
      </c>
      <c r="D40" s="26">
        <v>586985768.46000004</v>
      </c>
      <c r="E40" s="26">
        <v>5455014.7300000004</v>
      </c>
      <c r="F40" s="26">
        <v>1550133.5</v>
      </c>
      <c r="G40" s="20">
        <v>3904881.23</v>
      </c>
      <c r="H40" s="26">
        <v>562671492.61000001</v>
      </c>
      <c r="I40" s="60">
        <f t="shared" si="11"/>
        <v>7.219461280402892E-4</v>
      </c>
      <c r="J40" s="26">
        <v>575669018.63999999</v>
      </c>
      <c r="K40" s="60">
        <f t="shared" si="16"/>
        <v>7.1541894387254219E-4</v>
      </c>
      <c r="L40" s="60">
        <f t="shared" si="17"/>
        <v>2.3099670412854632E-2</v>
      </c>
      <c r="M40" s="52">
        <f t="shared" si="18"/>
        <v>2.6927513029312258E-3</v>
      </c>
      <c r="N40" s="53">
        <f t="shared" si="19"/>
        <v>6.7832054593195924E-3</v>
      </c>
      <c r="O40" s="54">
        <f t="shared" si="20"/>
        <v>9.9797601001448371</v>
      </c>
      <c r="P40" s="54">
        <f t="shared" si="21"/>
        <v>6.7694763194002291E-2</v>
      </c>
      <c r="Q40" s="26">
        <v>10</v>
      </c>
      <c r="R40" s="26">
        <v>10</v>
      </c>
      <c r="S40" s="35">
        <v>279</v>
      </c>
      <c r="T40" s="35">
        <v>56349401</v>
      </c>
      <c r="U40" s="35">
        <v>57683653</v>
      </c>
    </row>
    <row r="41" spans="1:21" ht="15.75">
      <c r="A41" s="17">
        <v>34</v>
      </c>
      <c r="B41" s="18" t="s">
        <v>72</v>
      </c>
      <c r="C41" s="18" t="s">
        <v>73</v>
      </c>
      <c r="D41" s="26">
        <v>876673447.35000002</v>
      </c>
      <c r="E41" s="26">
        <v>18403549</v>
      </c>
      <c r="F41" s="26">
        <v>3758533.5</v>
      </c>
      <c r="G41" s="20">
        <v>18403549</v>
      </c>
      <c r="H41" s="26">
        <v>1927381104.3199999</v>
      </c>
      <c r="I41" s="60">
        <f t="shared" si="11"/>
        <v>2.472962188056497E-3</v>
      </c>
      <c r="J41" s="26">
        <v>1985237577.5599999</v>
      </c>
      <c r="K41" s="60">
        <f t="shared" si="16"/>
        <v>2.4671756253783084E-3</v>
      </c>
      <c r="L41" s="60">
        <f t="shared" si="17"/>
        <v>3.0018180167026374E-2</v>
      </c>
      <c r="M41" s="52">
        <f t="shared" si="18"/>
        <v>1.8932411629138657E-3</v>
      </c>
      <c r="N41" s="53">
        <f t="shared" si="19"/>
        <v>9.2701998027960395E-3</v>
      </c>
      <c r="O41" s="54">
        <f t="shared" si="20"/>
        <v>102.17357019462122</v>
      </c>
      <c r="P41" s="54">
        <f t="shared" si="21"/>
        <v>0.94716941026914492</v>
      </c>
      <c r="Q41" s="26">
        <v>100</v>
      </c>
      <c r="R41" s="26">
        <v>100</v>
      </c>
      <c r="S41" s="35">
        <v>571</v>
      </c>
      <c r="T41" s="35">
        <v>19183451</v>
      </c>
      <c r="U41" s="35">
        <v>19430050</v>
      </c>
    </row>
    <row r="42" spans="1:21" ht="15.75">
      <c r="A42" s="17">
        <v>35</v>
      </c>
      <c r="B42" s="18" t="s">
        <v>74</v>
      </c>
      <c r="C42" s="18" t="s">
        <v>27</v>
      </c>
      <c r="D42" s="26">
        <v>3506839516.3000002</v>
      </c>
      <c r="E42" s="26">
        <v>28429378.050000001</v>
      </c>
      <c r="F42" s="26">
        <v>4109152.94</v>
      </c>
      <c r="G42" s="20">
        <v>24320225.109999999</v>
      </c>
      <c r="H42" s="26">
        <v>3463392454.6900001</v>
      </c>
      <c r="I42" s="60">
        <f t="shared" si="11"/>
        <v>4.4437701312166327E-3</v>
      </c>
      <c r="J42" s="26">
        <v>3486958519.25</v>
      </c>
      <c r="K42" s="60">
        <f t="shared" si="16"/>
        <v>4.3334556844186233E-3</v>
      </c>
      <c r="L42" s="60">
        <f t="shared" si="17"/>
        <v>6.8043298206322631E-3</v>
      </c>
      <c r="M42" s="52">
        <f t="shared" si="18"/>
        <v>1.1784347067265446E-3</v>
      </c>
      <c r="N42" s="53">
        <f t="shared" si="19"/>
        <v>6.9746241533240171E-3</v>
      </c>
      <c r="O42" s="54">
        <f t="shared" si="20"/>
        <v>0.99497662178885604</v>
      </c>
      <c r="P42" s="54">
        <f t="shared" si="21"/>
        <v>6.9395879783212908E-3</v>
      </c>
      <c r="Q42" s="26">
        <v>0.99</v>
      </c>
      <c r="R42" s="26">
        <v>0.99</v>
      </c>
      <c r="S42" s="35">
        <v>810</v>
      </c>
      <c r="T42" s="35">
        <v>3480962303</v>
      </c>
      <c r="U42" s="35">
        <v>3504563266</v>
      </c>
    </row>
    <row r="43" spans="1:21" ht="15.75">
      <c r="A43" s="17">
        <v>36</v>
      </c>
      <c r="B43" s="18" t="s">
        <v>75</v>
      </c>
      <c r="C43" s="18" t="s">
        <v>29</v>
      </c>
      <c r="D43" s="26">
        <v>2317734532.6300001</v>
      </c>
      <c r="E43" s="26">
        <v>22966684.629999999</v>
      </c>
      <c r="F43" s="26">
        <v>3512927.66</v>
      </c>
      <c r="G43" s="20">
        <v>19453756.969999999</v>
      </c>
      <c r="H43" s="26">
        <v>2194990118.1799998</v>
      </c>
      <c r="I43" s="60">
        <f t="shared" si="11"/>
        <v>2.8163229126041997E-3</v>
      </c>
      <c r="J43" s="26">
        <v>2328296327.8099999</v>
      </c>
      <c r="K43" s="60">
        <f t="shared" si="16"/>
        <v>2.8935156243067059E-3</v>
      </c>
      <c r="L43" s="60">
        <f t="shared" si="17"/>
        <v>6.073203178724669E-2</v>
      </c>
      <c r="M43" s="52">
        <f t="shared" si="18"/>
        <v>1.5087974919860251E-3</v>
      </c>
      <c r="N43" s="53">
        <f t="shared" si="19"/>
        <v>8.3553612732354572E-3</v>
      </c>
      <c r="O43" s="54">
        <f t="shared" si="20"/>
        <v>9.9993002411829437</v>
      </c>
      <c r="P43" s="54">
        <f t="shared" si="21"/>
        <v>8.3547765994633927E-2</v>
      </c>
      <c r="Q43" s="26">
        <v>10</v>
      </c>
      <c r="R43" s="26">
        <v>10</v>
      </c>
      <c r="S43" s="35">
        <v>1722</v>
      </c>
      <c r="T43" s="35">
        <v>217575134.88999999</v>
      </c>
      <c r="U43" s="35">
        <v>232845926.38</v>
      </c>
    </row>
    <row r="44" spans="1:21" ht="16.5" customHeight="1">
      <c r="A44" s="17">
        <v>37</v>
      </c>
      <c r="B44" s="18" t="s">
        <v>76</v>
      </c>
      <c r="C44" s="18" t="s">
        <v>77</v>
      </c>
      <c r="D44" s="26">
        <v>2966692825.9099998</v>
      </c>
      <c r="E44" s="26">
        <v>44946499.359999999</v>
      </c>
      <c r="F44" s="26">
        <v>6386753.4299999997</v>
      </c>
      <c r="G44" s="20">
        <v>38559745.93</v>
      </c>
      <c r="H44" s="26">
        <v>3412134905.3499999</v>
      </c>
      <c r="I44" s="60">
        <f t="shared" si="11"/>
        <v>4.3780031788032527E-3</v>
      </c>
      <c r="J44" s="26">
        <v>3302731704.5799999</v>
      </c>
      <c r="K44" s="60">
        <f t="shared" si="16"/>
        <v>4.1045058036423641E-3</v>
      </c>
      <c r="L44" s="60">
        <f t="shared" si="17"/>
        <v>-3.2062976349048526E-2</v>
      </c>
      <c r="M44" s="52">
        <f t="shared" si="18"/>
        <v>1.9337790657180211E-3</v>
      </c>
      <c r="N44" s="53">
        <f t="shared" si="19"/>
        <v>1.1675106965705997E-2</v>
      </c>
      <c r="O44" s="54">
        <f t="shared" si="20"/>
        <v>100.00000013867309</v>
      </c>
      <c r="P44" s="54">
        <f t="shared" si="21"/>
        <v>1.1675106981896228</v>
      </c>
      <c r="Q44" s="26">
        <v>100</v>
      </c>
      <c r="R44" s="26">
        <v>100</v>
      </c>
      <c r="S44" s="35">
        <f>1270+38+20</f>
        <v>1328</v>
      </c>
      <c r="T44" s="35">
        <v>34148723</v>
      </c>
      <c r="U44" s="35">
        <v>33027317</v>
      </c>
    </row>
    <row r="45" spans="1:21" ht="15.75">
      <c r="A45" s="17">
        <v>38</v>
      </c>
      <c r="B45" s="18" t="s">
        <v>78</v>
      </c>
      <c r="C45" s="28" t="s">
        <v>79</v>
      </c>
      <c r="D45" s="26">
        <v>137810983.99000001</v>
      </c>
      <c r="E45" s="26">
        <v>1001456.51</v>
      </c>
      <c r="F45" s="26">
        <v>55965.16</v>
      </c>
      <c r="G45" s="20">
        <v>945491.35</v>
      </c>
      <c r="H45" s="26">
        <v>138216492.59999999</v>
      </c>
      <c r="I45" s="60">
        <f t="shared" si="11"/>
        <v>1.7734124258013967E-4</v>
      </c>
      <c r="J45" s="26">
        <v>138279795.08000001</v>
      </c>
      <c r="K45" s="60">
        <f t="shared" si="16"/>
        <v>1.7184872166433314E-4</v>
      </c>
      <c r="L45" s="60">
        <f t="shared" si="17"/>
        <v>4.5799512640808452E-4</v>
      </c>
      <c r="M45" s="52">
        <f t="shared" si="18"/>
        <v>4.0472405941607067E-4</v>
      </c>
      <c r="N45" s="53">
        <f t="shared" si="19"/>
        <v>6.8375235113199151E-3</v>
      </c>
      <c r="O45" s="54">
        <f t="shared" si="20"/>
        <v>1.0008255815798257</v>
      </c>
      <c r="P45" s="54">
        <f t="shared" si="21"/>
        <v>6.8431684447824862E-3</v>
      </c>
      <c r="Q45" s="26">
        <v>1</v>
      </c>
      <c r="R45" s="26">
        <v>1</v>
      </c>
      <c r="S45" s="35">
        <v>48</v>
      </c>
      <c r="T45" s="35">
        <v>138229039.93000001</v>
      </c>
      <c r="U45" s="35">
        <v>138165728</v>
      </c>
    </row>
    <row r="46" spans="1:21" ht="16.5" customHeight="1">
      <c r="A46" s="17">
        <v>39</v>
      </c>
      <c r="B46" s="28" t="s">
        <v>80</v>
      </c>
      <c r="C46" s="28" t="s">
        <v>31</v>
      </c>
      <c r="D46" s="26">
        <v>686797359.80999994</v>
      </c>
      <c r="E46" s="26">
        <v>3107827.75</v>
      </c>
      <c r="F46" s="26">
        <v>941469.35</v>
      </c>
      <c r="G46" s="20">
        <v>2166358.4</v>
      </c>
      <c r="H46" s="26">
        <v>692832969.63</v>
      </c>
      <c r="I46" s="60">
        <f t="shared" si="11"/>
        <v>8.8895223300343234E-4</v>
      </c>
      <c r="J46" s="26">
        <v>700757720.39999998</v>
      </c>
      <c r="K46" s="60">
        <f t="shared" si="16"/>
        <v>8.7087429061839599E-4</v>
      </c>
      <c r="L46" s="60">
        <f t="shared" si="17"/>
        <v>1.1438183685502307E-2</v>
      </c>
      <c r="M46" s="52">
        <f t="shared" si="18"/>
        <v>1.3435019302571497E-3</v>
      </c>
      <c r="N46" s="53">
        <f t="shared" si="19"/>
        <v>3.0914513489247318E-3</v>
      </c>
      <c r="O46" s="54">
        <f t="shared" si="20"/>
        <v>10.392372054773775</v>
      </c>
      <c r="P46" s="54">
        <f t="shared" si="21"/>
        <v>3.2127512607258067E-2</v>
      </c>
      <c r="Q46" s="26">
        <v>100</v>
      </c>
      <c r="R46" s="26">
        <v>100</v>
      </c>
      <c r="S46" s="35">
        <v>520</v>
      </c>
      <c r="T46" s="35">
        <v>67172322</v>
      </c>
      <c r="U46" s="35">
        <v>67430007</v>
      </c>
    </row>
    <row r="47" spans="1:21" ht="15.75">
      <c r="A47" s="17">
        <v>40</v>
      </c>
      <c r="B47" s="18" t="s">
        <v>81</v>
      </c>
      <c r="C47" s="18" t="s">
        <v>35</v>
      </c>
      <c r="D47" s="26">
        <v>360926456667.37</v>
      </c>
      <c r="E47" s="26">
        <v>3409792481.2600002</v>
      </c>
      <c r="F47" s="26">
        <v>609907615.01999998</v>
      </c>
      <c r="G47" s="20">
        <v>2799884866.23</v>
      </c>
      <c r="H47" s="26">
        <v>342836187241.58002</v>
      </c>
      <c r="I47" s="60">
        <f t="shared" si="11"/>
        <v>0.43988234908269719</v>
      </c>
      <c r="J47" s="26">
        <v>365292848751.17999</v>
      </c>
      <c r="K47" s="60">
        <f t="shared" si="16"/>
        <v>0.45397166704430775</v>
      </c>
      <c r="L47" s="60">
        <f t="shared" si="17"/>
        <v>6.5502599624280206E-2</v>
      </c>
      <c r="M47" s="52">
        <f t="shared" si="18"/>
        <v>1.6696401725494491E-3</v>
      </c>
      <c r="N47" s="53">
        <f t="shared" si="19"/>
        <v>7.664767804247785E-3</v>
      </c>
      <c r="O47" s="54">
        <f t="shared" si="20"/>
        <v>1.0000000000000273</v>
      </c>
      <c r="P47" s="54">
        <f t="shared" si="21"/>
        <v>7.6647678042479949E-3</v>
      </c>
      <c r="Q47" s="26">
        <v>100</v>
      </c>
      <c r="R47" s="26">
        <v>100</v>
      </c>
      <c r="S47" s="64">
        <v>100480</v>
      </c>
      <c r="T47" s="35">
        <v>342836187241.58002</v>
      </c>
      <c r="U47" s="35">
        <v>365292848751.16998</v>
      </c>
    </row>
    <row r="48" spans="1:21" ht="15.75">
      <c r="A48" s="17">
        <v>41</v>
      </c>
      <c r="B48" s="18" t="s">
        <v>82</v>
      </c>
      <c r="C48" s="18" t="s">
        <v>83</v>
      </c>
      <c r="D48" s="26">
        <v>1027723910.37</v>
      </c>
      <c r="E48" s="26">
        <v>11040250.57</v>
      </c>
      <c r="F48" s="26">
        <v>1313916.3600000001</v>
      </c>
      <c r="G48" s="20">
        <v>9726334.2100000009</v>
      </c>
      <c r="H48" s="26">
        <v>752946113.5</v>
      </c>
      <c r="I48" s="60">
        <f t="shared" si="11"/>
        <v>9.6608152075172021E-4</v>
      </c>
      <c r="J48" s="26">
        <v>1026701671.51</v>
      </c>
      <c r="K48" s="60">
        <f t="shared" si="16"/>
        <v>1.2759446864782523E-3</v>
      </c>
      <c r="L48" s="60">
        <f t="shared" si="17"/>
        <v>0.36357921649594915</v>
      </c>
      <c r="M48" s="52">
        <f t="shared" si="18"/>
        <v>1.2797450286289932E-3</v>
      </c>
      <c r="N48" s="53">
        <f t="shared" si="19"/>
        <v>9.4733791517989819E-3</v>
      </c>
      <c r="O48" s="54">
        <f t="shared" si="20"/>
        <v>1.0148448481396133</v>
      </c>
      <c r="P48" s="54">
        <f t="shared" si="21"/>
        <v>9.6140100266764172E-3</v>
      </c>
      <c r="Q48" s="26">
        <v>1</v>
      </c>
      <c r="R48" s="26">
        <v>1</v>
      </c>
      <c r="S48" s="35">
        <v>217</v>
      </c>
      <c r="T48" s="35">
        <v>745944789.28999996</v>
      </c>
      <c r="U48" s="35">
        <v>1011683385.29</v>
      </c>
    </row>
    <row r="49" spans="1:21" ht="15.75">
      <c r="A49" s="17">
        <v>42</v>
      </c>
      <c r="B49" s="18" t="s">
        <v>84</v>
      </c>
      <c r="C49" s="18" t="s">
        <v>40</v>
      </c>
      <c r="D49" s="26">
        <v>16441891541</v>
      </c>
      <c r="E49" s="26">
        <v>454678662</v>
      </c>
      <c r="F49" s="26">
        <v>59112572</v>
      </c>
      <c r="G49" s="20">
        <v>395566090</v>
      </c>
      <c r="H49" s="26">
        <v>47487484006</v>
      </c>
      <c r="I49" s="60">
        <f t="shared" si="11"/>
        <v>6.0929699938200785E-2</v>
      </c>
      <c r="J49" s="26">
        <v>44868427600</v>
      </c>
      <c r="K49" s="60">
        <f t="shared" si="16"/>
        <v>5.5760727166885252E-2</v>
      </c>
      <c r="L49" s="60">
        <f t="shared" si="17"/>
        <v>-5.515256200284447E-2</v>
      </c>
      <c r="M49" s="52">
        <f t="shared" si="18"/>
        <v>1.3174647555511841E-3</v>
      </c>
      <c r="N49" s="53">
        <f t="shared" si="19"/>
        <v>8.8161344437218472E-3</v>
      </c>
      <c r="O49" s="54">
        <f t="shared" si="20"/>
        <v>1.0224181979584206</v>
      </c>
      <c r="P49" s="54">
        <f t="shared" si="21"/>
        <v>9.0137762909092544E-3</v>
      </c>
      <c r="Q49" s="26">
        <v>1</v>
      </c>
      <c r="R49" s="26">
        <v>1</v>
      </c>
      <c r="S49" s="35">
        <v>4804</v>
      </c>
      <c r="T49" s="35">
        <v>46279478103</v>
      </c>
      <c r="U49" s="35">
        <v>43884613644</v>
      </c>
    </row>
    <row r="50" spans="1:21" ht="15.75">
      <c r="A50" s="17">
        <v>43</v>
      </c>
      <c r="B50" s="29" t="s">
        <v>85</v>
      </c>
      <c r="C50" s="18" t="s">
        <v>86</v>
      </c>
      <c r="D50" s="26">
        <v>712110495.58000004</v>
      </c>
      <c r="E50" s="26">
        <v>8035761.5199999996</v>
      </c>
      <c r="F50" s="26">
        <v>1551768.38</v>
      </c>
      <c r="G50" s="20">
        <v>6483993.1399999997</v>
      </c>
      <c r="H50" s="26">
        <v>952615034.51999998</v>
      </c>
      <c r="I50" s="60">
        <f t="shared" si="11"/>
        <v>1.222270445041661E-3</v>
      </c>
      <c r="J50" s="26">
        <v>1389909528.8499999</v>
      </c>
      <c r="K50" s="60">
        <f t="shared" si="16"/>
        <v>1.7273252077337979E-3</v>
      </c>
      <c r="L50" s="60">
        <f t="shared" si="17"/>
        <v>0.45904639175713008</v>
      </c>
      <c r="M50" s="52">
        <f t="shared" si="18"/>
        <v>1.1164527962362562E-3</v>
      </c>
      <c r="N50" s="53">
        <f t="shared" si="19"/>
        <v>4.6650469008330375E-3</v>
      </c>
      <c r="O50" s="54">
        <f t="shared" si="20"/>
        <v>1.0151838707170253</v>
      </c>
      <c r="P50" s="54">
        <f t="shared" si="21"/>
        <v>4.7358803698641459E-3</v>
      </c>
      <c r="Q50" s="26">
        <v>1</v>
      </c>
      <c r="R50" s="26">
        <v>1.01</v>
      </c>
      <c r="S50" s="35">
        <v>50</v>
      </c>
      <c r="T50" s="35">
        <v>938305891</v>
      </c>
      <c r="U50" s="35">
        <v>1369120973</v>
      </c>
    </row>
    <row r="51" spans="1:21" ht="15.75">
      <c r="A51" s="17">
        <v>44</v>
      </c>
      <c r="B51" s="18" t="s">
        <v>87</v>
      </c>
      <c r="C51" s="18" t="s">
        <v>88</v>
      </c>
      <c r="D51" s="26">
        <v>666319365.46000004</v>
      </c>
      <c r="E51" s="19">
        <v>8040976.9500000002</v>
      </c>
      <c r="F51" s="19">
        <v>1470924.99</v>
      </c>
      <c r="G51" s="20">
        <v>6570051.96</v>
      </c>
      <c r="H51" s="26">
        <v>771251809.85000002</v>
      </c>
      <c r="I51" s="60">
        <f t="shared" si="11"/>
        <v>9.8956898506177707E-4</v>
      </c>
      <c r="J51" s="26">
        <v>813629894.64999998</v>
      </c>
      <c r="K51" s="60">
        <f t="shared" si="16"/>
        <v>1.0111474147224237E-3</v>
      </c>
      <c r="L51" s="60">
        <f t="shared" si="17"/>
        <v>5.4947144705231904E-2</v>
      </c>
      <c r="M51" s="52">
        <f t="shared" si="18"/>
        <v>1.8078551435634618E-3</v>
      </c>
      <c r="N51" s="53">
        <f t="shared" si="19"/>
        <v>8.0749883985349949E-3</v>
      </c>
      <c r="O51" s="54">
        <f t="shared" si="20"/>
        <v>1.0217488883328776</v>
      </c>
      <c r="P51" s="54">
        <f t="shared" si="21"/>
        <v>8.2506104195040134E-3</v>
      </c>
      <c r="Q51" s="26">
        <v>100</v>
      </c>
      <c r="R51" s="26">
        <v>100</v>
      </c>
      <c r="S51" s="35">
        <v>224</v>
      </c>
      <c r="T51" s="35">
        <v>760266953.29999995</v>
      </c>
      <c r="U51" s="35">
        <v>796311015.29999995</v>
      </c>
    </row>
    <row r="52" spans="1:21" ht="15.75">
      <c r="A52" s="17">
        <v>45</v>
      </c>
      <c r="B52" s="18" t="s">
        <v>89</v>
      </c>
      <c r="C52" s="18" t="s">
        <v>90</v>
      </c>
      <c r="D52" s="26">
        <v>16309060482.969999</v>
      </c>
      <c r="E52" s="26">
        <v>159037706.56</v>
      </c>
      <c r="F52" s="26">
        <v>19471215.75</v>
      </c>
      <c r="G52" s="20">
        <v>139566490.81</v>
      </c>
      <c r="H52" s="26">
        <v>18344817387.889999</v>
      </c>
      <c r="I52" s="60">
        <f t="shared" si="11"/>
        <v>2.3537659285634085E-2</v>
      </c>
      <c r="J52" s="26">
        <v>16479820260.530001</v>
      </c>
      <c r="K52" s="60">
        <f t="shared" si="16"/>
        <v>2.0480476149039847E-2</v>
      </c>
      <c r="L52" s="60">
        <f t="shared" si="17"/>
        <v>-0.10166343376037872</v>
      </c>
      <c r="M52" s="52">
        <f t="shared" si="18"/>
        <v>1.18151869633157E-3</v>
      </c>
      <c r="N52" s="53">
        <f t="shared" si="19"/>
        <v>8.4689328283675987E-3</v>
      </c>
      <c r="O52" s="54">
        <f t="shared" si="20"/>
        <v>1.0102374960954372</v>
      </c>
      <c r="P52" s="54">
        <f t="shared" si="21"/>
        <v>8.555633495130532E-3</v>
      </c>
      <c r="Q52" s="26">
        <v>1</v>
      </c>
      <c r="R52" s="26">
        <v>1</v>
      </c>
      <c r="S52" s="35">
        <v>2626</v>
      </c>
      <c r="T52" s="35">
        <v>16131419864.57</v>
      </c>
      <c r="U52" s="35">
        <v>16312817851.469999</v>
      </c>
    </row>
    <row r="53" spans="1:21">
      <c r="A53" s="111" t="s">
        <v>43</v>
      </c>
      <c r="B53" s="111"/>
      <c r="C53" s="111"/>
      <c r="D53" s="111"/>
      <c r="E53" s="111"/>
      <c r="F53" s="111"/>
      <c r="G53" s="111"/>
      <c r="H53" s="34">
        <f t="shared" ref="H53" si="22">SUM(H24:H52)</f>
        <v>779381550445.27002</v>
      </c>
      <c r="I53" s="62">
        <f>(H53/$H$167)</f>
        <v>0.49962233009258228</v>
      </c>
      <c r="J53" s="34">
        <f>SUM(J24:J52)</f>
        <v>804660015743.9502</v>
      </c>
      <c r="K53" s="62">
        <f>(J53/$J$167)</f>
        <v>0.51032750597997711</v>
      </c>
      <c r="L53" s="59">
        <f>((J53-H53)/H53)</f>
        <v>3.2434005249724333E-2</v>
      </c>
      <c r="M53" s="52"/>
      <c r="N53" s="57"/>
      <c r="O53" s="58"/>
      <c r="P53" s="58"/>
      <c r="Q53" s="34"/>
      <c r="R53" s="34"/>
      <c r="S53" s="56">
        <f>SUM(S24:S52)</f>
        <v>219154</v>
      </c>
      <c r="T53" s="56"/>
      <c r="U53" s="56"/>
    </row>
    <row r="54" spans="1:21" ht="7.5" customHeight="1">
      <c r="A54" s="116"/>
      <c r="B54" s="117"/>
      <c r="C54" s="117"/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8"/>
    </row>
    <row r="55" spans="1:21">
      <c r="A55" s="103" t="s">
        <v>91</v>
      </c>
      <c r="B55" s="103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</row>
    <row r="56" spans="1:21" ht="15.75">
      <c r="A56" s="17">
        <v>46</v>
      </c>
      <c r="B56" s="18" t="s">
        <v>92</v>
      </c>
      <c r="C56" s="18" t="s">
        <v>15</v>
      </c>
      <c r="D56" s="26">
        <v>27988743.5</v>
      </c>
      <c r="E56" s="26">
        <v>-7583620.8200000003</v>
      </c>
      <c r="F56" s="26">
        <v>640564.31000000006</v>
      </c>
      <c r="G56" s="20">
        <v>-8224185.1299999999</v>
      </c>
      <c r="H56" s="26">
        <v>432592300.67000002</v>
      </c>
      <c r="I56" s="60">
        <f t="shared" ref="I56:I85" si="23">(H56/$H$86)</f>
        <v>1.2818886905796283E-3</v>
      </c>
      <c r="J56" s="26">
        <v>437659573.72000003</v>
      </c>
      <c r="K56" s="60">
        <f t="shared" ref="K56:K85" si="24">(J56/$J$86)</f>
        <v>1.3436382469733156E-3</v>
      </c>
      <c r="L56" s="60">
        <f>((J56-H56)/H56)</f>
        <v>1.1713738414095228E-2</v>
      </c>
      <c r="M56" s="65">
        <f t="shared" ref="M56" si="25">(F56/J56)</f>
        <v>1.4636131561235118E-3</v>
      </c>
      <c r="N56" s="66">
        <f t="shared" ref="N56" si="26">G56/J56</f>
        <v>-1.8791283508541638E-2</v>
      </c>
      <c r="O56" s="54">
        <f t="shared" ref="O56" si="27">J56/U56</f>
        <v>1.2667424244844649</v>
      </c>
      <c r="P56" s="54">
        <f t="shared" ref="P56" si="28">G56/U56</f>
        <v>-2.3803716030784978E-2</v>
      </c>
      <c r="Q56" s="38">
        <v>1.25</v>
      </c>
      <c r="R56" s="38">
        <v>1.25</v>
      </c>
      <c r="S56" s="35">
        <v>338</v>
      </c>
      <c r="T56" s="35">
        <v>345978241.18000001</v>
      </c>
      <c r="U56" s="35">
        <v>345500052.14999998</v>
      </c>
    </row>
    <row r="57" spans="1:21" ht="15.75" customHeight="1">
      <c r="A57" s="17">
        <v>47</v>
      </c>
      <c r="B57" s="18" t="s">
        <v>93</v>
      </c>
      <c r="C57" s="28" t="s">
        <v>17</v>
      </c>
      <c r="D57" s="26">
        <v>902557560.27999997</v>
      </c>
      <c r="E57" s="26">
        <v>6531850.0099999998</v>
      </c>
      <c r="F57" s="26">
        <v>1823493.27</v>
      </c>
      <c r="G57" s="20">
        <v>4708356.74</v>
      </c>
      <c r="H57" s="26">
        <v>997767588</v>
      </c>
      <c r="I57" s="60">
        <f t="shared" si="23"/>
        <v>2.9566568450320407E-3</v>
      </c>
      <c r="J57" s="26">
        <v>1009256767</v>
      </c>
      <c r="K57" s="60">
        <f t="shared" si="24"/>
        <v>3.0984721335615252E-3</v>
      </c>
      <c r="L57" s="60">
        <f t="shared" ref="L57:L85" si="29">((J57-H57)/H57)</f>
        <v>1.1514884967379799E-2</v>
      </c>
      <c r="M57" s="65">
        <f t="shared" ref="M57:M85" si="30">(F57/J57)</f>
        <v>1.8067684355689835E-3</v>
      </c>
      <c r="N57" s="66">
        <f t="shared" ref="N57:N85" si="31">G57/J57</f>
        <v>4.6651723267563689E-3</v>
      </c>
      <c r="O57" s="54">
        <f t="shared" ref="O57:O85" si="32">J57/U57</f>
        <v>1.1265169995610815</v>
      </c>
      <c r="P57" s="54">
        <f t="shared" ref="P57:P85" si="33">G57/U57</f>
        <v>5.255395931972974E-3</v>
      </c>
      <c r="Q57" s="38">
        <v>1.1265000000000001</v>
      </c>
      <c r="R57" s="38">
        <v>1.1265000000000001</v>
      </c>
      <c r="S57" s="35">
        <v>282</v>
      </c>
      <c r="T57" s="35">
        <v>889151463</v>
      </c>
      <c r="U57" s="35">
        <v>895909043</v>
      </c>
    </row>
    <row r="58" spans="1:21" ht="15" customHeight="1">
      <c r="A58" s="17">
        <v>48</v>
      </c>
      <c r="B58" s="18" t="s">
        <v>94</v>
      </c>
      <c r="C58" s="18" t="s">
        <v>95</v>
      </c>
      <c r="D58" s="26">
        <v>711192329.53999996</v>
      </c>
      <c r="E58" s="26">
        <v>6233803.5099999998</v>
      </c>
      <c r="F58" s="26">
        <v>1793943.14</v>
      </c>
      <c r="G58" s="20">
        <v>4439860.37</v>
      </c>
      <c r="H58" s="26">
        <v>870654968</v>
      </c>
      <c r="I58" s="60">
        <f t="shared" si="23"/>
        <v>2.5799875660005426E-3</v>
      </c>
      <c r="J58" s="26">
        <v>875191596</v>
      </c>
      <c r="K58" s="60">
        <f t="shared" si="24"/>
        <v>2.686884904219063E-3</v>
      </c>
      <c r="L58" s="60">
        <f t="shared" si="29"/>
        <v>5.2105922170537708E-3</v>
      </c>
      <c r="M58" s="65">
        <f t="shared" si="30"/>
        <v>2.049771899317918E-3</v>
      </c>
      <c r="N58" s="66">
        <f t="shared" si="31"/>
        <v>5.0730153149231112E-3</v>
      </c>
      <c r="O58" s="54">
        <f t="shared" si="32"/>
        <v>1.0513065313052625</v>
      </c>
      <c r="P58" s="54">
        <f t="shared" si="33"/>
        <v>5.3332941339902899E-3</v>
      </c>
      <c r="Q58" s="38">
        <v>1.0512999999999999</v>
      </c>
      <c r="R58" s="38">
        <v>1.0512999999999999</v>
      </c>
      <c r="S58" s="35">
        <v>38</v>
      </c>
      <c r="T58" s="35">
        <v>832384860</v>
      </c>
      <c r="U58" s="35">
        <v>832479938</v>
      </c>
    </row>
    <row r="59" spans="1:21" ht="15.75">
      <c r="A59" s="17">
        <v>49</v>
      </c>
      <c r="B59" s="18" t="s">
        <v>96</v>
      </c>
      <c r="C59" s="28" t="s">
        <v>97</v>
      </c>
      <c r="D59" s="21">
        <v>213158666.94999999</v>
      </c>
      <c r="E59" s="21">
        <v>2835813.81</v>
      </c>
      <c r="F59" s="26">
        <v>399727.44</v>
      </c>
      <c r="G59" s="20">
        <v>2436086.37</v>
      </c>
      <c r="H59" s="26">
        <v>247579611.72999999</v>
      </c>
      <c r="I59" s="60">
        <f t="shared" si="23"/>
        <v>7.3364575329528477E-4</v>
      </c>
      <c r="J59" s="26">
        <v>248304510.19</v>
      </c>
      <c r="K59" s="60">
        <f t="shared" si="24"/>
        <v>7.62308097024985E-4</v>
      </c>
      <c r="L59" s="60">
        <f t="shared" si="29"/>
        <v>2.9279408548008889E-3</v>
      </c>
      <c r="M59" s="65">
        <f t="shared" si="30"/>
        <v>1.6098275447922101E-3</v>
      </c>
      <c r="N59" s="66">
        <f t="shared" si="31"/>
        <v>9.8108824851225306E-3</v>
      </c>
      <c r="O59" s="54">
        <f t="shared" si="32"/>
        <v>1128.8621121567558</v>
      </c>
      <c r="P59" s="54">
        <f t="shared" si="33"/>
        <v>11.075133524277142</v>
      </c>
      <c r="Q59" s="38">
        <v>1128.8599999999999</v>
      </c>
      <c r="R59" s="38">
        <v>1128.8599999999999</v>
      </c>
      <c r="S59" s="35">
        <v>122</v>
      </c>
      <c r="T59" s="35">
        <v>221310</v>
      </c>
      <c r="U59" s="35">
        <v>219960</v>
      </c>
    </row>
    <row r="60" spans="1:21" ht="15.75">
      <c r="A60" s="17">
        <v>50</v>
      </c>
      <c r="B60" s="18" t="s">
        <v>98</v>
      </c>
      <c r="C60" s="28" t="s">
        <v>99</v>
      </c>
      <c r="D60" s="26">
        <v>1353981811.6500001</v>
      </c>
      <c r="E60" s="26">
        <v>12829661.02</v>
      </c>
      <c r="F60" s="26">
        <v>1927718.86</v>
      </c>
      <c r="G60" s="20">
        <v>10901942.16</v>
      </c>
      <c r="H60" s="26">
        <v>1342453275.6300001</v>
      </c>
      <c r="I60" s="60">
        <f t="shared" si="23"/>
        <v>3.9780543227338474E-3</v>
      </c>
      <c r="J60" s="26">
        <v>1346223114.24</v>
      </c>
      <c r="K60" s="60">
        <f t="shared" si="24"/>
        <v>4.132976801758767E-3</v>
      </c>
      <c r="L60" s="60">
        <f t="shared" si="29"/>
        <v>2.8081711881039187E-3</v>
      </c>
      <c r="M60" s="65">
        <f t="shared" si="30"/>
        <v>1.4319460419369482E-3</v>
      </c>
      <c r="N60" s="66">
        <f t="shared" si="31"/>
        <v>8.0981689028230726E-3</v>
      </c>
      <c r="O60" s="54">
        <f t="shared" si="32"/>
        <v>1.0254787856610776</v>
      </c>
      <c r="P60" s="54">
        <f t="shared" si="33"/>
        <v>8.3045004125453046E-3</v>
      </c>
      <c r="Q60" s="20">
        <v>1.0247999999999999</v>
      </c>
      <c r="R60" s="20">
        <v>1.0247999999999999</v>
      </c>
      <c r="S60" s="35">
        <v>709</v>
      </c>
      <c r="T60" s="35">
        <v>1319707268.9400001</v>
      </c>
      <c r="U60" s="35">
        <v>1312775196.3900001</v>
      </c>
    </row>
    <row r="61" spans="1:21" ht="15.75">
      <c r="A61" s="17">
        <v>51</v>
      </c>
      <c r="B61" s="18" t="s">
        <v>100</v>
      </c>
      <c r="C61" s="18" t="s">
        <v>101</v>
      </c>
      <c r="D61" s="26">
        <v>445349809.55000001</v>
      </c>
      <c r="E61" s="26">
        <v>3217252.83</v>
      </c>
      <c r="F61" s="26">
        <v>824625.91</v>
      </c>
      <c r="G61" s="20">
        <v>2392626.92</v>
      </c>
      <c r="H61" s="26">
        <v>421931522.37</v>
      </c>
      <c r="I61" s="60">
        <f t="shared" si="23"/>
        <v>1.2502979037940548E-3</v>
      </c>
      <c r="J61" s="26">
        <v>424399149.29000002</v>
      </c>
      <c r="K61" s="60">
        <f t="shared" si="24"/>
        <v>1.302928036332188E-3</v>
      </c>
      <c r="L61" s="60">
        <f t="shared" si="29"/>
        <v>5.8484061729716097E-3</v>
      </c>
      <c r="M61" s="65">
        <f t="shared" si="30"/>
        <v>1.9430432680639458E-3</v>
      </c>
      <c r="N61" s="66">
        <f t="shared" si="31"/>
        <v>5.6376807635047177E-3</v>
      </c>
      <c r="O61" s="54">
        <f t="shared" si="32"/>
        <v>2.1632552426689093</v>
      </c>
      <c r="P61" s="54">
        <f t="shared" si="33"/>
        <v>1.219574246814524E-2</v>
      </c>
      <c r="Q61" s="38">
        <v>2.161</v>
      </c>
      <c r="R61" s="38">
        <v>2.161</v>
      </c>
      <c r="S61" s="35">
        <v>1406</v>
      </c>
      <c r="T61" s="35">
        <v>196150510.4571</v>
      </c>
      <c r="U61" s="35">
        <v>196185425.0571</v>
      </c>
    </row>
    <row r="62" spans="1:21" ht="15.75">
      <c r="A62" s="17">
        <v>52</v>
      </c>
      <c r="B62" s="18" t="s">
        <v>102</v>
      </c>
      <c r="C62" s="18" t="s">
        <v>33</v>
      </c>
      <c r="D62" s="26">
        <v>1905498082.9300001</v>
      </c>
      <c r="E62" s="26">
        <v>19070269.780000001</v>
      </c>
      <c r="F62" s="26">
        <v>3496481.07</v>
      </c>
      <c r="G62" s="20">
        <v>15573788.710000001</v>
      </c>
      <c r="H62" s="26">
        <v>2014148905.03</v>
      </c>
      <c r="I62" s="60">
        <f t="shared" si="23"/>
        <v>5.9684712337746719E-3</v>
      </c>
      <c r="J62" s="26">
        <v>1896528619</v>
      </c>
      <c r="K62" s="60">
        <f t="shared" si="24"/>
        <v>5.8224440683620629E-3</v>
      </c>
      <c r="L62" s="60">
        <f t="shared" si="29"/>
        <v>-5.8397016097599827E-2</v>
      </c>
      <c r="M62" s="65">
        <f t="shared" si="30"/>
        <v>1.8436215699416238E-3</v>
      </c>
      <c r="N62" s="66">
        <f t="shared" si="31"/>
        <v>8.2117340882584388E-3</v>
      </c>
      <c r="O62" s="54">
        <f t="shared" si="32"/>
        <v>102.2899691424217</v>
      </c>
      <c r="P62" s="54">
        <f t="shared" si="33"/>
        <v>0.8399780264937281</v>
      </c>
      <c r="Q62" s="38">
        <v>102.28997</v>
      </c>
      <c r="R62" s="38">
        <v>102.28997</v>
      </c>
      <c r="S62" s="35">
        <v>113</v>
      </c>
      <c r="T62" s="35">
        <v>19844316.059999999</v>
      </c>
      <c r="U62" s="35">
        <v>18540709.66</v>
      </c>
    </row>
    <row r="63" spans="1:21" ht="15.75">
      <c r="A63" s="17">
        <v>53</v>
      </c>
      <c r="B63" s="28" t="s">
        <v>103</v>
      </c>
      <c r="C63" s="18" t="s">
        <v>54</v>
      </c>
      <c r="D63" s="26">
        <v>3365477418.6900001</v>
      </c>
      <c r="E63" s="26">
        <v>22495384.82</v>
      </c>
      <c r="F63" s="26">
        <v>4996380.53</v>
      </c>
      <c r="G63" s="20">
        <v>17499004.289999999</v>
      </c>
      <c r="H63" s="26">
        <v>2810399267.29</v>
      </c>
      <c r="I63" s="60">
        <f t="shared" si="23"/>
        <v>8.3279777082777007E-3</v>
      </c>
      <c r="J63" s="26">
        <v>3326601976.5999999</v>
      </c>
      <c r="K63" s="60">
        <f t="shared" si="24"/>
        <v>1.0212845591894643E-2</v>
      </c>
      <c r="L63" s="60">
        <f t="shared" si="29"/>
        <v>0.18367593363620599</v>
      </c>
      <c r="M63" s="65">
        <f t="shared" si="30"/>
        <v>1.5019472017228285E-3</v>
      </c>
      <c r="N63" s="66">
        <f t="shared" si="31"/>
        <v>5.2603240222580221E-3</v>
      </c>
      <c r="O63" s="54">
        <f t="shared" si="32"/>
        <v>3782.0763325236917</v>
      </c>
      <c r="P63" s="54">
        <f t="shared" si="33"/>
        <v>19.894946985987893</v>
      </c>
      <c r="Q63" s="35">
        <v>3782.08</v>
      </c>
      <c r="R63" s="35">
        <v>3782.08</v>
      </c>
      <c r="S63" s="35">
        <v>1039</v>
      </c>
      <c r="T63" s="35">
        <v>747619.04</v>
      </c>
      <c r="U63" s="35">
        <v>879570.29</v>
      </c>
    </row>
    <row r="64" spans="1:21" ht="15.75">
      <c r="A64" s="17">
        <v>54</v>
      </c>
      <c r="B64" s="18" t="s">
        <v>104</v>
      </c>
      <c r="C64" s="18" t="s">
        <v>56</v>
      </c>
      <c r="D64" s="26">
        <v>311219427.44999999</v>
      </c>
      <c r="E64" s="26">
        <v>3601197.73</v>
      </c>
      <c r="F64" s="26">
        <v>737247.1</v>
      </c>
      <c r="G64" s="20">
        <v>2863950.63</v>
      </c>
      <c r="H64" s="26">
        <v>369330263.88</v>
      </c>
      <c r="I64" s="60">
        <f t="shared" si="23"/>
        <v>1.0944260626536725E-3</v>
      </c>
      <c r="J64" s="26">
        <v>359788727.00999999</v>
      </c>
      <c r="K64" s="60">
        <f t="shared" si="24"/>
        <v>1.1045705920048191E-3</v>
      </c>
      <c r="L64" s="60">
        <f t="shared" si="29"/>
        <v>-2.583470081699064E-2</v>
      </c>
      <c r="M64" s="65">
        <f t="shared" si="30"/>
        <v>2.0491111717891842E-3</v>
      </c>
      <c r="N64" s="66">
        <f t="shared" si="31"/>
        <v>7.9600899500122443E-3</v>
      </c>
      <c r="O64" s="54">
        <f t="shared" si="32"/>
        <v>107.84028437696605</v>
      </c>
      <c r="P64" s="54">
        <f t="shared" si="33"/>
        <v>0.85841836387554993</v>
      </c>
      <c r="Q64" s="38">
        <v>107.89</v>
      </c>
      <c r="R64" s="38">
        <v>107.89</v>
      </c>
      <c r="S64" s="35">
        <f>107+5</f>
        <v>112</v>
      </c>
      <c r="T64" s="35">
        <v>3387210</v>
      </c>
      <c r="U64" s="35">
        <v>3336311</v>
      </c>
    </row>
    <row r="65" spans="1:21" ht="15.75">
      <c r="A65" s="17">
        <v>55</v>
      </c>
      <c r="B65" s="28" t="s">
        <v>105</v>
      </c>
      <c r="C65" s="28" t="s">
        <v>60</v>
      </c>
      <c r="D65" s="26">
        <v>337038406.29000002</v>
      </c>
      <c r="E65" s="26">
        <v>2137642.27</v>
      </c>
      <c r="F65" s="26">
        <v>1671384</v>
      </c>
      <c r="G65" s="20">
        <v>2399692.11</v>
      </c>
      <c r="H65" s="26">
        <v>338705767.92000002</v>
      </c>
      <c r="I65" s="60">
        <f t="shared" si="23"/>
        <v>1.0036773485294873E-3</v>
      </c>
      <c r="J65" s="26">
        <v>341150187.18000001</v>
      </c>
      <c r="K65" s="60">
        <f t="shared" si="24"/>
        <v>1.0473492800831805E-3</v>
      </c>
      <c r="L65" s="60">
        <f t="shared" si="29"/>
        <v>7.2169401631723782E-3</v>
      </c>
      <c r="M65" s="65">
        <f t="shared" si="30"/>
        <v>4.8992615651655292E-3</v>
      </c>
      <c r="N65" s="66">
        <f t="shared" si="31"/>
        <v>7.0341222141374875E-3</v>
      </c>
      <c r="O65" s="54">
        <f t="shared" si="32"/>
        <v>1.3920113130950922</v>
      </c>
      <c r="P65" s="54">
        <f t="shared" si="33"/>
        <v>9.7915776997728795E-3</v>
      </c>
      <c r="Q65" s="38">
        <v>1.3875999999999999</v>
      </c>
      <c r="R65" s="38">
        <v>1.3875999999999999</v>
      </c>
      <c r="S65" s="35">
        <v>280</v>
      </c>
      <c r="T65" s="35">
        <v>244393643.41</v>
      </c>
      <c r="U65" s="35">
        <v>245077165.66</v>
      </c>
    </row>
    <row r="66" spans="1:21" ht="15.75">
      <c r="A66" s="17">
        <v>56</v>
      </c>
      <c r="B66" s="18" t="s">
        <v>106</v>
      </c>
      <c r="C66" s="18" t="s">
        <v>107</v>
      </c>
      <c r="D66" s="26">
        <f>271039068.49+40458537.66</f>
        <v>311497606.14999998</v>
      </c>
      <c r="E66" s="26">
        <v>33025360.84</v>
      </c>
      <c r="F66" s="26">
        <v>11978046.49</v>
      </c>
      <c r="G66" s="20">
        <v>21047314.350000001</v>
      </c>
      <c r="H66" s="26">
        <v>449530640.36000001</v>
      </c>
      <c r="I66" s="60">
        <f t="shared" si="23"/>
        <v>1.3320815998204489E-3</v>
      </c>
      <c r="J66" s="26">
        <v>448029277.70999998</v>
      </c>
      <c r="K66" s="60">
        <f t="shared" si="24"/>
        <v>1.3754737916006786E-3</v>
      </c>
      <c r="L66" s="60">
        <f t="shared" si="29"/>
        <v>-3.3398449742996195E-3</v>
      </c>
      <c r="M66" s="65">
        <f t="shared" si="30"/>
        <v>2.6734963730993357E-2</v>
      </c>
      <c r="N66" s="66">
        <f t="shared" si="31"/>
        <v>4.6977542310579733E-2</v>
      </c>
      <c r="O66" s="54">
        <f t="shared" si="32"/>
        <v>994.45352647466268</v>
      </c>
      <c r="P66" s="54">
        <f t="shared" si="33"/>
        <v>46.716982615868687</v>
      </c>
      <c r="Q66" s="38">
        <v>1000</v>
      </c>
      <c r="R66" s="38">
        <v>1000</v>
      </c>
      <c r="S66" s="35">
        <v>152</v>
      </c>
      <c r="T66" s="35">
        <v>432478.12</v>
      </c>
      <c r="U66" s="35">
        <v>450528.12</v>
      </c>
    </row>
    <row r="67" spans="1:21" ht="15.75">
      <c r="A67" s="17">
        <v>57</v>
      </c>
      <c r="B67" s="18" t="s">
        <v>108</v>
      </c>
      <c r="C67" s="18" t="s">
        <v>62</v>
      </c>
      <c r="D67" s="26">
        <v>364253331.51999998</v>
      </c>
      <c r="E67" s="26">
        <v>4350972.4000000004</v>
      </c>
      <c r="F67" s="26">
        <v>765457.95</v>
      </c>
      <c r="G67" s="20">
        <v>3585514.45</v>
      </c>
      <c r="H67" s="26">
        <v>360886092.01999998</v>
      </c>
      <c r="I67" s="60">
        <f t="shared" si="23"/>
        <v>1.0694036838644991E-3</v>
      </c>
      <c r="J67" s="26">
        <v>366014735.10000002</v>
      </c>
      <c r="K67" s="60">
        <f t="shared" si="24"/>
        <v>1.1236847690913262E-3</v>
      </c>
      <c r="L67" s="60">
        <f t="shared" si="29"/>
        <v>1.4211251675821905E-2</v>
      </c>
      <c r="M67" s="65">
        <f t="shared" si="30"/>
        <v>2.091330967292524E-3</v>
      </c>
      <c r="N67" s="66">
        <f t="shared" si="31"/>
        <v>9.7960931792005334E-3</v>
      </c>
      <c r="O67" s="54">
        <f t="shared" si="32"/>
        <v>1138.073670512952</v>
      </c>
      <c r="P67" s="54">
        <f t="shared" si="33"/>
        <v>11.148675721139645</v>
      </c>
      <c r="Q67" s="26">
        <v>1131.3399999999999</v>
      </c>
      <c r="R67" s="38">
        <v>1138.07</v>
      </c>
      <c r="S67" s="35">
        <v>280</v>
      </c>
      <c r="T67" s="35">
        <v>327793</v>
      </c>
      <c r="U67" s="35">
        <v>321609</v>
      </c>
    </row>
    <row r="68" spans="1:21" ht="15.75">
      <c r="A68" s="17">
        <v>58</v>
      </c>
      <c r="B68" s="18" t="s">
        <v>109</v>
      </c>
      <c r="C68" s="28" t="s">
        <v>65</v>
      </c>
      <c r="D68" s="26">
        <v>195504510.06</v>
      </c>
      <c r="E68" s="26">
        <v>7252877.6600000001</v>
      </c>
      <c r="F68" s="26">
        <v>1350166.37</v>
      </c>
      <c r="G68" s="20">
        <v>5902711.29</v>
      </c>
      <c r="H68" s="26">
        <v>688402463.41999996</v>
      </c>
      <c r="I68" s="60">
        <f t="shared" si="23"/>
        <v>2.0399238059912424E-3</v>
      </c>
      <c r="J68" s="26">
        <v>696131907.44000006</v>
      </c>
      <c r="K68" s="60">
        <f t="shared" si="24"/>
        <v>2.1371621048401363E-3</v>
      </c>
      <c r="L68" s="60">
        <f t="shared" si="29"/>
        <v>1.1228088844423997E-2</v>
      </c>
      <c r="M68" s="65">
        <f t="shared" si="30"/>
        <v>1.9395266264481228E-3</v>
      </c>
      <c r="N68" s="66">
        <f t="shared" si="31"/>
        <v>8.4793000104060844E-3</v>
      </c>
      <c r="O68" s="54">
        <f t="shared" si="32"/>
        <v>1.0954309089271572</v>
      </c>
      <c r="P68" s="54">
        <f t="shared" si="33"/>
        <v>9.2884873174651911E-3</v>
      </c>
      <c r="Q68" s="38">
        <v>1.1000000000000001</v>
      </c>
      <c r="R68" s="38">
        <v>1.1000000000000001</v>
      </c>
      <c r="S68" s="35">
        <v>37</v>
      </c>
      <c r="T68" s="35">
        <v>633759686.5</v>
      </c>
      <c r="U68" s="35">
        <v>635486822.37</v>
      </c>
    </row>
    <row r="69" spans="1:21" ht="15.75">
      <c r="A69" s="17">
        <v>59</v>
      </c>
      <c r="B69" s="18" t="s">
        <v>110</v>
      </c>
      <c r="C69" s="18" t="s">
        <v>21</v>
      </c>
      <c r="D69" s="26">
        <v>64319937726.5</v>
      </c>
      <c r="E69" s="26">
        <v>721683832.37</v>
      </c>
      <c r="F69" s="26">
        <v>77234452.180000007</v>
      </c>
      <c r="G69" s="20">
        <v>644449380.19000006</v>
      </c>
      <c r="H69" s="26">
        <v>65592586859.18</v>
      </c>
      <c r="I69" s="60">
        <f t="shared" si="23"/>
        <v>0.1943686818984475</v>
      </c>
      <c r="J69" s="26">
        <v>64319937726.480003</v>
      </c>
      <c r="K69" s="60">
        <f t="shared" si="24"/>
        <v>0.19746564124638752</v>
      </c>
      <c r="L69" s="60">
        <f t="shared" si="29"/>
        <v>-1.940233178228255E-2</v>
      </c>
      <c r="M69" s="65">
        <f t="shared" si="30"/>
        <v>1.200785555925736E-3</v>
      </c>
      <c r="N69" s="66">
        <f t="shared" si="31"/>
        <v>1.001943414389665E-2</v>
      </c>
      <c r="O69" s="54">
        <f t="shared" si="32"/>
        <v>1513.3885066520925</v>
      </c>
      <c r="P69" s="54">
        <f t="shared" si="33"/>
        <v>15.163296476530739</v>
      </c>
      <c r="Q69" s="20">
        <v>1513.38</v>
      </c>
      <c r="R69" s="20">
        <v>1513.38</v>
      </c>
      <c r="S69" s="35">
        <v>2440</v>
      </c>
      <c r="T69" s="35">
        <v>43726000</v>
      </c>
      <c r="U69" s="35">
        <v>42500612</v>
      </c>
    </row>
    <row r="70" spans="1:21" ht="15.75">
      <c r="A70" s="17">
        <v>60</v>
      </c>
      <c r="B70" s="18" t="s">
        <v>111</v>
      </c>
      <c r="C70" s="18" t="s">
        <v>71</v>
      </c>
      <c r="D70" s="26">
        <v>23154794.190000001</v>
      </c>
      <c r="E70" s="26">
        <v>276518.82</v>
      </c>
      <c r="F70" s="26">
        <v>248289.95</v>
      </c>
      <c r="G70" s="20">
        <v>31228.87</v>
      </c>
      <c r="H70" s="26">
        <v>21155828.399999999</v>
      </c>
      <c r="I70" s="60">
        <f t="shared" si="23"/>
        <v>6.2690475821693296E-5</v>
      </c>
      <c r="J70" s="26">
        <v>21328124.23</v>
      </c>
      <c r="K70" s="60">
        <f t="shared" si="24"/>
        <v>6.5478479559001422E-5</v>
      </c>
      <c r="L70" s="60">
        <f t="shared" si="29"/>
        <v>8.144130626433042E-3</v>
      </c>
      <c r="M70" s="65">
        <f t="shared" si="30"/>
        <v>1.164143397339917E-2</v>
      </c>
      <c r="N70" s="66">
        <f t="shared" si="31"/>
        <v>1.464210807440519E-3</v>
      </c>
      <c r="O70" s="54">
        <f t="shared" si="32"/>
        <v>0.6363427391165265</v>
      </c>
      <c r="P70" s="54">
        <f t="shared" si="33"/>
        <v>9.3173991585072079E-4</v>
      </c>
      <c r="Q70" s="20">
        <v>0.63629999999999998</v>
      </c>
      <c r="R70" s="20">
        <v>0.63629999999999998</v>
      </c>
      <c r="S70" s="35">
        <v>750</v>
      </c>
      <c r="T70" s="20">
        <v>33516724.43</v>
      </c>
      <c r="U70" s="20">
        <v>33516724.43</v>
      </c>
    </row>
    <row r="71" spans="1:21" ht="15.75">
      <c r="A71" s="17">
        <v>61</v>
      </c>
      <c r="B71" s="28" t="s">
        <v>112</v>
      </c>
      <c r="C71" s="28" t="s">
        <v>113</v>
      </c>
      <c r="D71" s="26">
        <v>994643417.63999999</v>
      </c>
      <c r="E71" s="26">
        <v>18945321.07</v>
      </c>
      <c r="F71" s="26">
        <v>3953336.07</v>
      </c>
      <c r="G71" s="20">
        <v>14991985</v>
      </c>
      <c r="H71" s="26">
        <v>791128231.94000006</v>
      </c>
      <c r="I71" s="60">
        <f t="shared" si="23"/>
        <v>2.3443282086885119E-3</v>
      </c>
      <c r="J71" s="26">
        <v>990708432.34000003</v>
      </c>
      <c r="K71" s="60">
        <f t="shared" si="24"/>
        <v>3.0415277563255751E-3</v>
      </c>
      <c r="L71" s="60">
        <f t="shared" si="29"/>
        <v>0.25227288363934447</v>
      </c>
      <c r="M71" s="65">
        <f t="shared" si="30"/>
        <v>3.9904132648416373E-3</v>
      </c>
      <c r="N71" s="66">
        <f t="shared" si="31"/>
        <v>1.5132590488393985E-2</v>
      </c>
      <c r="O71" s="54">
        <f t="shared" si="32"/>
        <v>200.19971026031837</v>
      </c>
      <c r="P71" s="54">
        <f t="shared" si="33"/>
        <v>3.0295402312645252</v>
      </c>
      <c r="Q71" s="20">
        <v>200.19970000000001</v>
      </c>
      <c r="R71" s="20">
        <v>200.9949</v>
      </c>
      <c r="S71" s="35">
        <v>473</v>
      </c>
      <c r="T71" s="35">
        <v>3996725.25</v>
      </c>
      <c r="U71" s="35">
        <v>4948600.7300000004</v>
      </c>
    </row>
    <row r="72" spans="1:21" ht="15.75">
      <c r="A72" s="17">
        <v>62</v>
      </c>
      <c r="B72" s="18" t="s">
        <v>114</v>
      </c>
      <c r="C72" s="28" t="s">
        <v>27</v>
      </c>
      <c r="D72" s="26">
        <v>1424820368.03</v>
      </c>
      <c r="E72" s="26">
        <v>11358115.539999999</v>
      </c>
      <c r="F72" s="26">
        <v>1809970.71</v>
      </c>
      <c r="G72" s="20">
        <v>9548144.8300000001</v>
      </c>
      <c r="H72" s="26">
        <v>1420976315.6800001</v>
      </c>
      <c r="I72" s="60">
        <f t="shared" si="23"/>
        <v>4.2107394556734007E-3</v>
      </c>
      <c r="J72" s="26">
        <v>1411626638.6099999</v>
      </c>
      <c r="K72" s="60">
        <f t="shared" si="24"/>
        <v>4.3337691118262378E-3</v>
      </c>
      <c r="L72" s="60">
        <f t="shared" si="29"/>
        <v>-6.5797557403523207E-3</v>
      </c>
      <c r="M72" s="65">
        <f t="shared" si="30"/>
        <v>1.2821879812230247E-3</v>
      </c>
      <c r="N72" s="66">
        <f t="shared" si="31"/>
        <v>6.7639307511240115E-3</v>
      </c>
      <c r="O72" s="54">
        <f t="shared" si="32"/>
        <v>3.4342144435618951</v>
      </c>
      <c r="P72" s="54">
        <f t="shared" si="33"/>
        <v>2.3228788680762537E-2</v>
      </c>
      <c r="Q72" s="20">
        <v>3.53</v>
      </c>
      <c r="R72" s="20">
        <v>3.53</v>
      </c>
      <c r="S72" s="35">
        <v>804</v>
      </c>
      <c r="T72" s="35">
        <v>406705451</v>
      </c>
      <c r="U72" s="35">
        <v>411047901</v>
      </c>
    </row>
    <row r="73" spans="1:21" ht="15.75">
      <c r="A73" s="17">
        <v>63</v>
      </c>
      <c r="B73" s="28" t="s">
        <v>115</v>
      </c>
      <c r="C73" s="18" t="s">
        <v>116</v>
      </c>
      <c r="D73" s="26">
        <v>11355914524.709999</v>
      </c>
      <c r="E73" s="26">
        <v>174943776.09</v>
      </c>
      <c r="F73" s="26">
        <v>23366661.460000001</v>
      </c>
      <c r="G73" s="20">
        <v>151577114.63</v>
      </c>
      <c r="H73" s="26">
        <v>15514489926</v>
      </c>
      <c r="I73" s="60">
        <f t="shared" si="23"/>
        <v>4.5973654975940685E-2</v>
      </c>
      <c r="J73" s="26">
        <v>15664682240.26</v>
      </c>
      <c r="K73" s="60">
        <f t="shared" si="24"/>
        <v>4.8091410421567907E-2</v>
      </c>
      <c r="L73" s="60">
        <f t="shared" si="29"/>
        <v>9.6807768077698791E-3</v>
      </c>
      <c r="M73" s="65">
        <f t="shared" si="30"/>
        <v>1.4916779735209085E-3</v>
      </c>
      <c r="N73" s="66">
        <f t="shared" si="31"/>
        <v>9.6763606375895525E-3</v>
      </c>
      <c r="O73" s="54">
        <f t="shared" si="32"/>
        <v>1185.5439391347907</v>
      </c>
      <c r="P73" s="54">
        <f t="shared" si="33"/>
        <v>11.471750706776753</v>
      </c>
      <c r="Q73" s="20">
        <v>1185.54</v>
      </c>
      <c r="R73" s="20">
        <v>1185.54</v>
      </c>
      <c r="S73" s="35">
        <v>7492</v>
      </c>
      <c r="T73" s="35">
        <v>13188869.789999999</v>
      </c>
      <c r="U73" s="35">
        <v>13213076.060000001</v>
      </c>
    </row>
    <row r="74" spans="1:21" ht="15.75">
      <c r="A74" s="17">
        <v>64</v>
      </c>
      <c r="B74" s="18" t="s">
        <v>117</v>
      </c>
      <c r="C74" s="18" t="s">
        <v>13</v>
      </c>
      <c r="D74" s="26">
        <v>1541194607.5599999</v>
      </c>
      <c r="E74" s="26">
        <v>15573270.34</v>
      </c>
      <c r="F74" s="26">
        <v>2040450.87</v>
      </c>
      <c r="G74" s="20">
        <v>13532819.470000001</v>
      </c>
      <c r="H74" s="26">
        <v>1523333104.23</v>
      </c>
      <c r="I74" s="60">
        <f t="shared" si="23"/>
        <v>4.5140504703240934E-3</v>
      </c>
      <c r="J74" s="26">
        <v>1536963040.5899999</v>
      </c>
      <c r="K74" s="60">
        <f t="shared" si="24"/>
        <v>4.7185585544675434E-3</v>
      </c>
      <c r="L74" s="60">
        <f t="shared" si="29"/>
        <v>8.9474431574763334E-3</v>
      </c>
      <c r="M74" s="65">
        <f t="shared" si="30"/>
        <v>1.327586165778407E-3</v>
      </c>
      <c r="N74" s="66">
        <f t="shared" si="31"/>
        <v>8.8049088446558246E-3</v>
      </c>
      <c r="O74" s="54">
        <f t="shared" si="32"/>
        <v>331.9158932393193</v>
      </c>
      <c r="P74" s="54">
        <f t="shared" si="33"/>
        <v>2.9224891840647214</v>
      </c>
      <c r="Q74" s="38">
        <v>331.91590000000002</v>
      </c>
      <c r="R74" s="38">
        <v>331.91590000000002</v>
      </c>
      <c r="S74" s="35">
        <v>99</v>
      </c>
      <c r="T74" s="35">
        <v>4630126.2417000001</v>
      </c>
      <c r="U74" s="35">
        <v>4630579.8302999996</v>
      </c>
    </row>
    <row r="75" spans="1:21" ht="15.75">
      <c r="A75" s="17">
        <v>65</v>
      </c>
      <c r="B75" s="28" t="s">
        <v>118</v>
      </c>
      <c r="C75" s="28" t="s">
        <v>31</v>
      </c>
      <c r="D75" s="26">
        <v>52996572.700000003</v>
      </c>
      <c r="E75" s="26">
        <v>437442.19</v>
      </c>
      <c r="F75" s="26">
        <v>148220.01</v>
      </c>
      <c r="G75" s="20">
        <v>289222.18</v>
      </c>
      <c r="H75" s="26">
        <v>53286213.640000001</v>
      </c>
      <c r="I75" s="60">
        <f t="shared" si="23"/>
        <v>1.5790154961873315E-4</v>
      </c>
      <c r="J75" s="26">
        <v>53393755.719999999</v>
      </c>
      <c r="K75" s="60">
        <f t="shared" si="24"/>
        <v>1.6392167941204526E-4</v>
      </c>
      <c r="L75" s="60">
        <f t="shared" si="29"/>
        <v>2.018197065502705E-3</v>
      </c>
      <c r="M75" s="65">
        <f t="shared" si="30"/>
        <v>2.7759802246778531E-3</v>
      </c>
      <c r="N75" s="66">
        <f t="shared" si="31"/>
        <v>5.416779098977381E-3</v>
      </c>
      <c r="O75" s="54">
        <f t="shared" si="32"/>
        <v>11.713254026353516</v>
      </c>
      <c r="P75" s="54">
        <f t="shared" si="33"/>
        <v>6.3448109590964377E-2</v>
      </c>
      <c r="Q75" s="38">
        <v>11.61</v>
      </c>
      <c r="R75" s="38">
        <v>11.74</v>
      </c>
      <c r="S75" s="35">
        <v>51</v>
      </c>
      <c r="T75" s="35">
        <v>4558405</v>
      </c>
      <c r="U75" s="35">
        <v>4558405</v>
      </c>
    </row>
    <row r="76" spans="1:21" ht="15.75">
      <c r="A76" s="17">
        <v>66</v>
      </c>
      <c r="B76" s="18" t="s">
        <v>119</v>
      </c>
      <c r="C76" s="18" t="s">
        <v>120</v>
      </c>
      <c r="D76" s="26">
        <v>4693308254.0600004</v>
      </c>
      <c r="E76" s="26">
        <v>59699224.060000002</v>
      </c>
      <c r="F76" s="26">
        <v>9118531.5399999991</v>
      </c>
      <c r="G76" s="20">
        <v>50580692.520000003</v>
      </c>
      <c r="H76" s="26">
        <v>6598172644</v>
      </c>
      <c r="I76" s="60">
        <f t="shared" si="23"/>
        <v>1.9552180835709566E-2</v>
      </c>
      <c r="J76" s="26">
        <v>6417216888</v>
      </c>
      <c r="K76" s="60">
        <f t="shared" si="24"/>
        <v>1.9701198300202637E-2</v>
      </c>
      <c r="L76" s="60">
        <f t="shared" si="29"/>
        <v>-2.7425132042361879E-2</v>
      </c>
      <c r="M76" s="65">
        <f t="shared" si="30"/>
        <v>1.4209480058327739E-3</v>
      </c>
      <c r="N76" s="66">
        <f t="shared" si="31"/>
        <v>7.8820294533887975E-3</v>
      </c>
      <c r="O76" s="54">
        <f t="shared" si="32"/>
        <v>1.0199999999809264</v>
      </c>
      <c r="P76" s="54">
        <f t="shared" si="33"/>
        <v>8.0396700423062354E-3</v>
      </c>
      <c r="Q76" s="38">
        <v>1.02</v>
      </c>
      <c r="R76" s="38">
        <v>1.02</v>
      </c>
      <c r="S76" s="35">
        <v>2173</v>
      </c>
      <c r="T76" s="35">
        <v>6203078206</v>
      </c>
      <c r="U76" s="35">
        <v>6291389106</v>
      </c>
    </row>
    <row r="77" spans="1:21" ht="15.75">
      <c r="A77" s="17">
        <v>67</v>
      </c>
      <c r="B77" s="28" t="s">
        <v>121</v>
      </c>
      <c r="C77" s="18" t="s">
        <v>35</v>
      </c>
      <c r="D77" s="26">
        <v>32160992869.400002</v>
      </c>
      <c r="E77" s="26">
        <v>395198766.50999999</v>
      </c>
      <c r="F77" s="26">
        <v>47184791.390000001</v>
      </c>
      <c r="G77" s="20">
        <v>348013975.12</v>
      </c>
      <c r="H77" s="26">
        <v>40570329801.300003</v>
      </c>
      <c r="I77" s="60">
        <f t="shared" si="23"/>
        <v>0.12022092594996285</v>
      </c>
      <c r="J77" s="26">
        <v>32044636277.84</v>
      </c>
      <c r="K77" s="60">
        <f t="shared" si="24"/>
        <v>9.8378743431305579E-2</v>
      </c>
      <c r="L77" s="60">
        <f t="shared" si="29"/>
        <v>-0.21014602457549686</v>
      </c>
      <c r="M77" s="65">
        <f t="shared" si="30"/>
        <v>1.4724708054380368E-3</v>
      </c>
      <c r="N77" s="66">
        <f t="shared" si="31"/>
        <v>1.0860287884143156E-2</v>
      </c>
      <c r="O77" s="54">
        <f t="shared" si="32"/>
        <v>4669.1185946198284</v>
      </c>
      <c r="P77" s="54">
        <f t="shared" si="33"/>
        <v>50.707972102777248</v>
      </c>
      <c r="Q77" s="38">
        <v>4669.12</v>
      </c>
      <c r="R77" s="38">
        <v>4669.12</v>
      </c>
      <c r="S77" s="35">
        <v>492</v>
      </c>
      <c r="T77" s="35">
        <v>8758153.3599999994</v>
      </c>
      <c r="U77" s="35">
        <v>6863101.8099999996</v>
      </c>
    </row>
    <row r="78" spans="1:21" ht="15.75">
      <c r="A78" s="17">
        <v>68</v>
      </c>
      <c r="B78" s="18" t="s">
        <v>122</v>
      </c>
      <c r="C78" s="18" t="s">
        <v>35</v>
      </c>
      <c r="D78" s="26">
        <v>42026078823.730003</v>
      </c>
      <c r="E78" s="26">
        <v>291780073.94</v>
      </c>
      <c r="F78" s="26">
        <v>71496677.510000005</v>
      </c>
      <c r="G78" s="20">
        <v>220283396.43000001</v>
      </c>
      <c r="H78" s="26">
        <v>43698928208.330002</v>
      </c>
      <c r="I78" s="60">
        <f t="shared" si="23"/>
        <v>0.12949181428784057</v>
      </c>
      <c r="J78" s="26">
        <v>41859566309.639999</v>
      </c>
      <c r="K78" s="60">
        <f t="shared" si="24"/>
        <v>0.12851110240154612</v>
      </c>
      <c r="L78" s="60">
        <f t="shared" si="29"/>
        <v>-4.209169364340104E-2</v>
      </c>
      <c r="M78" s="65">
        <f t="shared" si="30"/>
        <v>1.7080128585454256E-3</v>
      </c>
      <c r="N78" s="66">
        <f t="shared" si="31"/>
        <v>5.2624385737907202E-3</v>
      </c>
      <c r="O78" s="54">
        <f t="shared" si="32"/>
        <v>247.56367830209129</v>
      </c>
      <c r="P78" s="54">
        <f t="shared" si="33"/>
        <v>1.3027886501664421</v>
      </c>
      <c r="Q78" s="38">
        <v>247.56</v>
      </c>
      <c r="R78" s="38">
        <v>247.56</v>
      </c>
      <c r="S78" s="35">
        <v>6662</v>
      </c>
      <c r="T78" s="35">
        <v>177045061.69999999</v>
      </c>
      <c r="U78" s="35">
        <v>169086057.36000001</v>
      </c>
    </row>
    <row r="79" spans="1:21" ht="15.75">
      <c r="A79" s="17">
        <v>69</v>
      </c>
      <c r="B79" s="28" t="s">
        <v>123</v>
      </c>
      <c r="C79" s="18" t="s">
        <v>35</v>
      </c>
      <c r="D79" s="26">
        <v>244957738.96000001</v>
      </c>
      <c r="E79" s="26">
        <v>1902888.85</v>
      </c>
      <c r="F79" s="26">
        <v>459328.13</v>
      </c>
      <c r="G79" s="20">
        <v>556789.52</v>
      </c>
      <c r="H79" s="26">
        <v>247729788.75999999</v>
      </c>
      <c r="I79" s="60">
        <f t="shared" si="23"/>
        <v>7.340907686967232E-4</v>
      </c>
      <c r="J79" s="26">
        <v>248816723.06999999</v>
      </c>
      <c r="K79" s="60">
        <f t="shared" si="24"/>
        <v>7.6388061790076656E-4</v>
      </c>
      <c r="L79" s="60">
        <f t="shared" si="29"/>
        <v>4.3875801753216759E-3</v>
      </c>
      <c r="M79" s="65">
        <f t="shared" si="30"/>
        <v>1.8460500738560748E-3</v>
      </c>
      <c r="N79" s="66">
        <f t="shared" si="31"/>
        <v>2.2377495898591895E-3</v>
      </c>
      <c r="O79" s="54">
        <f t="shared" si="32"/>
        <v>4408.0214764993661</v>
      </c>
      <c r="P79" s="54">
        <f t="shared" si="33"/>
        <v>9.864048251126956</v>
      </c>
      <c r="Q79" s="38">
        <v>4398.2700000000004</v>
      </c>
      <c r="R79" s="38">
        <v>4414.7</v>
      </c>
      <c r="S79" s="35">
        <v>15</v>
      </c>
      <c r="T79" s="35">
        <v>56446.35</v>
      </c>
      <c r="U79" s="35">
        <v>56446.35</v>
      </c>
    </row>
    <row r="80" spans="1:21" ht="15.75">
      <c r="A80" s="17">
        <v>70</v>
      </c>
      <c r="B80" s="18" t="s">
        <v>124</v>
      </c>
      <c r="C80" s="18" t="s">
        <v>35</v>
      </c>
      <c r="D80" s="26">
        <v>19719653823.119999</v>
      </c>
      <c r="E80" s="26">
        <v>187716605.47999999</v>
      </c>
      <c r="F80" s="26">
        <v>28203439</v>
      </c>
      <c r="G80" s="20">
        <v>159513166.47999999</v>
      </c>
      <c r="H80" s="26">
        <v>19704412141.459999</v>
      </c>
      <c r="I80" s="60">
        <f t="shared" si="23"/>
        <v>5.8389534532945916E-2</v>
      </c>
      <c r="J80" s="26">
        <v>19716459192.169998</v>
      </c>
      <c r="K80" s="60">
        <f t="shared" si="24"/>
        <v>6.0530581886543561E-2</v>
      </c>
      <c r="L80" s="60">
        <f t="shared" si="29"/>
        <v>6.1138848616807599E-4</v>
      </c>
      <c r="M80" s="65">
        <f t="shared" si="30"/>
        <v>1.4304515189624129E-3</v>
      </c>
      <c r="N80" s="66">
        <f t="shared" si="31"/>
        <v>8.0903556224409447E-3</v>
      </c>
      <c r="O80" s="54">
        <f t="shared" si="32"/>
        <v>117.47990994818102</v>
      </c>
      <c r="P80" s="54">
        <f t="shared" si="33"/>
        <v>0.95045424997312211</v>
      </c>
      <c r="Q80" s="20">
        <v>117.48</v>
      </c>
      <c r="R80" s="20">
        <v>117.48</v>
      </c>
      <c r="S80" s="35">
        <v>3945</v>
      </c>
      <c r="T80" s="35">
        <v>205855435.44999999</v>
      </c>
      <c r="U80" s="35">
        <v>167828347.84999999</v>
      </c>
    </row>
    <row r="81" spans="1:21" ht="15.75">
      <c r="A81" s="17">
        <v>71</v>
      </c>
      <c r="B81" s="18" t="s">
        <v>125</v>
      </c>
      <c r="C81" s="18" t="s">
        <v>35</v>
      </c>
      <c r="D81" s="26">
        <v>14916743930.74</v>
      </c>
      <c r="E81" s="26">
        <v>103387774.39</v>
      </c>
      <c r="F81" s="26">
        <v>25299729.32</v>
      </c>
      <c r="G81" s="20">
        <v>78088045.069999993</v>
      </c>
      <c r="H81" s="26">
        <v>14977614855.959999</v>
      </c>
      <c r="I81" s="60">
        <f t="shared" si="23"/>
        <v>4.4382748065502117E-2</v>
      </c>
      <c r="J81" s="26">
        <v>14957015967.440001</v>
      </c>
      <c r="K81" s="60">
        <f t="shared" si="24"/>
        <v>4.5918837199481088E-2</v>
      </c>
      <c r="L81" s="60">
        <f t="shared" si="29"/>
        <v>-1.375311671324069E-3</v>
      </c>
      <c r="M81" s="65">
        <f t="shared" si="30"/>
        <v>1.6914957752987027E-3</v>
      </c>
      <c r="N81" s="66">
        <f t="shared" si="31"/>
        <v>5.2208304945311436E-3</v>
      </c>
      <c r="O81" s="54">
        <f t="shared" si="32"/>
        <v>337.54494188641155</v>
      </c>
      <c r="P81" s="54">
        <f t="shared" si="33"/>
        <v>1.7622649258753202</v>
      </c>
      <c r="Q81" s="38">
        <v>337.54</v>
      </c>
      <c r="R81" s="38">
        <v>337.54</v>
      </c>
      <c r="S81" s="35">
        <v>9960</v>
      </c>
      <c r="T81" s="35">
        <v>46243683.240000002</v>
      </c>
      <c r="U81" s="35">
        <v>44311183.82</v>
      </c>
    </row>
    <row r="82" spans="1:21" ht="15.75">
      <c r="A82" s="17">
        <v>72</v>
      </c>
      <c r="B82" s="18" t="s">
        <v>126</v>
      </c>
      <c r="C82" s="18" t="s">
        <v>38</v>
      </c>
      <c r="D82" s="26">
        <v>32974098.920000002</v>
      </c>
      <c r="E82" s="26">
        <v>1276515.6200000001</v>
      </c>
      <c r="F82" s="26">
        <v>73332.75</v>
      </c>
      <c r="G82" s="20">
        <v>1203182.8700000001</v>
      </c>
      <c r="H82" s="26">
        <v>55681275.850000001</v>
      </c>
      <c r="I82" s="60">
        <f t="shared" si="23"/>
        <v>1.6499877061753159E-4</v>
      </c>
      <c r="J82" s="26">
        <v>55694841.789999999</v>
      </c>
      <c r="K82" s="60">
        <f t="shared" si="24"/>
        <v>1.7098613644413928E-4</v>
      </c>
      <c r="L82" s="60">
        <f t="shared" si="29"/>
        <v>2.4363558113400549E-4</v>
      </c>
      <c r="M82" s="65">
        <f t="shared" si="30"/>
        <v>1.3166883618505384E-3</v>
      </c>
      <c r="N82" s="66">
        <f t="shared" si="31"/>
        <v>2.1603129326350494E-2</v>
      </c>
      <c r="O82" s="54">
        <f t="shared" si="32"/>
        <v>0.98059826289145013</v>
      </c>
      <c r="P82" s="54">
        <f t="shared" si="33"/>
        <v>2.1183991090438638E-2</v>
      </c>
      <c r="Q82" s="38">
        <v>104.18989999999999</v>
      </c>
      <c r="R82" s="38">
        <v>104.18989999999999</v>
      </c>
      <c r="S82" s="35">
        <v>40</v>
      </c>
      <c r="T82" s="35">
        <v>545127.44999999995</v>
      </c>
      <c r="U82" s="35">
        <v>56796798.340000004</v>
      </c>
    </row>
    <row r="83" spans="1:21" ht="15.75">
      <c r="A83" s="17">
        <v>73</v>
      </c>
      <c r="B83" s="18" t="s">
        <v>127</v>
      </c>
      <c r="C83" s="18" t="s">
        <v>40</v>
      </c>
      <c r="D83" s="26">
        <v>89355391090</v>
      </c>
      <c r="E83" s="26">
        <v>767379803</v>
      </c>
      <c r="F83" s="26">
        <v>165846456</v>
      </c>
      <c r="G83" s="20">
        <v>601533347</v>
      </c>
      <c r="H83" s="26">
        <v>102151807243</v>
      </c>
      <c r="I83" s="60">
        <f t="shared" si="23"/>
        <v>0.30270359926485157</v>
      </c>
      <c r="J83" s="26">
        <v>101182697443</v>
      </c>
      <c r="K83" s="60">
        <f t="shared" si="24"/>
        <v>0.31063628075304495</v>
      </c>
      <c r="L83" s="60">
        <f t="shared" si="29"/>
        <v>-9.4869569727207021E-3</v>
      </c>
      <c r="M83" s="65">
        <f t="shared" si="30"/>
        <v>1.6390792120701022E-3</v>
      </c>
      <c r="N83" s="66">
        <f t="shared" si="31"/>
        <v>5.9450218486106904E-3</v>
      </c>
      <c r="O83" s="54">
        <f t="shared" si="32"/>
        <v>1.9919358346300935</v>
      </c>
      <c r="P83" s="54">
        <f t="shared" si="33"/>
        <v>1.1842102057906477E-2</v>
      </c>
      <c r="Q83" s="38">
        <v>1.99</v>
      </c>
      <c r="R83" s="38">
        <v>1.99</v>
      </c>
      <c r="S83" s="35">
        <v>2526</v>
      </c>
      <c r="T83" s="35">
        <v>51206317487</v>
      </c>
      <c r="U83" s="35">
        <v>50796163051</v>
      </c>
    </row>
    <row r="84" spans="1:21" ht="15.75">
      <c r="A84" s="17">
        <v>74</v>
      </c>
      <c r="B84" s="18" t="s">
        <v>128</v>
      </c>
      <c r="C84" s="18" t="s">
        <v>42</v>
      </c>
      <c r="D84" s="26">
        <v>10905905434.790001</v>
      </c>
      <c r="E84" s="26">
        <v>109286829.19</v>
      </c>
      <c r="F84" s="26">
        <v>4044944.41</v>
      </c>
      <c r="G84" s="26">
        <v>82372189.219999999</v>
      </c>
      <c r="H84" s="26">
        <v>9720591487.8400002</v>
      </c>
      <c r="I84" s="60">
        <f t="shared" si="23"/>
        <v>2.8804757446462898E-2</v>
      </c>
      <c r="J84" s="26">
        <v>9840144016.3299999</v>
      </c>
      <c r="K84" s="60">
        <f t="shared" si="24"/>
        <v>3.0209767248289048E-2</v>
      </c>
      <c r="L84" s="60">
        <f t="shared" si="29"/>
        <v>1.2298894428343617E-2</v>
      </c>
      <c r="M84" s="65">
        <f t="shared" si="30"/>
        <v>4.1106557010621995E-4</v>
      </c>
      <c r="N84" s="66">
        <f t="shared" si="31"/>
        <v>8.3710349242146244E-3</v>
      </c>
      <c r="O84" s="54">
        <f t="shared" si="32"/>
        <v>1</v>
      </c>
      <c r="P84" s="54">
        <f t="shared" si="33"/>
        <v>8.3710349242146244E-3</v>
      </c>
      <c r="Q84" s="38">
        <v>1</v>
      </c>
      <c r="R84" s="38">
        <v>1</v>
      </c>
      <c r="S84" s="35">
        <v>5440</v>
      </c>
      <c r="T84" s="35">
        <v>9720591487.8400002</v>
      </c>
      <c r="U84" s="35">
        <v>9840144016.3299999</v>
      </c>
    </row>
    <row r="85" spans="1:21" ht="15.75">
      <c r="A85" s="17">
        <v>75</v>
      </c>
      <c r="B85" s="28" t="s">
        <v>129</v>
      </c>
      <c r="C85" s="28" t="s">
        <v>90</v>
      </c>
      <c r="D85" s="26">
        <v>3505302093.7600002</v>
      </c>
      <c r="E85" s="26">
        <v>30196715.359999999</v>
      </c>
      <c r="F85" s="26">
        <v>6350405</v>
      </c>
      <c r="G85" s="26">
        <v>23846310.359999999</v>
      </c>
      <c r="H85" s="26">
        <v>3478185670.5300002</v>
      </c>
      <c r="I85" s="60">
        <f t="shared" si="23"/>
        <v>1.0306810518548216E-2</v>
      </c>
      <c r="J85" s="26">
        <v>3631069246.3699999</v>
      </c>
      <c r="K85" s="60">
        <f t="shared" si="24"/>
        <v>1.1147576357949445E-2</v>
      </c>
      <c r="L85" s="60">
        <f t="shared" si="29"/>
        <v>4.3954978348439783E-2</v>
      </c>
      <c r="M85" s="65">
        <f t="shared" si="30"/>
        <v>1.7489077098566863E-3</v>
      </c>
      <c r="N85" s="66">
        <f t="shared" si="31"/>
        <v>6.5672970527453555E-3</v>
      </c>
      <c r="O85" s="54">
        <f t="shared" si="32"/>
        <v>23.269065636393847</v>
      </c>
      <c r="P85" s="54">
        <f t="shared" si="33"/>
        <v>0.15281486617402754</v>
      </c>
      <c r="Q85" s="38">
        <v>23.269200000000001</v>
      </c>
      <c r="R85" s="38">
        <v>23.269200000000001</v>
      </c>
      <c r="S85" s="35">
        <v>1362</v>
      </c>
      <c r="T85" s="35">
        <v>158882120.75999999</v>
      </c>
      <c r="U85" s="35">
        <v>156047058.49000001</v>
      </c>
    </row>
    <row r="86" spans="1:21" ht="15.75">
      <c r="A86" s="111" t="s">
        <v>43</v>
      </c>
      <c r="B86" s="111"/>
      <c r="C86" s="111"/>
      <c r="D86" s="111"/>
      <c r="E86" s="111"/>
      <c r="F86" s="111"/>
      <c r="G86" s="111"/>
      <c r="H86" s="34">
        <f>SUM(H56:H85)</f>
        <v>337464792262.4201</v>
      </c>
      <c r="I86" s="62">
        <f>(H86/$H$167)</f>
        <v>0.21633171293063524</v>
      </c>
      <c r="J86" s="34">
        <f>SUM(J56:J85)</f>
        <v>325727237004.36005</v>
      </c>
      <c r="K86" s="62">
        <f>(J86/$J$167)</f>
        <v>0.20658112151440494</v>
      </c>
      <c r="L86" s="60">
        <f>((J86-H86)/H86)</f>
        <v>-3.4781569891690137E-2</v>
      </c>
      <c r="M86" s="65"/>
      <c r="N86" s="65"/>
      <c r="O86" s="58"/>
      <c r="P86" s="58"/>
      <c r="Q86" s="34"/>
      <c r="R86" s="34"/>
      <c r="S86" s="56">
        <f>SUM(S56:S85)</f>
        <v>49632</v>
      </c>
      <c r="T86" s="56"/>
      <c r="U86" s="35"/>
    </row>
    <row r="87" spans="1:21" ht="6.75" customHeight="1">
      <c r="A87" s="116"/>
      <c r="B87" s="117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7"/>
      <c r="Q87" s="117"/>
      <c r="R87" s="117"/>
      <c r="S87" s="117"/>
      <c r="T87" s="117"/>
      <c r="U87" s="118"/>
    </row>
    <row r="88" spans="1:21">
      <c r="A88" s="120" t="s">
        <v>130</v>
      </c>
      <c r="B88" s="120"/>
      <c r="C88" s="120"/>
      <c r="D88" s="120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0"/>
      <c r="Q88" s="120"/>
      <c r="R88" s="120"/>
      <c r="S88" s="120"/>
      <c r="T88" s="120"/>
      <c r="U88" s="120"/>
    </row>
    <row r="89" spans="1:21">
      <c r="A89" s="121" t="s">
        <v>131</v>
      </c>
      <c r="B89" s="121"/>
      <c r="C89" s="121"/>
      <c r="D89" s="121"/>
      <c r="E89" s="121"/>
      <c r="F89" s="121"/>
      <c r="G89" s="121"/>
      <c r="H89" s="121"/>
      <c r="I89" s="121"/>
      <c r="J89" s="121"/>
      <c r="K89" s="121"/>
      <c r="L89" s="121"/>
      <c r="M89" s="121"/>
      <c r="N89" s="121"/>
      <c r="O89" s="121"/>
      <c r="P89" s="121"/>
      <c r="Q89" s="121"/>
      <c r="R89" s="121"/>
      <c r="S89" s="121"/>
      <c r="T89" s="121"/>
      <c r="U89" s="121"/>
    </row>
    <row r="90" spans="1:21" ht="15.75">
      <c r="A90" s="40">
        <v>76</v>
      </c>
      <c r="B90" s="18" t="s">
        <v>132</v>
      </c>
      <c r="C90" s="18" t="s">
        <v>13</v>
      </c>
      <c r="D90" s="19">
        <v>800264227.36000001</v>
      </c>
      <c r="E90" s="19">
        <v>5321305.34</v>
      </c>
      <c r="F90" s="19">
        <v>1550302.28</v>
      </c>
      <c r="G90" s="67">
        <v>3771003.06</v>
      </c>
      <c r="H90" s="21">
        <f>1731712.78*460.97</f>
        <v>798267640.19660008</v>
      </c>
      <c r="I90" s="60">
        <f>(H90/$H$111)</f>
        <v>2.4853655699768043E-3</v>
      </c>
      <c r="J90" s="21">
        <v>795785298.07000005</v>
      </c>
      <c r="K90" s="60">
        <f>(J90/$J$111)</f>
        <v>2.4552666571693487E-3</v>
      </c>
      <c r="L90" s="60">
        <f>((J90-H90)/H90)</f>
        <v>-3.1096614739245442E-3</v>
      </c>
      <c r="M90" s="52">
        <f t="shared" ref="M90" si="34">(F90/J90)</f>
        <v>1.9481413941171229E-3</v>
      </c>
      <c r="N90" s="53">
        <f t="shared" ref="N90" si="35">G90/J90</f>
        <v>4.7387191861243579E-3</v>
      </c>
      <c r="O90" s="54">
        <f t="shared" ref="O90" si="36">J90/U90</f>
        <v>49398.786668770452</v>
      </c>
      <c r="P90" s="54">
        <f t="shared" ref="P90" si="37">G90/U90</f>
        <v>234.08697815856669</v>
      </c>
      <c r="Q90" s="26">
        <v>107.307</v>
      </c>
      <c r="R90" s="21">
        <v>107.307</v>
      </c>
      <c r="S90" s="35">
        <v>215</v>
      </c>
      <c r="T90" s="35">
        <v>16231.2086</v>
      </c>
      <c r="U90" s="35">
        <v>16109.409799999999</v>
      </c>
    </row>
    <row r="91" spans="1:21" ht="15" customHeight="1">
      <c r="A91" s="40">
        <v>77</v>
      </c>
      <c r="B91" s="18" t="s">
        <v>133</v>
      </c>
      <c r="C91" s="28" t="s">
        <v>17</v>
      </c>
      <c r="D91" s="26">
        <f>9933586.01*460.85</f>
        <v>4577893112.7084999</v>
      </c>
      <c r="E91" s="21">
        <f>64849.14*460.85</f>
        <v>29885726.169</v>
      </c>
      <c r="F91" s="21">
        <f>19259.72*460.85</f>
        <v>8875841.9620000012</v>
      </c>
      <c r="G91" s="41">
        <f>45589.42*460.85</f>
        <v>21009884.206999999</v>
      </c>
      <c r="H91" s="21">
        <f>11218155*460.97</f>
        <v>5171232910.3500004</v>
      </c>
      <c r="I91" s="60">
        <f t="shared" ref="I91:I99" si="38">(H91/$H$111)</f>
        <v>1.6100369829033158E-2</v>
      </c>
      <c r="J91" s="21">
        <f>11634516*460.85</f>
        <v>5361766698.6000004</v>
      </c>
      <c r="K91" s="60">
        <f t="shared" ref="K91:K99" si="39">(J91/$J$111)</f>
        <v>1.6542862792918243E-2</v>
      </c>
      <c r="L91" s="60">
        <f t="shared" ref="L91:L99" si="40">((J91-H91)/H91)</f>
        <v>3.6844944243113631E-2</v>
      </c>
      <c r="M91" s="52">
        <f t="shared" ref="M91:M99" si="41">(F91/J91)</f>
        <v>1.6553950331926143E-3</v>
      </c>
      <c r="N91" s="53">
        <f t="shared" ref="N91:N99" si="42">G91/J91</f>
        <v>3.9184629596968187E-3</v>
      </c>
      <c r="O91" s="54">
        <f t="shared" ref="O91:O99" si="43">J91/U91</f>
        <v>525.4008559252303</v>
      </c>
      <c r="P91" s="54">
        <f t="shared" ref="P91:P99" si="44">G91/U91</f>
        <v>2.0587637929360199</v>
      </c>
      <c r="Q91" s="26">
        <f>1.1401*460.85</f>
        <v>525.41508499999998</v>
      </c>
      <c r="R91" s="26">
        <f>1.1401*460.85</f>
        <v>525.41508499999998</v>
      </c>
      <c r="S91" s="35">
        <v>327</v>
      </c>
      <c r="T91" s="35">
        <v>9879452</v>
      </c>
      <c r="U91" s="35">
        <v>10205097</v>
      </c>
    </row>
    <row r="92" spans="1:21" ht="15" customHeight="1">
      <c r="A92" s="40">
        <v>78</v>
      </c>
      <c r="B92" s="18" t="s">
        <v>134</v>
      </c>
      <c r="C92" s="28" t="s">
        <v>65</v>
      </c>
      <c r="D92" s="26">
        <f>960779116.82+49919368.78</f>
        <v>1010698485.6</v>
      </c>
      <c r="E92" s="21">
        <v>6305257.5300000003</v>
      </c>
      <c r="F92" s="21">
        <v>2009089.4</v>
      </c>
      <c r="G92" s="41">
        <v>4296168.13</v>
      </c>
      <c r="H92" s="21">
        <v>1007284225.5</v>
      </c>
      <c r="I92" s="60">
        <f t="shared" si="38"/>
        <v>3.1361280442507833E-3</v>
      </c>
      <c r="J92" s="21">
        <v>1008577593.99</v>
      </c>
      <c r="K92" s="60">
        <f t="shared" si="39"/>
        <v>3.1118028238238519E-3</v>
      </c>
      <c r="L92" s="60">
        <f t="shared" si="40"/>
        <v>1.2840154320474955E-3</v>
      </c>
      <c r="M92" s="52">
        <f t="shared" si="41"/>
        <v>1.9920028086802015E-3</v>
      </c>
      <c r="N92" s="53">
        <f t="shared" si="42"/>
        <v>4.2596307469057225E-3</v>
      </c>
      <c r="O92" s="54">
        <f t="shared" si="43"/>
        <v>48959.031651265708</v>
      </c>
      <c r="P92" s="54">
        <f t="shared" si="44"/>
        <v>208.54739656046183</v>
      </c>
      <c r="Q92" s="21">
        <v>106.24</v>
      </c>
      <c r="R92" s="21">
        <v>106.24</v>
      </c>
      <c r="S92" s="35">
        <v>40</v>
      </c>
      <c r="T92" s="35">
        <v>20654.98</v>
      </c>
      <c r="U92" s="35">
        <v>20600.439999999999</v>
      </c>
    </row>
    <row r="93" spans="1:21" ht="15" customHeight="1">
      <c r="A93" s="40">
        <v>79</v>
      </c>
      <c r="B93" s="18" t="s">
        <v>135</v>
      </c>
      <c r="C93" s="18" t="s">
        <v>136</v>
      </c>
      <c r="D93" s="19">
        <v>13352153241.77</v>
      </c>
      <c r="E93" s="19">
        <v>80777581.819999993</v>
      </c>
      <c r="F93" s="19">
        <v>21735045.309999999</v>
      </c>
      <c r="G93" s="41">
        <v>59042536.509999998</v>
      </c>
      <c r="H93" s="21">
        <v>13316727248.01</v>
      </c>
      <c r="I93" s="60">
        <f t="shared" si="38"/>
        <v>4.1460950864580695E-2</v>
      </c>
      <c r="J93" s="21">
        <v>13352153241.77</v>
      </c>
      <c r="K93" s="60">
        <f t="shared" si="39"/>
        <v>4.1195906402696311E-2</v>
      </c>
      <c r="L93" s="60">
        <f t="shared" si="40"/>
        <v>2.6602627732947035E-3</v>
      </c>
      <c r="M93" s="52">
        <f t="shared" si="41"/>
        <v>1.6278307263584654E-3</v>
      </c>
      <c r="N93" s="53">
        <f t="shared" si="42"/>
        <v>4.4219486880434531E-3</v>
      </c>
      <c r="O93" s="54">
        <f t="shared" si="43"/>
        <v>56452.987072744116</v>
      </c>
      <c r="P93" s="54">
        <f t="shared" si="44"/>
        <v>249.63221212245489</v>
      </c>
      <c r="Q93" s="36">
        <v>122.32</v>
      </c>
      <c r="R93" s="36">
        <v>122.32</v>
      </c>
      <c r="S93" s="35">
        <v>1926</v>
      </c>
      <c r="T93" s="35">
        <v>237439.35</v>
      </c>
      <c r="U93" s="35">
        <v>236518.1</v>
      </c>
    </row>
    <row r="94" spans="1:21" ht="15.75">
      <c r="A94" s="40">
        <v>80</v>
      </c>
      <c r="B94" s="18" t="s">
        <v>137</v>
      </c>
      <c r="C94" s="18" t="s">
        <v>136</v>
      </c>
      <c r="D94" s="19">
        <v>7050397227.8100004</v>
      </c>
      <c r="E94" s="19">
        <v>43993501.149999999</v>
      </c>
      <c r="F94" s="19">
        <v>11176655.029999999</v>
      </c>
      <c r="G94" s="41">
        <v>32816846.120000001</v>
      </c>
      <c r="H94" s="21">
        <v>6352512284.6499996</v>
      </c>
      <c r="I94" s="60">
        <f t="shared" si="38"/>
        <v>1.9778222891805305E-2</v>
      </c>
      <c r="J94" s="21">
        <v>7050397227.8100004</v>
      </c>
      <c r="K94" s="60">
        <f t="shared" si="39"/>
        <v>2.175285881157156E-2</v>
      </c>
      <c r="L94" s="60">
        <f t="shared" si="40"/>
        <v>0.10985967628057121</v>
      </c>
      <c r="M94" s="52">
        <f t="shared" si="41"/>
        <v>1.5852518189917223E-3</v>
      </c>
      <c r="N94" s="53">
        <f t="shared" si="42"/>
        <v>4.6546095290284223E-3</v>
      </c>
      <c r="O94" s="54">
        <f t="shared" si="43"/>
        <v>49178.127915845835</v>
      </c>
      <c r="P94" s="54">
        <f t="shared" si="44"/>
        <v>228.90498281687468</v>
      </c>
      <c r="Q94" s="36">
        <v>106.59</v>
      </c>
      <c r="R94" s="36">
        <v>106.59</v>
      </c>
      <c r="S94" s="35">
        <v>84</v>
      </c>
      <c r="T94" s="35">
        <v>136172.84</v>
      </c>
      <c r="U94" s="35">
        <v>143364.49</v>
      </c>
    </row>
    <row r="95" spans="1:21" ht="15.75">
      <c r="A95" s="40">
        <v>81</v>
      </c>
      <c r="B95" s="31" t="s">
        <v>138</v>
      </c>
      <c r="C95" s="32" t="s">
        <v>139</v>
      </c>
      <c r="D95" s="19">
        <f>63343.904109589*460.85</f>
        <v>29192038.208904091</v>
      </c>
      <c r="E95" s="19">
        <f>330.23*460.85</f>
        <v>152186.49550000002</v>
      </c>
      <c r="F95" s="19">
        <f>95.69*460.85</f>
        <v>44098.736499999999</v>
      </c>
      <c r="G95" s="41">
        <f>234.59*460.85</f>
        <v>108110.8015</v>
      </c>
      <c r="H95" s="21">
        <f>79888.79*460.97</f>
        <v>36826335.526299998</v>
      </c>
      <c r="I95" s="60">
        <f t="shared" si="38"/>
        <v>1.1465691677410107E-4</v>
      </c>
      <c r="J95" s="21">
        <f>80123.38*460.85</f>
        <v>36924859.673</v>
      </c>
      <c r="K95" s="60">
        <f t="shared" si="39"/>
        <v>1.1392567441953319E-4</v>
      </c>
      <c r="L95" s="60">
        <f t="shared" si="40"/>
        <v>2.6753719937635386E-3</v>
      </c>
      <c r="M95" s="52">
        <f t="shared" si="41"/>
        <v>1.1942831168630179E-3</v>
      </c>
      <c r="N95" s="53">
        <f t="shared" si="42"/>
        <v>2.9278595086727494E-3</v>
      </c>
      <c r="O95" s="54">
        <f t="shared" si="43"/>
        <v>46725.542136032898</v>
      </c>
      <c r="P95" s="54">
        <f t="shared" si="44"/>
        <v>136.80582284087313</v>
      </c>
      <c r="Q95" s="36">
        <f>101.39*460.85</f>
        <v>46725.5815</v>
      </c>
      <c r="R95" s="36">
        <f>101.39*460.85</f>
        <v>46725.5815</v>
      </c>
      <c r="S95" s="35">
        <v>2</v>
      </c>
      <c r="T95" s="35">
        <v>239.75</v>
      </c>
      <c r="U95" s="35">
        <v>790.25</v>
      </c>
    </row>
    <row r="96" spans="1:21" ht="15.75">
      <c r="A96" s="40">
        <v>82</v>
      </c>
      <c r="B96" s="18" t="s">
        <v>140</v>
      </c>
      <c r="C96" s="18" t="s">
        <v>141</v>
      </c>
      <c r="D96" s="20">
        <f>12740780.66*460.85</f>
        <v>5871588767.1610003</v>
      </c>
      <c r="E96" s="20">
        <f>73709.17*460.85</f>
        <v>33968870.994500004</v>
      </c>
      <c r="F96" s="20">
        <f>19599.12*460.85</f>
        <v>9032254.4519999996</v>
      </c>
      <c r="G96" s="20">
        <f>54110.05*460.85</f>
        <v>24936616.542500004</v>
      </c>
      <c r="H96" s="21">
        <f>13459536.79*460.97</f>
        <v>6204442674.0862999</v>
      </c>
      <c r="I96" s="60">
        <f t="shared" si="38"/>
        <v>1.9317215713856493E-2</v>
      </c>
      <c r="J96" s="21">
        <f>12647808.39*460.85</f>
        <v>5828742496.5315008</v>
      </c>
      <c r="K96" s="60">
        <f t="shared" si="39"/>
        <v>1.798364098918169E-2</v>
      </c>
      <c r="L96" s="60">
        <f t="shared" si="40"/>
        <v>-6.0553412657669003E-2</v>
      </c>
      <c r="M96" s="52">
        <f t="shared" si="41"/>
        <v>1.5496060183435461E-3</v>
      </c>
      <c r="N96" s="53">
        <f t="shared" si="42"/>
        <v>4.2782155082917101E-3</v>
      </c>
      <c r="O96" s="54">
        <f t="shared" si="43"/>
        <v>577.80682600837406</v>
      </c>
      <c r="P96" s="54">
        <f t="shared" si="44"/>
        <v>2.4719821238258355</v>
      </c>
      <c r="Q96" s="36">
        <f>1.28*460.85</f>
        <v>589.88800000000003</v>
      </c>
      <c r="R96" s="36">
        <f>1.28*460.85</f>
        <v>589.88800000000003</v>
      </c>
      <c r="S96" s="35">
        <v>123</v>
      </c>
      <c r="T96" s="35">
        <v>10761897</v>
      </c>
      <c r="U96" s="35">
        <v>10087701</v>
      </c>
    </row>
    <row r="97" spans="1:21" ht="15.75">
      <c r="A97" s="40">
        <v>83</v>
      </c>
      <c r="B97" s="18" t="s">
        <v>142</v>
      </c>
      <c r="C97" s="18" t="s">
        <v>40</v>
      </c>
      <c r="D97" s="26">
        <f>145026943*460.85</f>
        <v>66835666681.550003</v>
      </c>
      <c r="E97" s="21">
        <f>1006261*460.85</f>
        <v>463735381.85000002</v>
      </c>
      <c r="F97" s="21">
        <f>261190*460.85</f>
        <v>120369411.5</v>
      </c>
      <c r="G97" s="41">
        <f>745071*460.85</f>
        <v>343365970.35000002</v>
      </c>
      <c r="H97" s="21">
        <f>159633097*460.97</f>
        <v>73586068724.090012</v>
      </c>
      <c r="I97" s="60">
        <f t="shared" si="38"/>
        <v>0.22910647059645048</v>
      </c>
      <c r="J97" s="21">
        <f>150023519*460.85</f>
        <v>69138338731.150009</v>
      </c>
      <c r="K97" s="60">
        <f t="shared" si="39"/>
        <v>0.21331514697541035</v>
      </c>
      <c r="L97" s="60">
        <f t="shared" si="40"/>
        <v>-6.0442554821303299E-2</v>
      </c>
      <c r="M97" s="52">
        <f t="shared" si="41"/>
        <v>1.7409936904626265E-3</v>
      </c>
      <c r="N97" s="53">
        <f t="shared" si="42"/>
        <v>4.9663613076560342E-3</v>
      </c>
      <c r="O97" s="54">
        <f t="shared" si="43"/>
        <v>58824.668438496803</v>
      </c>
      <c r="P97" s="54">
        <f t="shared" si="44"/>
        <v>292.14455726864566</v>
      </c>
      <c r="Q97" s="21">
        <f>127.64*460.85</f>
        <v>58822.894</v>
      </c>
      <c r="R97" s="21">
        <f>127.64*460.85</f>
        <v>58822.894</v>
      </c>
      <c r="S97" s="35">
        <v>1365</v>
      </c>
      <c r="T97" s="35">
        <v>1262617</v>
      </c>
      <c r="U97" s="35">
        <v>1175329</v>
      </c>
    </row>
    <row r="98" spans="1:21" ht="15.75">
      <c r="A98" s="40">
        <v>84</v>
      </c>
      <c r="B98" s="18" t="s">
        <v>201</v>
      </c>
      <c r="C98" s="18" t="s">
        <v>196</v>
      </c>
      <c r="D98" s="20">
        <v>514034254.29000002</v>
      </c>
      <c r="E98" s="20">
        <v>4587533.6399999997</v>
      </c>
      <c r="F98" s="20">
        <v>1456964.22</v>
      </c>
      <c r="G98" s="20">
        <v>3717781.58</v>
      </c>
      <c r="H98" s="21">
        <v>0</v>
      </c>
      <c r="I98" s="60">
        <f t="shared" si="38"/>
        <v>0</v>
      </c>
      <c r="J98" s="21">
        <v>579699835.21000004</v>
      </c>
      <c r="K98" s="60">
        <f t="shared" si="39"/>
        <v>1.7885699572606066E-3</v>
      </c>
      <c r="L98" s="60" t="e">
        <f t="shared" si="40"/>
        <v>#DIV/0!</v>
      </c>
      <c r="M98" s="52">
        <f t="shared" ref="M98" si="45">(F98/J98)</f>
        <v>2.5133079768294314E-3</v>
      </c>
      <c r="N98" s="53">
        <f t="shared" ref="N98" si="46">G98/J98</f>
        <v>6.4132872810860981E-3</v>
      </c>
      <c r="O98" s="54">
        <f t="shared" ref="O98" si="47">J98/U98</f>
        <v>47361.097647875817</v>
      </c>
      <c r="P98" s="54">
        <f t="shared" ref="P98" si="48">G98/U98</f>
        <v>303.74032516339872</v>
      </c>
      <c r="Q98" s="36">
        <v>47361.1</v>
      </c>
      <c r="R98" s="36">
        <v>47361.1</v>
      </c>
      <c r="S98" s="35">
        <v>79</v>
      </c>
      <c r="T98" s="35">
        <v>10897</v>
      </c>
      <c r="U98" s="35">
        <v>12240</v>
      </c>
    </row>
    <row r="99" spans="1:21" ht="15.75">
      <c r="A99" s="40">
        <v>85</v>
      </c>
      <c r="B99" s="18" t="s">
        <v>143</v>
      </c>
      <c r="C99" s="18" t="s">
        <v>31</v>
      </c>
      <c r="D99" s="26">
        <v>789127902.64999998</v>
      </c>
      <c r="E99" s="26">
        <v>5363035.88</v>
      </c>
      <c r="F99" s="26">
        <v>1075004.2</v>
      </c>
      <c r="G99" s="41">
        <v>4288031.68</v>
      </c>
      <c r="H99" s="21">
        <v>797606035.10000002</v>
      </c>
      <c r="I99" s="60">
        <f t="shared" si="38"/>
        <v>2.4833056962637648E-3</v>
      </c>
      <c r="J99" s="21">
        <v>808182817.24000001</v>
      </c>
      <c r="K99" s="60">
        <f t="shared" si="39"/>
        <v>2.4935171947497014E-3</v>
      </c>
      <c r="L99" s="60">
        <f t="shared" si="40"/>
        <v>1.326065961709269E-2</v>
      </c>
      <c r="M99" s="52">
        <f t="shared" si="41"/>
        <v>1.330149784266898E-3</v>
      </c>
      <c r="N99" s="53">
        <f t="shared" si="42"/>
        <v>5.3057694231163233E-3</v>
      </c>
      <c r="O99" s="54">
        <f t="shared" si="43"/>
        <v>58687.300649190329</v>
      </c>
      <c r="P99" s="54">
        <f t="shared" si="44"/>
        <v>311.3812853097088</v>
      </c>
      <c r="Q99" s="21">
        <v>57305.73</v>
      </c>
      <c r="R99" s="21">
        <v>8763.49</v>
      </c>
      <c r="S99" s="35">
        <v>27</v>
      </c>
      <c r="T99" s="35">
        <v>13771</v>
      </c>
      <c r="U99" s="35">
        <v>13771</v>
      </c>
    </row>
    <row r="100" spans="1:21" ht="15.75">
      <c r="A100" s="42"/>
      <c r="B100" s="43"/>
      <c r="C100" s="44"/>
      <c r="D100" s="21"/>
      <c r="E100" s="21"/>
      <c r="F100" s="21"/>
      <c r="G100" s="41"/>
      <c r="H100" s="26"/>
      <c r="I100" s="22"/>
      <c r="J100" s="26"/>
      <c r="K100" s="22"/>
      <c r="L100" s="22"/>
      <c r="M100" s="23"/>
      <c r="N100" s="24"/>
      <c r="O100" s="25"/>
      <c r="P100" s="25"/>
      <c r="Q100" s="26"/>
      <c r="R100" s="26"/>
      <c r="S100" s="27"/>
      <c r="T100" s="27"/>
      <c r="U100" s="19"/>
    </row>
    <row r="101" spans="1:21">
      <c r="A101" s="122" t="s">
        <v>144</v>
      </c>
      <c r="B101" s="122"/>
      <c r="C101" s="122"/>
      <c r="D101" s="122"/>
      <c r="E101" s="122"/>
      <c r="F101" s="122"/>
      <c r="G101" s="122"/>
      <c r="H101" s="122"/>
      <c r="I101" s="122"/>
      <c r="J101" s="122"/>
      <c r="K101" s="122"/>
      <c r="L101" s="122"/>
      <c r="M101" s="122"/>
      <c r="N101" s="122"/>
      <c r="O101" s="122"/>
      <c r="P101" s="122"/>
      <c r="Q101" s="122"/>
      <c r="R101" s="122"/>
      <c r="S101" s="122"/>
      <c r="T101" s="122"/>
      <c r="U101" s="122"/>
    </row>
    <row r="102" spans="1:21" ht="15.75">
      <c r="A102" s="17">
        <v>86</v>
      </c>
      <c r="B102" s="18" t="s">
        <v>145</v>
      </c>
      <c r="C102" s="28" t="s">
        <v>97</v>
      </c>
      <c r="D102" s="26">
        <f>662613.26*460.85</f>
        <v>305365320.87099999</v>
      </c>
      <c r="E102" s="26">
        <f>7538.79*460.85</f>
        <v>3474251.3715000004</v>
      </c>
      <c r="F102" s="26">
        <f>2516.56*460.85</f>
        <v>1159756.676</v>
      </c>
      <c r="G102" s="20">
        <f>5022.23*460.85</f>
        <v>2314494.6954999999</v>
      </c>
      <c r="H102" s="26">
        <f>838286.2*460.97</f>
        <v>386424789.61400002</v>
      </c>
      <c r="I102" s="60">
        <f>(H102/$H$111)</f>
        <v>1.2031138669928215E-3</v>
      </c>
      <c r="J102" s="26">
        <f>830205.6*460.85</f>
        <v>382600250.75999999</v>
      </c>
      <c r="K102" s="73">
        <f>(J102/$J$111)</f>
        <v>1.1804511103609607E-3</v>
      </c>
      <c r="L102" s="73">
        <f>((J102-H102)/H102)</f>
        <v>-9.8972399204004646E-3</v>
      </c>
      <c r="M102" s="52">
        <f t="shared" ref="M102" si="49">(F102/J102)</f>
        <v>3.0312491267223446E-3</v>
      </c>
      <c r="N102" s="74">
        <f t="shared" ref="N102" si="50">G102/J102</f>
        <v>6.0493810207977398E-3</v>
      </c>
      <c r="O102" s="54">
        <f t="shared" ref="O102" si="51">J102/U102</f>
        <v>44995.913296483595</v>
      </c>
      <c r="P102" s="54">
        <f t="shared" ref="P102" si="52">G102/U102</f>
        <v>272.19742390920851</v>
      </c>
      <c r="Q102" s="26">
        <f>96.48*460.85</f>
        <v>44462.808000000005</v>
      </c>
      <c r="R102" s="26">
        <f>96.48*460.85</f>
        <v>44462.808000000005</v>
      </c>
      <c r="S102" s="35">
        <v>28</v>
      </c>
      <c r="T102" s="35">
        <v>8607</v>
      </c>
      <c r="U102" s="35">
        <v>8503</v>
      </c>
    </row>
    <row r="103" spans="1:21" ht="15.75" customHeight="1">
      <c r="A103" s="17">
        <v>87</v>
      </c>
      <c r="B103" s="18" t="s">
        <v>146</v>
      </c>
      <c r="C103" s="28" t="s">
        <v>19</v>
      </c>
      <c r="D103" s="26">
        <f>4940031.23*460.85</f>
        <v>2276613392.3455005</v>
      </c>
      <c r="E103" s="26">
        <f>36765.79*460.85</f>
        <v>16943514.3215</v>
      </c>
      <c r="F103" s="26">
        <f>7187.33*460.85</f>
        <v>3312281.0305000003</v>
      </c>
      <c r="G103" s="20">
        <f>29578.56*460.85</f>
        <v>13631279.376000002</v>
      </c>
      <c r="H103" s="26">
        <f>5938652.26*460.97</f>
        <v>2737540532.2922001</v>
      </c>
      <c r="I103" s="60">
        <f t="shared" ref="I103:I110" si="53">(H103/$H$111)</f>
        <v>8.523192777424058E-3</v>
      </c>
      <c r="J103" s="26">
        <f>6197781.77*460.85</f>
        <v>2856247728.7044997</v>
      </c>
      <c r="K103" s="73">
        <f t="shared" ref="K103:K110" si="54">(J103/$J$111)</f>
        <v>8.8124897882782532E-3</v>
      </c>
      <c r="L103" s="73">
        <f t="shared" ref="L103:L111" si="55">((J103-H103)/H103)</f>
        <v>4.3362717377887959E-2</v>
      </c>
      <c r="M103" s="52">
        <f t="shared" ref="M103:M110" si="56">(F103/J103)</f>
        <v>1.1596616768260301E-3</v>
      </c>
      <c r="N103" s="74">
        <f t="shared" ref="N103:N110" si="57">G103/J103</f>
        <v>4.7724429638960984E-3</v>
      </c>
      <c r="O103" s="54">
        <f t="shared" ref="O103:O110" si="58">J103/U103</f>
        <v>55956.372874258552</v>
      </c>
      <c r="P103" s="54">
        <f t="shared" ref="P103:P110" si="59">G103/U103</f>
        <v>267.04859800890171</v>
      </c>
      <c r="Q103" s="26">
        <f>120.81*460.85</f>
        <v>55675.288500000002</v>
      </c>
      <c r="R103" s="26">
        <f>122.03*460.85</f>
        <v>56237.525500000003</v>
      </c>
      <c r="S103" s="35">
        <v>355</v>
      </c>
      <c r="T103" s="35">
        <v>47819.1</v>
      </c>
      <c r="U103" s="35">
        <v>51044.19</v>
      </c>
    </row>
    <row r="104" spans="1:21" ht="15" customHeight="1">
      <c r="A104" s="17">
        <v>88</v>
      </c>
      <c r="B104" s="18" t="s">
        <v>147</v>
      </c>
      <c r="C104" s="18" t="s">
        <v>56</v>
      </c>
      <c r="D104" s="26">
        <f>1716108.94*460.85</f>
        <v>790868804.99900007</v>
      </c>
      <c r="E104" s="26">
        <f>86424.48*460.85</f>
        <v>39828721.608000003</v>
      </c>
      <c r="F104" s="26">
        <f>22182.2*460.85</f>
        <v>10222666.870000001</v>
      </c>
      <c r="G104" s="20">
        <f>64242.28*460.85</f>
        <v>29606054.738000002</v>
      </c>
      <c r="H104" s="26">
        <f>13367906.9*460.97</f>
        <v>6162204043.6930008</v>
      </c>
      <c r="I104" s="60">
        <f t="shared" si="53"/>
        <v>1.9185707893150362E-2</v>
      </c>
      <c r="J104" s="26">
        <f>13321587.24*460.85</f>
        <v>6139253479.5540009</v>
      </c>
      <c r="K104" s="73">
        <f t="shared" si="54"/>
        <v>1.8941672339030727E-2</v>
      </c>
      <c r="L104" s="73">
        <f t="shared" si="55"/>
        <v>-3.7244083409555028E-3</v>
      </c>
      <c r="M104" s="52">
        <f t="shared" si="56"/>
        <v>1.6651319096116957E-3</v>
      </c>
      <c r="N104" s="74">
        <f t="shared" si="57"/>
        <v>4.8224193440781007E-3</v>
      </c>
      <c r="O104" s="54">
        <f t="shared" si="58"/>
        <v>52485.709836317015</v>
      </c>
      <c r="P104" s="54">
        <f t="shared" si="59"/>
        <v>253.10810240232539</v>
      </c>
      <c r="Q104" s="26">
        <f>114.72*460.85</f>
        <v>52868.712</v>
      </c>
      <c r="R104" s="26">
        <f>114.72*460.85</f>
        <v>52868.712</v>
      </c>
      <c r="S104" s="35">
        <v>521</v>
      </c>
      <c r="T104" s="35">
        <v>114047</v>
      </c>
      <c r="U104" s="35">
        <v>116970</v>
      </c>
    </row>
    <row r="105" spans="1:21" ht="15.75">
      <c r="A105" s="17">
        <v>89</v>
      </c>
      <c r="B105" s="18" t="s">
        <v>148</v>
      </c>
      <c r="C105" s="28" t="s">
        <v>54</v>
      </c>
      <c r="D105" s="26">
        <f>3666286.13*460.85</f>
        <v>1689607963.0105</v>
      </c>
      <c r="E105" s="26">
        <f>22205.96*460.85</f>
        <v>10233616.665999999</v>
      </c>
      <c r="F105" s="26">
        <f>5029.34*460.85</f>
        <v>2317771.3390000002</v>
      </c>
      <c r="G105" s="20">
        <f>17804.2*460.85</f>
        <v>8205065.5700000003</v>
      </c>
      <c r="H105" s="26">
        <f>3693653.64*460.97</f>
        <v>1702663518.4308002</v>
      </c>
      <c r="I105" s="60">
        <f t="shared" si="53"/>
        <v>5.3011559943996591E-3</v>
      </c>
      <c r="J105" s="26">
        <f>3703282.84*460.85</f>
        <v>1706657896.8140001</v>
      </c>
      <c r="K105" s="73">
        <f t="shared" si="54"/>
        <v>5.2656165418044553E-3</v>
      </c>
      <c r="L105" s="73">
        <f t="shared" si="55"/>
        <v>2.3459587522502439E-3</v>
      </c>
      <c r="M105" s="52">
        <f t="shared" si="56"/>
        <v>1.3580761225356474E-3</v>
      </c>
      <c r="N105" s="74">
        <f t="shared" si="57"/>
        <v>4.8076803120984408E-3</v>
      </c>
      <c r="O105" s="54">
        <f t="shared" si="58"/>
        <v>528.4295735935367</v>
      </c>
      <c r="P105" s="54">
        <f t="shared" si="59"/>
        <v>2.5405204572962203</v>
      </c>
      <c r="Q105" s="26">
        <f>10023.5</f>
        <v>10023.5</v>
      </c>
      <c r="R105" s="26">
        <f>10023.5</f>
        <v>10023.5</v>
      </c>
      <c r="S105" s="35">
        <v>133</v>
      </c>
      <c r="T105" s="35">
        <v>3235983.58</v>
      </c>
      <c r="U105" s="35">
        <v>3229679</v>
      </c>
    </row>
    <row r="106" spans="1:21" ht="15.75">
      <c r="A106" s="17">
        <v>90</v>
      </c>
      <c r="B106" s="28" t="s">
        <v>149</v>
      </c>
      <c r="C106" s="28" t="s">
        <v>33</v>
      </c>
      <c r="D106" s="26">
        <f>10113174.01*460.85</f>
        <v>4660656242.5085001</v>
      </c>
      <c r="E106" s="26">
        <f>66578.01*460.85</f>
        <v>30682475.908500001</v>
      </c>
      <c r="F106" s="26">
        <f>16320.33*460.85</f>
        <v>7521224.0805000002</v>
      </c>
      <c r="G106" s="20">
        <f>50257.68*460.85</f>
        <v>23161251.828000002</v>
      </c>
      <c r="H106" s="26">
        <f>8831650.69*460.97</f>
        <v>4071126018.5693002</v>
      </c>
      <c r="I106" s="60">
        <f t="shared" si="53"/>
        <v>1.267524314914849E-2</v>
      </c>
      <c r="J106" s="26">
        <f>10472972.85*460.85</f>
        <v>4826469537.9224997</v>
      </c>
      <c r="K106" s="73">
        <f t="shared" si="54"/>
        <v>1.4891290096769637E-2</v>
      </c>
      <c r="L106" s="73">
        <f t="shared" si="55"/>
        <v>0.18553675713006959</v>
      </c>
      <c r="M106" s="52">
        <f t="shared" si="56"/>
        <v>1.5583283021687582E-3</v>
      </c>
      <c r="N106" s="74">
        <f t="shared" si="57"/>
        <v>4.7987978886052402E-3</v>
      </c>
      <c r="O106" s="54">
        <f t="shared" si="58"/>
        <v>476.74285678897536</v>
      </c>
      <c r="P106" s="54">
        <f t="shared" si="59"/>
        <v>2.2877926145665652</v>
      </c>
      <c r="Q106" s="26">
        <f>1.00041*460.85</f>
        <v>461.03894850000006</v>
      </c>
      <c r="R106" s="26">
        <f>1.00041*460.85</f>
        <v>461.03894850000006</v>
      </c>
      <c r="S106" s="35">
        <v>330</v>
      </c>
      <c r="T106" s="35">
        <v>8522431.0199999996</v>
      </c>
      <c r="U106" s="35">
        <v>10123842.380000001</v>
      </c>
    </row>
    <row r="107" spans="1:21" ht="15.75">
      <c r="A107" s="17">
        <v>91</v>
      </c>
      <c r="B107" s="18" t="s">
        <v>150</v>
      </c>
      <c r="C107" s="28" t="s">
        <v>79</v>
      </c>
      <c r="D107" s="26">
        <f>169918.84*460.85</f>
        <v>78307097.414000005</v>
      </c>
      <c r="E107" s="26">
        <f>1368.55*460.85</f>
        <v>630696.26749999996</v>
      </c>
      <c r="F107" s="26">
        <f>91.13*460.85</f>
        <v>41997.260499999997</v>
      </c>
      <c r="G107" s="20">
        <f>1277.42*460.85</f>
        <v>588699.0070000001</v>
      </c>
      <c r="H107" s="26">
        <f>226179.72*460.97</f>
        <v>104262065.5284</v>
      </c>
      <c r="I107" s="60">
        <f t="shared" si="53"/>
        <v>3.2461462155115238E-4</v>
      </c>
      <c r="J107" s="26">
        <f>221682.54*460.85</f>
        <v>102162398.55900002</v>
      </c>
      <c r="K107" s="73">
        <f t="shared" si="54"/>
        <v>3.1520553521999629E-4</v>
      </c>
      <c r="L107" s="73">
        <f t="shared" si="55"/>
        <v>-2.0138359611032827E-2</v>
      </c>
      <c r="M107" s="52">
        <f t="shared" si="56"/>
        <v>4.1108334467838552E-4</v>
      </c>
      <c r="N107" s="74">
        <f t="shared" si="57"/>
        <v>5.7623843537700356E-3</v>
      </c>
      <c r="O107" s="54">
        <f t="shared" si="58"/>
        <v>399.87630803765393</v>
      </c>
      <c r="P107" s="54">
        <f t="shared" si="59"/>
        <v>2.3042409808795039</v>
      </c>
      <c r="Q107" s="26">
        <f>0.8677*460.85</f>
        <v>399.87954500000001</v>
      </c>
      <c r="R107" s="26">
        <f>0.8677*460.85</f>
        <v>399.87954500000001</v>
      </c>
      <c r="S107" s="35">
        <v>3</v>
      </c>
      <c r="T107" s="35">
        <v>255485</v>
      </c>
      <c r="U107" s="35">
        <v>255485</v>
      </c>
    </row>
    <row r="108" spans="1:21" ht="15.75">
      <c r="A108" s="17">
        <v>92</v>
      </c>
      <c r="B108" s="18" t="s">
        <v>151</v>
      </c>
      <c r="C108" s="18" t="s">
        <v>35</v>
      </c>
      <c r="D108" s="26">
        <f>426695825.9*460.85</f>
        <v>196642771366.01498</v>
      </c>
      <c r="E108" s="26">
        <f>3214849.78*460.85</f>
        <v>1481563521.1129999</v>
      </c>
      <c r="F108" s="26">
        <f>765815.28*460.85</f>
        <v>352925971.78800005</v>
      </c>
      <c r="G108" s="20">
        <f>2449034.5*460.85</f>
        <v>1128637549.325</v>
      </c>
      <c r="H108" s="26">
        <f>422640526.48*460.97</f>
        <v>194824603491.48563</v>
      </c>
      <c r="I108" s="60">
        <f t="shared" si="53"/>
        <v>0.60657646298034595</v>
      </c>
      <c r="J108" s="26">
        <f>426367856.84*460.85</f>
        <v>196491626824.71399</v>
      </c>
      <c r="K108" s="73">
        <f t="shared" si="54"/>
        <v>0.60624309210754679</v>
      </c>
      <c r="L108" s="73">
        <f t="shared" si="55"/>
        <v>8.5565339456790766E-3</v>
      </c>
      <c r="M108" s="52">
        <f t="shared" si="56"/>
        <v>1.7961374613832161E-3</v>
      </c>
      <c r="N108" s="74">
        <f t="shared" si="57"/>
        <v>5.7439472997586494E-3</v>
      </c>
      <c r="O108" s="54">
        <f t="shared" si="58"/>
        <v>639.56423632736175</v>
      </c>
      <c r="P108" s="54">
        <f t="shared" si="59"/>
        <v>3.6736232682747518</v>
      </c>
      <c r="Q108" s="26">
        <f>1.3878*460.85</f>
        <v>639.56763000000001</v>
      </c>
      <c r="R108" s="26">
        <f>1.3878*460.85</f>
        <v>639.56763000000001</v>
      </c>
      <c r="S108" s="35">
        <v>4689</v>
      </c>
      <c r="T108" s="35">
        <v>306232963.39999998</v>
      </c>
      <c r="U108" s="35">
        <v>307227352.10000002</v>
      </c>
    </row>
    <row r="109" spans="1:21" ht="15.75">
      <c r="A109" s="17">
        <v>93</v>
      </c>
      <c r="B109" s="18" t="s">
        <v>202</v>
      </c>
      <c r="C109" s="18" t="s">
        <v>40</v>
      </c>
      <c r="D109" s="26">
        <f>3927254*460.85</f>
        <v>1809875005.9000001</v>
      </c>
      <c r="E109" s="26">
        <f>50462*460.85</f>
        <v>23255412.700000003</v>
      </c>
      <c r="F109" s="26">
        <f>10797*460.85</f>
        <v>4975797.45</v>
      </c>
      <c r="G109" s="20">
        <f>39665*460.85</f>
        <v>18279615.25</v>
      </c>
      <c r="H109" s="26">
        <v>0</v>
      </c>
      <c r="I109" s="60">
        <f t="shared" si="53"/>
        <v>0</v>
      </c>
      <c r="J109" s="26">
        <f>6264962*460.85</f>
        <v>2887207737.7000003</v>
      </c>
      <c r="K109" s="73">
        <f t="shared" si="54"/>
        <v>8.9080118819593931E-3</v>
      </c>
      <c r="L109" s="73" t="e">
        <f t="shared" si="55"/>
        <v>#DIV/0!</v>
      </c>
      <c r="M109" s="52">
        <f t="shared" si="56"/>
        <v>1.7233943318411189E-3</v>
      </c>
      <c r="N109" s="74">
        <f t="shared" si="57"/>
        <v>6.3312435095376467E-3</v>
      </c>
      <c r="O109" s="54">
        <f t="shared" si="58"/>
        <v>497.60834917080155</v>
      </c>
      <c r="P109" s="54">
        <f t="shared" si="59"/>
        <v>3.1504796309793801</v>
      </c>
      <c r="Q109" s="26">
        <f>1.08*460.85</f>
        <v>497.71800000000007</v>
      </c>
      <c r="R109" s="26">
        <f>1.08*460.85</f>
        <v>497.71800000000007</v>
      </c>
      <c r="S109" s="35">
        <v>20</v>
      </c>
      <c r="T109" s="35">
        <v>4063452</v>
      </c>
      <c r="U109" s="35">
        <v>5802169</v>
      </c>
    </row>
    <row r="110" spans="1:21" ht="15.75">
      <c r="A110" s="17">
        <v>94</v>
      </c>
      <c r="B110" s="28" t="s">
        <v>152</v>
      </c>
      <c r="C110" s="28" t="s">
        <v>42</v>
      </c>
      <c r="D110" s="26">
        <f>10590784.77*460.85</f>
        <v>4880763161.2545004</v>
      </c>
      <c r="E110" s="26">
        <f>55494.74*460.85</f>
        <v>25574750.929000001</v>
      </c>
      <c r="F110" s="26">
        <f>21026.02*460.85</f>
        <v>9689841.3169999998</v>
      </c>
      <c r="G110" s="20">
        <f>34468.72*460.85</f>
        <v>15884909.612000002</v>
      </c>
      <c r="H110" s="26">
        <f>8519904.24*460.97</f>
        <v>3927420257.5128002</v>
      </c>
      <c r="I110" s="60">
        <f t="shared" si="53"/>
        <v>1.2227822593995866E-2</v>
      </c>
      <c r="J110" s="26">
        <f>10330472.74*460.85</f>
        <v>4760798362.2290001</v>
      </c>
      <c r="K110" s="73">
        <f t="shared" si="54"/>
        <v>1.4688672319828532E-2</v>
      </c>
      <c r="L110" s="73">
        <f t="shared" si="55"/>
        <v>0.21219478692712421</v>
      </c>
      <c r="M110" s="52">
        <f t="shared" si="56"/>
        <v>2.0353395753697134E-3</v>
      </c>
      <c r="N110" s="74">
        <f t="shared" si="57"/>
        <v>3.3366062587373907E-3</v>
      </c>
      <c r="O110" s="54">
        <f t="shared" si="58"/>
        <v>465.75704531895582</v>
      </c>
      <c r="P110" s="54">
        <f t="shared" si="59"/>
        <v>1.5540478724622626</v>
      </c>
      <c r="Q110" s="26">
        <f>1.08*460.85</f>
        <v>497.71800000000007</v>
      </c>
      <c r="R110" s="26">
        <f>1.08*460.85</f>
        <v>497.71800000000007</v>
      </c>
      <c r="S110" s="35">
        <v>424</v>
      </c>
      <c r="T110" s="35">
        <v>8604893.6899999995</v>
      </c>
      <c r="U110" s="35">
        <v>10221634.67</v>
      </c>
    </row>
    <row r="111" spans="1:21" ht="15.75">
      <c r="A111" s="111" t="s">
        <v>43</v>
      </c>
      <c r="B111" s="111"/>
      <c r="C111" s="111"/>
      <c r="D111" s="111"/>
      <c r="E111" s="111"/>
      <c r="F111" s="111"/>
      <c r="G111" s="111"/>
      <c r="H111" s="34">
        <f>SUM(H90:H110)</f>
        <v>321187212794.63538</v>
      </c>
      <c r="I111" s="63">
        <f>(H111/$H$167)</f>
        <v>0.20589697505761848</v>
      </c>
      <c r="J111" s="34">
        <f>SUM(J90:J110)</f>
        <v>324113593017.00153</v>
      </c>
      <c r="K111" s="62">
        <f>(J111/$J$167)</f>
        <v>0.20555772418448182</v>
      </c>
      <c r="L111" s="73">
        <f t="shared" si="55"/>
        <v>9.1111355178303908E-3</v>
      </c>
      <c r="M111" s="52"/>
      <c r="N111" s="52"/>
      <c r="O111" s="58"/>
      <c r="P111" s="58"/>
      <c r="Q111" s="34"/>
      <c r="R111" s="34"/>
      <c r="S111" s="37">
        <f>SUM(S90:S110)</f>
        <v>10691</v>
      </c>
      <c r="T111" s="37"/>
      <c r="U111" s="56"/>
    </row>
    <row r="112" spans="1:21" ht="6.75" customHeight="1">
      <c r="A112" s="105"/>
      <c r="B112" s="106"/>
      <c r="C112" s="106"/>
      <c r="D112" s="106"/>
      <c r="E112" s="106"/>
      <c r="F112" s="106"/>
      <c r="G112" s="106"/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  <c r="R112" s="106"/>
      <c r="S112" s="106"/>
      <c r="T112" s="106"/>
      <c r="U112" s="107"/>
    </row>
    <row r="113" spans="1:21">
      <c r="A113" s="120" t="s">
        <v>153</v>
      </c>
      <c r="B113" s="120"/>
      <c r="C113" s="120"/>
      <c r="D113" s="120"/>
      <c r="E113" s="120"/>
      <c r="F113" s="120"/>
      <c r="G113" s="120"/>
      <c r="H113" s="120"/>
      <c r="I113" s="120"/>
      <c r="J113" s="120"/>
      <c r="K113" s="120"/>
      <c r="L113" s="120"/>
      <c r="M113" s="120"/>
      <c r="N113" s="120"/>
      <c r="O113" s="120"/>
      <c r="P113" s="120"/>
      <c r="Q113" s="120"/>
      <c r="R113" s="120"/>
      <c r="S113" s="120"/>
      <c r="T113" s="120"/>
      <c r="U113" s="120"/>
    </row>
    <row r="114" spans="1:21" ht="15.75">
      <c r="A114" s="17">
        <v>95</v>
      </c>
      <c r="B114" s="18" t="s">
        <v>154</v>
      </c>
      <c r="C114" s="18" t="s">
        <v>33</v>
      </c>
      <c r="D114" s="26">
        <v>7723067931</v>
      </c>
      <c r="E114" s="26">
        <v>74688515</v>
      </c>
      <c r="F114" s="19">
        <v>42093040</v>
      </c>
      <c r="G114" s="45">
        <f>E114-F114</f>
        <v>32595475</v>
      </c>
      <c r="H114" s="26">
        <v>7657670715</v>
      </c>
      <c r="I114" s="22">
        <f>(H114/$H$118)</f>
        <v>0.1645734675089702</v>
      </c>
      <c r="J114" s="26">
        <v>7539908714</v>
      </c>
      <c r="K114" s="73">
        <f>(J114/$J$118)</f>
        <v>0.16251737858380447</v>
      </c>
      <c r="L114" s="73">
        <f>((J114-H114)/H114)</f>
        <v>-1.537830567320235E-2</v>
      </c>
      <c r="M114" s="52">
        <f>(F114/J114)</f>
        <v>5.5826988888926753E-3</v>
      </c>
      <c r="N114" s="74">
        <f>G114/J114</f>
        <v>4.3230596332654754E-3</v>
      </c>
      <c r="O114" s="54">
        <f>J114/U114</f>
        <v>101.68454098449089</v>
      </c>
      <c r="P114" s="54">
        <f>G114/U114</f>
        <v>0.43958833445718137</v>
      </c>
      <c r="Q114" s="26">
        <v>101.68</v>
      </c>
      <c r="R114" s="26">
        <v>101.68</v>
      </c>
      <c r="S114" s="35">
        <v>56</v>
      </c>
      <c r="T114" s="35">
        <v>74150000</v>
      </c>
      <c r="U114" s="35">
        <v>74150000</v>
      </c>
    </row>
    <row r="115" spans="1:21" ht="15" customHeight="1">
      <c r="A115" s="17">
        <v>96</v>
      </c>
      <c r="B115" s="18" t="s">
        <v>155</v>
      </c>
      <c r="C115" s="18" t="s">
        <v>120</v>
      </c>
      <c r="D115" s="26">
        <v>2246720942.9499998</v>
      </c>
      <c r="E115" s="26">
        <v>21253745.989999998</v>
      </c>
      <c r="F115" s="19">
        <v>5349665.91</v>
      </c>
      <c r="G115" s="45">
        <v>15904080.08</v>
      </c>
      <c r="H115" s="26">
        <v>2315376566.6199999</v>
      </c>
      <c r="I115" s="22">
        <f t="shared" ref="I115:I117" si="60">(H115/$H$118)</f>
        <v>4.9760503466316455E-2</v>
      </c>
      <c r="J115" s="26">
        <v>2307180312.5999999</v>
      </c>
      <c r="K115" s="73">
        <f t="shared" ref="K115:K117" si="61">(J115/$J$118)</f>
        <v>4.9729633414221534E-2</v>
      </c>
      <c r="L115" s="73">
        <f>((J115-H115)/H115)</f>
        <v>-3.5399226796032231E-3</v>
      </c>
      <c r="M115" s="52">
        <f t="shared" ref="M115:M117" si="62">(F115/J115)</f>
        <v>2.3187029989742642E-3</v>
      </c>
      <c r="N115" s="74">
        <f t="shared" ref="N115:N117" si="63">G115/J115</f>
        <v>6.8932974129262692E-3</v>
      </c>
      <c r="O115" s="54">
        <f t="shared" ref="O115:O117" si="64">J115/U115</f>
        <v>115.35901563</v>
      </c>
      <c r="P115" s="54">
        <f t="shared" ref="P115:P117" si="65">G115/U115</f>
        <v>0.79520400400000002</v>
      </c>
      <c r="Q115" s="80">
        <v>68.599999999999994</v>
      </c>
      <c r="R115" s="80">
        <v>68.599999999999994</v>
      </c>
      <c r="S115" s="35">
        <v>2675</v>
      </c>
      <c r="T115" s="79">
        <v>20000000</v>
      </c>
      <c r="U115" s="79">
        <v>20000000</v>
      </c>
    </row>
    <row r="116" spans="1:21" ht="15" customHeight="1">
      <c r="A116" s="17">
        <v>97</v>
      </c>
      <c r="B116" s="18" t="s">
        <v>156</v>
      </c>
      <c r="C116" s="18" t="s">
        <v>120</v>
      </c>
      <c r="D116" s="26">
        <v>10499401821.07</v>
      </c>
      <c r="E116" s="26">
        <v>71796673.340000004</v>
      </c>
      <c r="F116" s="46" t="s">
        <v>203</v>
      </c>
      <c r="G116" s="45">
        <v>54480508.299999997</v>
      </c>
      <c r="H116" s="26">
        <v>10069962842.110001</v>
      </c>
      <c r="I116" s="22">
        <f t="shared" si="60"/>
        <v>0.21641681449768729</v>
      </c>
      <c r="J116" s="26">
        <v>10028695486</v>
      </c>
      <c r="K116" s="73">
        <f t="shared" si="61"/>
        <v>0.21616141027990074</v>
      </c>
      <c r="L116" s="73">
        <f>((J116-H116)/H116)</f>
        <v>-4.0980643878278395E-3</v>
      </c>
      <c r="M116" s="52">
        <f t="shared" si="62"/>
        <v>1.726661764152004E-3</v>
      </c>
      <c r="N116" s="74">
        <f t="shared" si="63"/>
        <v>5.4324621159406493E-3</v>
      </c>
      <c r="O116" s="54">
        <f t="shared" si="64"/>
        <v>53.308094891566533</v>
      </c>
      <c r="P116" s="54">
        <f t="shared" si="65"/>
        <v>0.28959420597140445</v>
      </c>
      <c r="Q116" s="45">
        <v>36.6</v>
      </c>
      <c r="R116" s="45">
        <v>36.6</v>
      </c>
      <c r="S116" s="35">
        <v>5251</v>
      </c>
      <c r="T116" s="35">
        <v>188127066</v>
      </c>
      <c r="U116" s="35">
        <v>188127066</v>
      </c>
    </row>
    <row r="117" spans="1:21" ht="15.75">
      <c r="A117" s="17">
        <v>98</v>
      </c>
      <c r="B117" s="18" t="s">
        <v>157</v>
      </c>
      <c r="C117" s="28" t="s">
        <v>158</v>
      </c>
      <c r="D117" s="26">
        <v>26638425920.759998</v>
      </c>
      <c r="E117" s="26">
        <v>145417871.31</v>
      </c>
      <c r="F117" s="47">
        <v>34021012.270000003</v>
      </c>
      <c r="G117" s="45">
        <v>111396859.04000001</v>
      </c>
      <c r="H117" s="26">
        <v>26487398640.869999</v>
      </c>
      <c r="I117" s="22">
        <f t="shared" si="60"/>
        <v>0.56924921452702604</v>
      </c>
      <c r="J117" s="26">
        <v>26518692064.02</v>
      </c>
      <c r="K117" s="73">
        <f t="shared" si="61"/>
        <v>0.57159157772207336</v>
      </c>
      <c r="L117" s="73">
        <f>((J117-H117)/H117)</f>
        <v>1.181445697038585E-3</v>
      </c>
      <c r="M117" s="52">
        <f t="shared" si="62"/>
        <v>1.2829068714199142E-3</v>
      </c>
      <c r="N117" s="74">
        <f t="shared" si="63"/>
        <v>4.2006920541583156E-3</v>
      </c>
      <c r="O117" s="54">
        <f t="shared" si="64"/>
        <v>9.9385358428074824</v>
      </c>
      <c r="P117" s="54">
        <f t="shared" si="65"/>
        <v>4.1748728544849012E-2</v>
      </c>
      <c r="Q117" s="45">
        <v>9.94</v>
      </c>
      <c r="R117" s="45">
        <v>9.94</v>
      </c>
      <c r="S117" s="35">
        <v>1</v>
      </c>
      <c r="T117" s="35">
        <v>2668269500</v>
      </c>
      <c r="U117" s="35">
        <v>2668269500</v>
      </c>
    </row>
    <row r="118" spans="1:21">
      <c r="A118" s="111" t="s">
        <v>43</v>
      </c>
      <c r="B118" s="111"/>
      <c r="C118" s="111"/>
      <c r="D118" s="111"/>
      <c r="E118" s="111"/>
      <c r="F118" s="111"/>
      <c r="G118" s="111"/>
      <c r="H118" s="34">
        <f t="shared" ref="H118" si="66">SUM(H114:H117)</f>
        <v>46530408764.599998</v>
      </c>
      <c r="I118" s="63">
        <f>(H118/$H$167)</f>
        <v>2.9828305832808225E-2</v>
      </c>
      <c r="J118" s="34">
        <f>SUM(J114:J117)</f>
        <v>46394476576.619995</v>
      </c>
      <c r="K118" s="62">
        <f>(J118/$J$167)</f>
        <v>2.9424076081005345E-2</v>
      </c>
      <c r="L118" s="75">
        <f>((J118-H118)/H118)</f>
        <v>-2.9213624291953262E-3</v>
      </c>
      <c r="M118" s="52"/>
      <c r="N118" s="52"/>
      <c r="O118" s="58"/>
      <c r="P118" s="58"/>
      <c r="Q118" s="34"/>
      <c r="R118" s="34"/>
      <c r="S118" s="56">
        <f>SUM(S114:S117)</f>
        <v>7983</v>
      </c>
      <c r="T118" s="56"/>
      <c r="U118" s="56"/>
    </row>
    <row r="119" spans="1:21" ht="8.25" customHeight="1">
      <c r="A119" s="105"/>
      <c r="B119" s="106"/>
      <c r="C119" s="106"/>
      <c r="D119" s="106"/>
      <c r="E119" s="106"/>
      <c r="F119" s="106"/>
      <c r="G119" s="106"/>
      <c r="H119" s="106"/>
      <c r="I119" s="106"/>
      <c r="J119" s="106"/>
      <c r="K119" s="106"/>
      <c r="L119" s="106"/>
      <c r="M119" s="106"/>
      <c r="N119" s="106"/>
      <c r="O119" s="106"/>
      <c r="P119" s="106"/>
      <c r="Q119" s="106"/>
      <c r="R119" s="106"/>
      <c r="S119" s="106"/>
      <c r="T119" s="106"/>
      <c r="U119" s="107"/>
    </row>
    <row r="120" spans="1:21">
      <c r="A120" s="120" t="s">
        <v>3</v>
      </c>
      <c r="B120" s="120"/>
      <c r="C120" s="120"/>
      <c r="D120" s="120"/>
      <c r="E120" s="120"/>
      <c r="F120" s="120"/>
      <c r="G120" s="120"/>
      <c r="H120" s="120"/>
      <c r="I120" s="120"/>
      <c r="J120" s="120"/>
      <c r="K120" s="120"/>
      <c r="L120" s="120"/>
      <c r="M120" s="120"/>
      <c r="N120" s="120"/>
      <c r="O120" s="120"/>
      <c r="P120" s="120"/>
      <c r="Q120" s="120"/>
      <c r="R120" s="120"/>
      <c r="S120" s="120"/>
      <c r="T120" s="120"/>
      <c r="U120" s="120"/>
    </row>
    <row r="121" spans="1:21" ht="15.75">
      <c r="A121" s="17">
        <v>99</v>
      </c>
      <c r="B121" s="18" t="s">
        <v>159</v>
      </c>
      <c r="C121" s="18" t="s">
        <v>47</v>
      </c>
      <c r="D121" s="21">
        <v>178592342</v>
      </c>
      <c r="E121" s="21">
        <v>6652074.8899999997</v>
      </c>
      <c r="F121" s="26">
        <v>452130.2</v>
      </c>
      <c r="G121" s="20">
        <v>6199944.6900000004</v>
      </c>
      <c r="H121" s="26">
        <v>175223368.62</v>
      </c>
      <c r="I121" s="60">
        <f>(H121/$H$145)</f>
        <v>5.5692263468527696E-3</v>
      </c>
      <c r="J121" s="26">
        <v>173369667.69</v>
      </c>
      <c r="K121" s="60">
        <f>(J121/$J$145)</f>
        <v>5.5918551852940568E-3</v>
      </c>
      <c r="L121" s="60">
        <f>((J121-H121)/H121)</f>
        <v>-1.0579073696614377E-2</v>
      </c>
      <c r="M121" s="74">
        <f t="shared" ref="M121:M144" si="67">(F121/J121)</f>
        <v>2.6078967908529883E-3</v>
      </c>
      <c r="N121" s="74">
        <f t="shared" ref="N121:N144" si="68">G121/J121</f>
        <v>3.5761415319120526E-2</v>
      </c>
      <c r="O121" s="77">
        <f t="shared" ref="O121:O144" si="69">J121/U121</f>
        <v>3.9299141830087696</v>
      </c>
      <c r="P121" s="77">
        <f t="shared" ref="P121:P144" si="70">G121/U121</f>
        <v>0.14053929326707884</v>
      </c>
      <c r="Q121" s="26">
        <v>3.8940000000000001</v>
      </c>
      <c r="R121" s="26">
        <v>3.9529999999999998</v>
      </c>
      <c r="S121" s="35">
        <v>11818</v>
      </c>
      <c r="T121" s="35">
        <v>43891612.079999998</v>
      </c>
      <c r="U121" s="35">
        <v>44115382.579999998</v>
      </c>
    </row>
    <row r="122" spans="1:21" ht="15.75">
      <c r="A122" s="17">
        <v>100</v>
      </c>
      <c r="B122" s="18" t="s">
        <v>160</v>
      </c>
      <c r="C122" s="28" t="s">
        <v>17</v>
      </c>
      <c r="D122" s="21">
        <v>4500255224.9399996</v>
      </c>
      <c r="E122" s="21">
        <v>54352236.939999998</v>
      </c>
      <c r="F122" s="26">
        <v>1706801.09</v>
      </c>
      <c r="G122" s="20">
        <v>68987142.5</v>
      </c>
      <c r="H122" s="26">
        <v>5037051534</v>
      </c>
      <c r="I122" s="60">
        <f t="shared" ref="I122:I144" si="71">(H122/$H$145)</f>
        <v>0.1600955416765458</v>
      </c>
      <c r="J122" s="26">
        <v>4970378638</v>
      </c>
      <c r="K122" s="60">
        <f t="shared" ref="K122:K144" si="72">(J122/$J$145)</f>
        <v>0.1603143037078005</v>
      </c>
      <c r="L122" s="60">
        <f t="shared" ref="L122:L144" si="73">((J122-H122)/H122)</f>
        <v>-1.3236492727930069E-2</v>
      </c>
      <c r="M122" s="74">
        <f t="shared" si="67"/>
        <v>3.4339458103875749E-4</v>
      </c>
      <c r="N122" s="74">
        <f t="shared" si="68"/>
        <v>1.3879655359165818E-2</v>
      </c>
      <c r="O122" s="77">
        <f t="shared" si="69"/>
        <v>549.57637611955215</v>
      </c>
      <c r="P122" s="77">
        <f t="shared" si="70"/>
        <v>7.627930694078672</v>
      </c>
      <c r="Q122" s="26">
        <v>546.82849999999996</v>
      </c>
      <c r="R122" s="26">
        <v>563.31579999999997</v>
      </c>
      <c r="S122" s="35">
        <v>1900</v>
      </c>
      <c r="T122" s="35">
        <v>9033866</v>
      </c>
      <c r="U122" s="35">
        <v>9044018</v>
      </c>
    </row>
    <row r="123" spans="1:21" ht="15.75" customHeight="1">
      <c r="A123" s="17">
        <v>101</v>
      </c>
      <c r="B123" s="18" t="s">
        <v>161</v>
      </c>
      <c r="C123" s="18" t="s">
        <v>101</v>
      </c>
      <c r="D123" s="39">
        <v>1099488259.77</v>
      </c>
      <c r="E123" s="39">
        <v>6409920.6900000004</v>
      </c>
      <c r="F123" s="39">
        <v>1611332.42</v>
      </c>
      <c r="G123" s="20">
        <v>-9907532.3800000008</v>
      </c>
      <c r="H123" s="26">
        <v>1061016811.46</v>
      </c>
      <c r="I123" s="60">
        <f t="shared" si="71"/>
        <v>3.3722915084753662E-2</v>
      </c>
      <c r="J123" s="26">
        <v>1025458206.61</v>
      </c>
      <c r="K123" s="60">
        <f t="shared" si="72"/>
        <v>3.3075069395574683E-2</v>
      </c>
      <c r="L123" s="60">
        <f t="shared" si="73"/>
        <v>-3.3513705405920961E-2</v>
      </c>
      <c r="M123" s="74">
        <f t="shared" si="67"/>
        <v>1.5713291966591265E-3</v>
      </c>
      <c r="N123" s="74">
        <f t="shared" si="68"/>
        <v>-9.6615662307220785E-3</v>
      </c>
      <c r="O123" s="77">
        <f t="shared" si="69"/>
        <v>2.4148595325210289</v>
      </c>
      <c r="P123" s="77">
        <f t="shared" si="70"/>
        <v>-2.333132531134248E-2</v>
      </c>
      <c r="Q123" s="51">
        <v>2.4028</v>
      </c>
      <c r="R123" s="51">
        <v>2.4527999999999999</v>
      </c>
      <c r="S123" s="35">
        <v>2764</v>
      </c>
      <c r="T123" s="35">
        <v>435366998.71350002</v>
      </c>
      <c r="U123" s="35">
        <v>424645074.71350002</v>
      </c>
    </row>
    <row r="124" spans="1:21" ht="15" customHeight="1">
      <c r="A124" s="17">
        <v>102</v>
      </c>
      <c r="B124" s="18" t="s">
        <v>162</v>
      </c>
      <c r="C124" s="18" t="s">
        <v>54</v>
      </c>
      <c r="D124" s="21">
        <v>2384529986.5100002</v>
      </c>
      <c r="E124" s="21">
        <v>20145690.640000001</v>
      </c>
      <c r="F124" s="26">
        <v>6487500.4100000001</v>
      </c>
      <c r="G124" s="20">
        <v>14056786.869999999</v>
      </c>
      <c r="H124" s="26">
        <v>2348035738.7600002</v>
      </c>
      <c r="I124" s="60">
        <f t="shared" si="71"/>
        <v>7.4628987004656408E-2</v>
      </c>
      <c r="J124" s="26">
        <v>2348371329.3299999</v>
      </c>
      <c r="K124" s="60">
        <f t="shared" si="72"/>
        <v>7.5744232367051481E-2</v>
      </c>
      <c r="L124" s="60">
        <f t="shared" si="73"/>
        <v>1.4292396170124757E-4</v>
      </c>
      <c r="M124" s="74">
        <f t="shared" si="67"/>
        <v>2.7625530634675698E-3</v>
      </c>
      <c r="N124" s="74">
        <f t="shared" si="68"/>
        <v>5.9857598729969414E-3</v>
      </c>
      <c r="O124" s="77">
        <f t="shared" si="69"/>
        <v>4417.7731821075968</v>
      </c>
      <c r="P124" s="77">
        <f t="shared" si="70"/>
        <v>26.443729441461663</v>
      </c>
      <c r="Q124" s="26">
        <v>4417.7700000000004</v>
      </c>
      <c r="R124" s="26">
        <v>4445.87</v>
      </c>
      <c r="S124" s="35">
        <v>807</v>
      </c>
      <c r="T124" s="35">
        <v>530949.06999999995</v>
      </c>
      <c r="U124" s="35">
        <v>531573.54</v>
      </c>
    </row>
    <row r="125" spans="1:21" ht="15.75">
      <c r="A125" s="17">
        <v>103</v>
      </c>
      <c r="B125" s="18" t="s">
        <v>163</v>
      </c>
      <c r="C125" s="28" t="s">
        <v>56</v>
      </c>
      <c r="D125" s="21">
        <v>255943442.53999999</v>
      </c>
      <c r="E125" s="21">
        <v>1984949.84</v>
      </c>
      <c r="F125" s="26">
        <v>718719.66</v>
      </c>
      <c r="G125" s="20">
        <v>-2289402.09</v>
      </c>
      <c r="H125" s="26">
        <v>325160248.08999997</v>
      </c>
      <c r="I125" s="60">
        <f t="shared" si="71"/>
        <v>1.0334757486252982E-2</v>
      </c>
      <c r="J125" s="26">
        <v>338813180.50999999</v>
      </c>
      <c r="K125" s="60">
        <f t="shared" si="72"/>
        <v>1.0928060632085386E-2</v>
      </c>
      <c r="L125" s="60">
        <f t="shared" si="73"/>
        <v>4.1988319606094865E-2</v>
      </c>
      <c r="M125" s="74">
        <f t="shared" si="67"/>
        <v>2.1212860105328376E-3</v>
      </c>
      <c r="N125" s="74">
        <f t="shared" si="68"/>
        <v>-6.7571222776925842E-3</v>
      </c>
      <c r="O125" s="77">
        <f t="shared" si="69"/>
        <v>140.86208587929153</v>
      </c>
      <c r="P125" s="77">
        <f t="shared" si="70"/>
        <v>-0.95182233857720688</v>
      </c>
      <c r="Q125" s="26">
        <v>143.61000000000001</v>
      </c>
      <c r="R125" s="26">
        <v>144.54</v>
      </c>
      <c r="S125" s="35">
        <f>546+27+3</f>
        <v>576</v>
      </c>
      <c r="T125" s="35">
        <v>2411037</v>
      </c>
      <c r="U125" s="35">
        <v>2405283</v>
      </c>
    </row>
    <row r="126" spans="1:21" ht="15.75">
      <c r="A126" s="17">
        <v>104</v>
      </c>
      <c r="B126" s="18" t="s">
        <v>164</v>
      </c>
      <c r="C126" s="28" t="s">
        <v>58</v>
      </c>
      <c r="D126" s="26">
        <v>3810010.4</v>
      </c>
      <c r="E126" s="26">
        <v>48625.77</v>
      </c>
      <c r="F126" s="26">
        <v>8413.9699999999993</v>
      </c>
      <c r="G126" s="20">
        <v>40238.800000000003</v>
      </c>
      <c r="H126" s="26">
        <v>3561409.94</v>
      </c>
      <c r="I126" s="60">
        <f t="shared" si="71"/>
        <v>1.1319436571731024E-4</v>
      </c>
      <c r="J126" s="26">
        <v>3561409.94</v>
      </c>
      <c r="K126" s="60">
        <f t="shared" si="72"/>
        <v>1.148695092128592E-4</v>
      </c>
      <c r="L126" s="60">
        <f t="shared" si="73"/>
        <v>0</v>
      </c>
      <c r="M126" s="74">
        <f t="shared" si="67"/>
        <v>2.3625390341893635E-3</v>
      </c>
      <c r="N126" s="74">
        <f t="shared" si="68"/>
        <v>1.1298558907262442E-2</v>
      </c>
      <c r="O126" s="77">
        <f t="shared" si="69"/>
        <v>103.76463900705087</v>
      </c>
      <c r="P126" s="77">
        <f t="shared" si="70"/>
        <v>1.1723908863119865</v>
      </c>
      <c r="Q126" s="26">
        <v>97.94</v>
      </c>
      <c r="R126" s="26">
        <v>97.7</v>
      </c>
      <c r="S126" s="35">
        <v>87</v>
      </c>
      <c r="T126" s="35">
        <v>34322</v>
      </c>
      <c r="U126" s="35">
        <v>34322</v>
      </c>
    </row>
    <row r="127" spans="1:21" ht="15.75">
      <c r="A127" s="17">
        <v>105</v>
      </c>
      <c r="B127" s="18" t="s">
        <v>165</v>
      </c>
      <c r="C127" s="28" t="s">
        <v>60</v>
      </c>
      <c r="D127" s="21">
        <v>124366962.05</v>
      </c>
      <c r="E127" s="21">
        <v>10830025.43</v>
      </c>
      <c r="F127" s="26">
        <v>632383.19999999995</v>
      </c>
      <c r="G127" s="20">
        <v>424583.44</v>
      </c>
      <c r="H127" s="26">
        <v>126758692.59999999</v>
      </c>
      <c r="I127" s="60">
        <f t="shared" si="71"/>
        <v>4.0288453308502045E-3</v>
      </c>
      <c r="J127" s="26">
        <v>127139705.83</v>
      </c>
      <c r="K127" s="60">
        <f t="shared" si="72"/>
        <v>4.1007566823827628E-3</v>
      </c>
      <c r="L127" s="60">
        <f t="shared" si="73"/>
        <v>3.0058153976258682E-3</v>
      </c>
      <c r="M127" s="74">
        <f t="shared" si="67"/>
        <v>4.9739237311557652E-3</v>
      </c>
      <c r="N127" s="74">
        <f t="shared" si="68"/>
        <v>3.3395030862169487E-3</v>
      </c>
      <c r="O127" s="77">
        <f t="shared" si="69"/>
        <v>1.245970336799411</v>
      </c>
      <c r="P127" s="77">
        <f t="shared" si="70"/>
        <v>4.1609217850764046E-3</v>
      </c>
      <c r="Q127" s="26">
        <v>1.2405999999999999</v>
      </c>
      <c r="R127" s="26">
        <v>1.2405999999999999</v>
      </c>
      <c r="S127" s="35">
        <v>219</v>
      </c>
      <c r="T127" s="35">
        <v>102076496.52</v>
      </c>
      <c r="U127" s="35">
        <v>102040716.44</v>
      </c>
    </row>
    <row r="128" spans="1:21" ht="15.75">
      <c r="A128" s="17">
        <v>106</v>
      </c>
      <c r="B128" s="31" t="s">
        <v>166</v>
      </c>
      <c r="C128" s="32" t="s">
        <v>167</v>
      </c>
      <c r="D128" s="21">
        <v>166024988.61000001</v>
      </c>
      <c r="E128" s="21">
        <v>4228990.17</v>
      </c>
      <c r="F128" s="26">
        <v>526376.80000000005</v>
      </c>
      <c r="G128" s="20">
        <v>3702613.37</v>
      </c>
      <c r="H128" s="26">
        <v>166540832.58000001</v>
      </c>
      <c r="I128" s="60">
        <f t="shared" si="71"/>
        <v>5.2932642485761855E-3</v>
      </c>
      <c r="J128" s="26">
        <v>166828571.34999999</v>
      </c>
      <c r="K128" s="60">
        <f t="shared" si="72"/>
        <v>5.3808790441172757E-3</v>
      </c>
      <c r="L128" s="60">
        <f t="shared" si="73"/>
        <v>1.7277370692965759E-3</v>
      </c>
      <c r="M128" s="74">
        <f t="shared" si="67"/>
        <v>3.1551957541833858E-3</v>
      </c>
      <c r="N128" s="74">
        <f t="shared" si="68"/>
        <v>2.2194120227955787E-2</v>
      </c>
      <c r="O128" s="77">
        <f t="shared" si="69"/>
        <v>107.48848069662255</v>
      </c>
      <c r="P128" s="77">
        <f t="shared" si="70"/>
        <v>2.3856122637011454</v>
      </c>
      <c r="Q128" s="26">
        <v>105.63</v>
      </c>
      <c r="R128" s="26">
        <v>107.49</v>
      </c>
      <c r="S128" s="35">
        <v>46</v>
      </c>
      <c r="T128" s="35">
        <v>1556954</v>
      </c>
      <c r="U128" s="35">
        <v>1552060</v>
      </c>
    </row>
    <row r="129" spans="1:21" ht="15.75">
      <c r="A129" s="17">
        <v>107</v>
      </c>
      <c r="B129" s="18" t="s">
        <v>168</v>
      </c>
      <c r="C129" s="28" t="s">
        <v>65</v>
      </c>
      <c r="D129" s="21"/>
      <c r="E129" s="21">
        <v>1080303.1200000001</v>
      </c>
      <c r="F129" s="26">
        <v>465755.05</v>
      </c>
      <c r="G129" s="20">
        <v>614548.06999999995</v>
      </c>
      <c r="H129" s="26">
        <v>233077996.47999999</v>
      </c>
      <c r="I129" s="60">
        <f t="shared" si="71"/>
        <v>7.4080536693888902E-3</v>
      </c>
      <c r="J129" s="26">
        <v>232981491.80000001</v>
      </c>
      <c r="K129" s="60">
        <f t="shared" si="72"/>
        <v>7.5145714954526644E-3</v>
      </c>
      <c r="L129" s="60">
        <f t="shared" si="73"/>
        <v>-4.1404457502387294E-4</v>
      </c>
      <c r="M129" s="74">
        <f t="shared" si="67"/>
        <v>1.9991075102215477E-3</v>
      </c>
      <c r="N129" s="74">
        <f t="shared" si="68"/>
        <v>2.6377548931120712E-3</v>
      </c>
      <c r="O129" s="77">
        <f t="shared" si="69"/>
        <v>1.1386594178894742</v>
      </c>
      <c r="P129" s="77">
        <f t="shared" si="70"/>
        <v>3.0035044511261032E-3</v>
      </c>
      <c r="Q129" s="26">
        <v>1.1399999999999999</v>
      </c>
      <c r="R129" s="26">
        <v>1.1399999999999999</v>
      </c>
      <c r="S129" s="35">
        <v>78</v>
      </c>
      <c r="T129" s="35">
        <v>200863244.78</v>
      </c>
      <c r="U129" s="35">
        <v>204610341.02000001</v>
      </c>
    </row>
    <row r="130" spans="1:21" ht="15.75">
      <c r="A130" s="17">
        <v>108</v>
      </c>
      <c r="B130" s="28" t="s">
        <v>169</v>
      </c>
      <c r="C130" s="28" t="s">
        <v>69</v>
      </c>
      <c r="D130" s="21">
        <v>5108715780.9899998</v>
      </c>
      <c r="E130" s="21">
        <v>34795299.420000002</v>
      </c>
      <c r="F130" s="26">
        <v>9776242.4399999995</v>
      </c>
      <c r="G130" s="20">
        <v>133080276.44</v>
      </c>
      <c r="H130" s="26">
        <v>5161257371.8100004</v>
      </c>
      <c r="I130" s="60">
        <f t="shared" si="71"/>
        <v>0.16404324813723203</v>
      </c>
      <c r="J130" s="26">
        <v>5108715780.9899998</v>
      </c>
      <c r="K130" s="60">
        <f t="shared" si="72"/>
        <v>0.16477622187753821</v>
      </c>
      <c r="L130" s="60">
        <f t="shared" si="73"/>
        <v>-1.0179998212639966E-2</v>
      </c>
      <c r="M130" s="74">
        <f t="shared" si="67"/>
        <v>1.9136399163911788E-3</v>
      </c>
      <c r="N130" s="74">
        <f t="shared" si="68"/>
        <v>2.6049653600852863E-2</v>
      </c>
      <c r="O130" s="77">
        <f t="shared" si="69"/>
        <v>210.29695782870917</v>
      </c>
      <c r="P130" s="77">
        <f t="shared" si="70"/>
        <v>5.478162904751037</v>
      </c>
      <c r="Q130" s="26">
        <v>210.3</v>
      </c>
      <c r="R130" s="26">
        <v>211.85</v>
      </c>
      <c r="S130" s="35">
        <v>5447</v>
      </c>
      <c r="T130" s="35">
        <v>24355083.739999998</v>
      </c>
      <c r="U130" s="35">
        <v>24292865.829999998</v>
      </c>
    </row>
    <row r="131" spans="1:21" ht="15.75">
      <c r="A131" s="17">
        <v>109</v>
      </c>
      <c r="B131" s="48" t="s">
        <v>170</v>
      </c>
      <c r="C131" s="18" t="s">
        <v>71</v>
      </c>
      <c r="D131" s="21">
        <v>1978035493.1600001</v>
      </c>
      <c r="E131" s="21">
        <v>14642295.619999999</v>
      </c>
      <c r="F131" s="26">
        <v>5961564.5499999998</v>
      </c>
      <c r="G131" s="20">
        <v>8680731.0700000003</v>
      </c>
      <c r="H131" s="26">
        <v>1949633352.0799999</v>
      </c>
      <c r="I131" s="60">
        <f t="shared" si="71"/>
        <v>6.1966331983115928E-2</v>
      </c>
      <c r="J131" s="26">
        <v>1922450507.01</v>
      </c>
      <c r="K131" s="60">
        <f t="shared" si="72"/>
        <v>6.2006606918789876E-2</v>
      </c>
      <c r="L131" s="60">
        <f t="shared" si="73"/>
        <v>-1.394254208925973E-2</v>
      </c>
      <c r="M131" s="74">
        <f t="shared" si="67"/>
        <v>3.1010236821503718E-3</v>
      </c>
      <c r="N131" s="74">
        <f t="shared" si="68"/>
        <v>4.515451002949979E-3</v>
      </c>
      <c r="O131" s="77">
        <f t="shared" si="69"/>
        <v>1.3373644779100227</v>
      </c>
      <c r="P131" s="77">
        <f t="shared" si="70"/>
        <v>6.0388037730884879E-3</v>
      </c>
      <c r="Q131" s="26">
        <v>1.3240000000000001</v>
      </c>
      <c r="R131" s="26">
        <v>1.3484</v>
      </c>
      <c r="S131" s="35">
        <v>10321</v>
      </c>
      <c r="T131" s="35">
        <v>1444415699.8</v>
      </c>
      <c r="U131" s="35">
        <v>1437491827.22</v>
      </c>
    </row>
    <row r="132" spans="1:21" ht="15.75">
      <c r="A132" s="17">
        <v>110</v>
      </c>
      <c r="B132" s="28" t="s">
        <v>171</v>
      </c>
      <c r="C132" s="28" t="s">
        <v>113</v>
      </c>
      <c r="D132" s="21">
        <v>166640</v>
      </c>
      <c r="E132" s="21">
        <v>2652878.37</v>
      </c>
      <c r="F132" s="26">
        <v>1435283.96</v>
      </c>
      <c r="G132" s="20">
        <v>1217594.4099999999</v>
      </c>
      <c r="H132" s="26">
        <v>166201419.06</v>
      </c>
      <c r="I132" s="60">
        <f t="shared" si="71"/>
        <v>5.2824764710499954E-3</v>
      </c>
      <c r="J132" s="26">
        <v>162004319.58000001</v>
      </c>
      <c r="K132" s="60">
        <f t="shared" si="72"/>
        <v>5.2252779079169408E-3</v>
      </c>
      <c r="L132" s="60">
        <f t="shared" si="73"/>
        <v>-2.525309051955088E-2</v>
      </c>
      <c r="M132" s="74">
        <f t="shared" si="67"/>
        <v>8.8595412993987266E-3</v>
      </c>
      <c r="N132" s="74">
        <f t="shared" si="68"/>
        <v>7.5158144743093392E-3</v>
      </c>
      <c r="O132" s="77">
        <f t="shared" si="69"/>
        <v>146.42498124703016</v>
      </c>
      <c r="P132" s="77">
        <f t="shared" si="70"/>
        <v>1.1005029934569028</v>
      </c>
      <c r="Q132" s="26">
        <v>146.42500000000001</v>
      </c>
      <c r="R132" s="26">
        <v>150.6155</v>
      </c>
      <c r="S132" s="35">
        <v>133</v>
      </c>
      <c r="T132" s="35">
        <v>1105672.81</v>
      </c>
      <c r="U132" s="35">
        <v>1106398.0900000001</v>
      </c>
    </row>
    <row r="133" spans="1:21" ht="15.75">
      <c r="A133" s="17">
        <v>111</v>
      </c>
      <c r="B133" s="18" t="s">
        <v>172</v>
      </c>
      <c r="C133" s="28" t="s">
        <v>23</v>
      </c>
      <c r="D133" s="21">
        <v>1230320659.95</v>
      </c>
      <c r="E133" s="21">
        <v>8409883.4399999995</v>
      </c>
      <c r="F133" s="26">
        <v>2262369.13</v>
      </c>
      <c r="G133" s="20">
        <v>6147514.3099999996</v>
      </c>
      <c r="H133" s="26">
        <v>1193357764.7</v>
      </c>
      <c r="I133" s="60">
        <f t="shared" si="71"/>
        <v>3.7929184655738801E-2</v>
      </c>
      <c r="J133" s="26">
        <v>1218920679.3099999</v>
      </c>
      <c r="K133" s="60">
        <f t="shared" si="72"/>
        <v>3.9314996745851906E-2</v>
      </c>
      <c r="L133" s="60">
        <f t="shared" si="73"/>
        <v>2.1420998267377256E-2</v>
      </c>
      <c r="M133" s="74">
        <f t="shared" si="67"/>
        <v>1.8560429471757504E-3</v>
      </c>
      <c r="N133" s="74">
        <f t="shared" si="68"/>
        <v>5.0434080037758912E-3</v>
      </c>
      <c r="O133" s="77">
        <f t="shared" si="69"/>
        <v>1634.0514502446545</v>
      </c>
      <c r="P133" s="77">
        <f t="shared" si="70"/>
        <v>8.241188162745491</v>
      </c>
      <c r="Q133" s="26">
        <v>552.22</v>
      </c>
      <c r="R133" s="26">
        <v>552.22</v>
      </c>
      <c r="S133" s="35">
        <v>830</v>
      </c>
      <c r="T133" s="35">
        <v>745950</v>
      </c>
      <c r="U133" s="35">
        <v>745950</v>
      </c>
    </row>
    <row r="134" spans="1:21" ht="15.75">
      <c r="A134" s="17">
        <v>112</v>
      </c>
      <c r="B134" s="18" t="s">
        <v>204</v>
      </c>
      <c r="C134" s="28" t="s">
        <v>73</v>
      </c>
      <c r="D134" s="26">
        <v>41875116.25</v>
      </c>
      <c r="E134" s="21">
        <v>1377723.93</v>
      </c>
      <c r="F134" s="26">
        <v>266612.49</v>
      </c>
      <c r="G134" s="20">
        <v>1111111.44</v>
      </c>
      <c r="H134" s="26">
        <v>171237745.38</v>
      </c>
      <c r="I134" s="60">
        <f t="shared" si="71"/>
        <v>5.4425489628277309E-3</v>
      </c>
      <c r="J134" s="26">
        <v>134893707.38999999</v>
      </c>
      <c r="K134" s="60">
        <f t="shared" si="72"/>
        <v>4.3508537980304334E-3</v>
      </c>
      <c r="L134" s="60">
        <f t="shared" si="73"/>
        <v>-0.21224314714812212</v>
      </c>
      <c r="M134" s="74">
        <f t="shared" si="67"/>
        <v>1.9764635071462546E-3</v>
      </c>
      <c r="N134" s="74">
        <f t="shared" si="68"/>
        <v>8.236940488169647E-3</v>
      </c>
      <c r="O134" s="77">
        <f t="shared" si="69"/>
        <v>129.03574274104216</v>
      </c>
      <c r="P134" s="77">
        <f t="shared" si="70"/>
        <v>1.0628597338047328</v>
      </c>
      <c r="Q134" s="26">
        <v>88.12</v>
      </c>
      <c r="R134" s="26">
        <v>92.15</v>
      </c>
      <c r="S134" s="35">
        <v>37</v>
      </c>
      <c r="T134" s="35">
        <v>1045398</v>
      </c>
      <c r="U134" s="35">
        <v>1045398</v>
      </c>
    </row>
    <row r="135" spans="1:21" ht="15.75">
      <c r="A135" s="17">
        <v>113</v>
      </c>
      <c r="B135" s="18" t="s">
        <v>173</v>
      </c>
      <c r="C135" s="28" t="s">
        <v>79</v>
      </c>
      <c r="D135" s="21">
        <f>6702753.42+3896369.16+8533928.45</f>
        <v>19133051.030000001</v>
      </c>
      <c r="E135" s="21">
        <v>39594.410000000003</v>
      </c>
      <c r="F135" s="26">
        <v>8731.27</v>
      </c>
      <c r="G135" s="20">
        <v>160759.35999999999</v>
      </c>
      <c r="H135" s="26">
        <v>20417722.75</v>
      </c>
      <c r="I135" s="60">
        <f t="shared" si="71"/>
        <v>6.4894837017222034E-4</v>
      </c>
      <c r="J135" s="26">
        <v>20323421.210000001</v>
      </c>
      <c r="K135" s="60">
        <f t="shared" si="72"/>
        <v>6.5551044649437727E-4</v>
      </c>
      <c r="L135" s="60">
        <f t="shared" si="73"/>
        <v>-4.6186120339987034E-3</v>
      </c>
      <c r="M135" s="74">
        <f t="shared" si="67"/>
        <v>4.296161512267353E-4</v>
      </c>
      <c r="N135" s="74">
        <f t="shared" si="68"/>
        <v>7.9100540375997043E-3</v>
      </c>
      <c r="O135" s="77">
        <f t="shared" si="69"/>
        <v>1.2595766106162767</v>
      </c>
      <c r="P135" s="77">
        <f t="shared" si="70"/>
        <v>9.9633190544714308E-3</v>
      </c>
      <c r="Q135" s="26">
        <v>1.2596000000000001</v>
      </c>
      <c r="R135" s="26">
        <v>1.2596000000000001</v>
      </c>
      <c r="S135" s="35">
        <v>8</v>
      </c>
      <c r="T135" s="35">
        <v>16045121.15</v>
      </c>
      <c r="U135" s="35">
        <v>16135121.15</v>
      </c>
    </row>
    <row r="136" spans="1:21" ht="15.75">
      <c r="A136" s="17">
        <v>114</v>
      </c>
      <c r="B136" s="28" t="s">
        <v>174</v>
      </c>
      <c r="C136" s="28" t="s">
        <v>31</v>
      </c>
      <c r="D136" s="21">
        <v>162709309.22</v>
      </c>
      <c r="E136" s="21">
        <v>1113700.29</v>
      </c>
      <c r="F136" s="26">
        <v>285879.63</v>
      </c>
      <c r="G136" s="20">
        <v>827820.66</v>
      </c>
      <c r="H136" s="26">
        <v>166678936.06</v>
      </c>
      <c r="I136" s="60">
        <f t="shared" si="71"/>
        <v>5.2976536718903552E-3</v>
      </c>
      <c r="J136" s="26">
        <v>164887298.53999999</v>
      </c>
      <c r="K136" s="60">
        <f t="shared" si="72"/>
        <v>5.3182653437318129E-3</v>
      </c>
      <c r="L136" s="60">
        <f t="shared" si="73"/>
        <v>-1.0749033815257068E-2</v>
      </c>
      <c r="M136" s="74">
        <f t="shared" si="67"/>
        <v>1.7337880633094883E-3</v>
      </c>
      <c r="N136" s="74">
        <f t="shared" si="68"/>
        <v>5.0205241236284739E-3</v>
      </c>
      <c r="O136" s="77">
        <f t="shared" si="69"/>
        <v>1.6740485325473911</v>
      </c>
      <c r="P136" s="77">
        <f t="shared" si="70"/>
        <v>8.4046010417790241E-3</v>
      </c>
      <c r="Q136" s="26">
        <v>1.67</v>
      </c>
      <c r="R136" s="26">
        <v>1.72</v>
      </c>
      <c r="S136" s="35">
        <v>97</v>
      </c>
      <c r="T136" s="35">
        <v>98548556</v>
      </c>
      <c r="U136" s="35">
        <v>98496128</v>
      </c>
    </row>
    <row r="137" spans="1:21" ht="15.75">
      <c r="A137" s="17">
        <v>115</v>
      </c>
      <c r="B137" s="18" t="s">
        <v>175</v>
      </c>
      <c r="C137" s="18" t="s">
        <v>35</v>
      </c>
      <c r="D137" s="21">
        <v>1632529753.23</v>
      </c>
      <c r="E137" s="21">
        <v>15448087.619999999</v>
      </c>
      <c r="F137" s="26">
        <v>3500297.27</v>
      </c>
      <c r="G137" s="20">
        <v>-23667964.030000001</v>
      </c>
      <c r="H137" s="26">
        <v>1617788030.6199999</v>
      </c>
      <c r="I137" s="60">
        <f t="shared" si="71"/>
        <v>5.1419098917629052E-2</v>
      </c>
      <c r="J137" s="26">
        <v>1674575343.8099999</v>
      </c>
      <c r="K137" s="60">
        <f t="shared" si="72"/>
        <v>5.4011655811633315E-2</v>
      </c>
      <c r="L137" s="60">
        <f t="shared" si="73"/>
        <v>3.5101825526695808E-2</v>
      </c>
      <c r="M137" s="74">
        <f t="shared" si="67"/>
        <v>2.0902596487752598E-3</v>
      </c>
      <c r="N137" s="74">
        <f t="shared" si="68"/>
        <v>-1.4133711043511821E-2</v>
      </c>
      <c r="O137" s="77">
        <f t="shared" si="69"/>
        <v>3840.3881812411955</v>
      </c>
      <c r="P137" s="77">
        <f t="shared" si="70"/>
        <v>-54.278936848580962</v>
      </c>
      <c r="Q137" s="26">
        <v>3824.95</v>
      </c>
      <c r="R137" s="26">
        <v>3850.97</v>
      </c>
      <c r="S137" s="35">
        <v>1480</v>
      </c>
      <c r="T137" s="35">
        <v>417869.86</v>
      </c>
      <c r="U137" s="35">
        <v>436043.25</v>
      </c>
    </row>
    <row r="138" spans="1:21" ht="15.75">
      <c r="A138" s="17">
        <v>116</v>
      </c>
      <c r="B138" s="31" t="s">
        <v>176</v>
      </c>
      <c r="C138" s="32" t="s">
        <v>38</v>
      </c>
      <c r="D138" s="21">
        <v>58534089.149999999</v>
      </c>
      <c r="E138" s="21">
        <v>836613.11</v>
      </c>
      <c r="F138" s="26">
        <v>87085.33</v>
      </c>
      <c r="G138" s="20">
        <v>749527.78</v>
      </c>
      <c r="H138" s="26">
        <v>57796141.329999998</v>
      </c>
      <c r="I138" s="60">
        <f t="shared" si="71"/>
        <v>1.8369684110999501E-3</v>
      </c>
      <c r="J138" s="26">
        <v>57875930.520000003</v>
      </c>
      <c r="K138" s="60">
        <f t="shared" si="72"/>
        <v>1.8667268991982258E-3</v>
      </c>
      <c r="L138" s="60">
        <f t="shared" si="73"/>
        <v>1.3805279758112368E-3</v>
      </c>
      <c r="M138" s="74">
        <f t="shared" si="67"/>
        <v>1.504689932715746E-3</v>
      </c>
      <c r="N138" s="74">
        <f t="shared" si="68"/>
        <v>1.2950595753116887E-2</v>
      </c>
      <c r="O138" s="77">
        <f t="shared" si="69"/>
        <v>107.26989526159747</v>
      </c>
      <c r="P138" s="77">
        <f t="shared" si="70"/>
        <v>1.3892090500121372</v>
      </c>
      <c r="Q138" s="26">
        <v>107.1722</v>
      </c>
      <c r="R138" s="26">
        <v>107.50660000000001</v>
      </c>
      <c r="S138" s="35">
        <v>47</v>
      </c>
      <c r="T138" s="35">
        <v>536715.36</v>
      </c>
      <c r="U138" s="35">
        <v>539535.63</v>
      </c>
    </row>
    <row r="139" spans="1:21" ht="15.75">
      <c r="A139" s="17">
        <v>117</v>
      </c>
      <c r="B139" s="18" t="s">
        <v>177</v>
      </c>
      <c r="C139" s="18" t="s">
        <v>40</v>
      </c>
      <c r="D139" s="21">
        <v>969019033</v>
      </c>
      <c r="E139" s="21">
        <v>12593419</v>
      </c>
      <c r="F139" s="21">
        <v>2376017</v>
      </c>
      <c r="G139" s="20">
        <v>-9401061</v>
      </c>
      <c r="H139" s="26">
        <v>1233563187.1800001</v>
      </c>
      <c r="I139" s="60">
        <f t="shared" si="71"/>
        <v>3.9207057007614163E-2</v>
      </c>
      <c r="J139" s="26">
        <v>1231107530.6199999</v>
      </c>
      <c r="K139" s="60">
        <f t="shared" si="72"/>
        <v>3.9708070739695421E-2</v>
      </c>
      <c r="L139" s="60">
        <f t="shared" si="73"/>
        <v>-1.9907018833903111E-3</v>
      </c>
      <c r="M139" s="74">
        <f t="shared" si="67"/>
        <v>1.9299833206311478E-3</v>
      </c>
      <c r="N139" s="74">
        <f t="shared" si="68"/>
        <v>-7.6362630933347617E-3</v>
      </c>
      <c r="O139" s="77">
        <f t="shared" si="69"/>
        <v>1.571624920090938</v>
      </c>
      <c r="P139" s="77">
        <f t="shared" si="70"/>
        <v>-1.2001341373855624E-2</v>
      </c>
      <c r="Q139" s="26">
        <v>1.57</v>
      </c>
      <c r="R139" s="26">
        <v>1.6</v>
      </c>
      <c r="S139" s="35">
        <v>1323</v>
      </c>
      <c r="T139" s="35">
        <v>782954214</v>
      </c>
      <c r="U139" s="35">
        <v>783334188</v>
      </c>
    </row>
    <row r="140" spans="1:21" ht="15.75">
      <c r="A140" s="17">
        <v>118</v>
      </c>
      <c r="B140" s="49" t="s">
        <v>178</v>
      </c>
      <c r="C140" s="18" t="s">
        <v>86</v>
      </c>
      <c r="D140" s="21">
        <v>4373391557.3599997</v>
      </c>
      <c r="E140" s="21">
        <v>15882890.17</v>
      </c>
      <c r="F140" s="26">
        <v>5916526.1100000003</v>
      </c>
      <c r="G140" s="20">
        <v>71365050.170000002</v>
      </c>
      <c r="H140" s="26">
        <v>4483962223.3800001</v>
      </c>
      <c r="I140" s="60">
        <f t="shared" si="71"/>
        <v>0.1425163820865506</v>
      </c>
      <c r="J140" s="26">
        <v>4402494784.3900003</v>
      </c>
      <c r="K140" s="60">
        <f t="shared" si="72"/>
        <v>0.14199781089931246</v>
      </c>
      <c r="L140" s="60">
        <f t="shared" si="73"/>
        <v>-1.816862741733578E-2</v>
      </c>
      <c r="M140" s="74">
        <f t="shared" si="67"/>
        <v>1.3439030367459665E-3</v>
      </c>
      <c r="N140" s="74">
        <f t="shared" si="68"/>
        <v>1.6210138493074486E-2</v>
      </c>
      <c r="O140" s="77">
        <f t="shared" si="69"/>
        <v>197.26219837453965</v>
      </c>
      <c r="P140" s="77">
        <f t="shared" si="70"/>
        <v>3.1976475550996204</v>
      </c>
      <c r="Q140" s="26">
        <v>194.43029999999999</v>
      </c>
      <c r="R140" s="26">
        <v>199.08269999999999</v>
      </c>
      <c r="S140" s="35">
        <v>27</v>
      </c>
      <c r="T140" s="35">
        <v>22317985</v>
      </c>
      <c r="U140" s="35">
        <v>22317985</v>
      </c>
    </row>
    <row r="141" spans="1:21" ht="15.75">
      <c r="A141" s="17">
        <v>119</v>
      </c>
      <c r="B141" s="18" t="s">
        <v>179</v>
      </c>
      <c r="C141" s="28" t="s">
        <v>42</v>
      </c>
      <c r="D141" s="21">
        <v>2194519588.8000002</v>
      </c>
      <c r="E141" s="21">
        <v>9792337.2599999998</v>
      </c>
      <c r="F141" s="26">
        <v>5958919.9800000004</v>
      </c>
      <c r="G141" s="20">
        <v>-29982238.02</v>
      </c>
      <c r="H141" s="26">
        <v>2198142630.6900001</v>
      </c>
      <c r="I141" s="60">
        <f t="shared" si="71"/>
        <v>6.9864847077147837E-2</v>
      </c>
      <c r="J141" s="26">
        <v>2179365989.1199999</v>
      </c>
      <c r="K141" s="60">
        <f t="shared" si="72"/>
        <v>7.0293143946639242E-2</v>
      </c>
      <c r="L141" s="60">
        <f t="shared" si="73"/>
        <v>-8.5420487769286187E-3</v>
      </c>
      <c r="M141" s="74">
        <f t="shared" si="67"/>
        <v>2.734244734362463E-3</v>
      </c>
      <c r="N141" s="74">
        <f t="shared" si="68"/>
        <v>-1.37573212437377E-2</v>
      </c>
      <c r="O141" s="77">
        <f t="shared" si="69"/>
        <v>3.0993931632905767</v>
      </c>
      <c r="P141" s="77">
        <f t="shared" si="70"/>
        <v>-4.2639347408032838E-2</v>
      </c>
      <c r="Q141" s="26">
        <v>3.2</v>
      </c>
      <c r="R141" s="26">
        <v>3.26</v>
      </c>
      <c r="S141" s="35">
        <v>2152</v>
      </c>
      <c r="T141" s="35">
        <v>702354087.34000003</v>
      </c>
      <c r="U141" s="35">
        <v>703158932.83000004</v>
      </c>
    </row>
    <row r="142" spans="1:21" ht="15.75">
      <c r="A142" s="17">
        <v>120</v>
      </c>
      <c r="B142" s="18" t="s">
        <v>180</v>
      </c>
      <c r="C142" s="18" t="s">
        <v>40</v>
      </c>
      <c r="D142" s="21">
        <v>382055480.55000001</v>
      </c>
      <c r="E142" s="21">
        <v>3747086.63</v>
      </c>
      <c r="F142" s="26">
        <v>1330900</v>
      </c>
      <c r="G142" s="20">
        <v>-4707983</v>
      </c>
      <c r="H142" s="26">
        <v>707240537</v>
      </c>
      <c r="I142" s="60">
        <f t="shared" si="71"/>
        <v>2.2478637770996079E-2</v>
      </c>
      <c r="J142" s="26">
        <v>707359357</v>
      </c>
      <c r="K142" s="60">
        <f t="shared" si="72"/>
        <v>2.2815127588404965E-2</v>
      </c>
      <c r="L142" s="60">
        <f t="shared" si="73"/>
        <v>1.6800507576109145E-4</v>
      </c>
      <c r="M142" s="74">
        <f t="shared" si="67"/>
        <v>1.881504763921572E-3</v>
      </c>
      <c r="N142" s="74">
        <f t="shared" si="68"/>
        <v>-6.6557160139467837E-3</v>
      </c>
      <c r="O142" s="77">
        <f t="shared" si="69"/>
        <v>1.2736596517412409</v>
      </c>
      <c r="P142" s="77">
        <f t="shared" si="70"/>
        <v>-8.4771169404120605E-3</v>
      </c>
      <c r="Q142" s="26">
        <v>1.27</v>
      </c>
      <c r="R142" s="26">
        <v>1.29</v>
      </c>
      <c r="S142" s="35">
        <v>99</v>
      </c>
      <c r="T142" s="35">
        <v>555333654</v>
      </c>
      <c r="U142" s="35">
        <v>555375493</v>
      </c>
    </row>
    <row r="143" spans="1:21" ht="15.75">
      <c r="A143" s="17">
        <v>121</v>
      </c>
      <c r="B143" s="18" t="s">
        <v>181</v>
      </c>
      <c r="C143" s="18" t="s">
        <v>33</v>
      </c>
      <c r="D143" s="21">
        <v>204842707.69999999</v>
      </c>
      <c r="E143" s="21">
        <v>1860778.46</v>
      </c>
      <c r="F143" s="26">
        <v>577153.29</v>
      </c>
      <c r="G143" s="20">
        <v>1283625.17</v>
      </c>
      <c r="H143" s="26">
        <v>208274666.25999999</v>
      </c>
      <c r="I143" s="60">
        <f t="shared" si="71"/>
        <v>6.6197149835228383E-3</v>
      </c>
      <c r="J143" s="26">
        <v>202897350.11000001</v>
      </c>
      <c r="K143" s="60">
        <f t="shared" si="72"/>
        <v>6.5442393378969919E-3</v>
      </c>
      <c r="L143" s="60">
        <f t="shared" si="73"/>
        <v>-2.5818388028466196E-2</v>
      </c>
      <c r="M143" s="74">
        <f t="shared" si="67"/>
        <v>2.8445580471460007E-3</v>
      </c>
      <c r="N143" s="74">
        <f t="shared" si="68"/>
        <v>6.3264757736071348E-3</v>
      </c>
      <c r="O143" s="77">
        <f t="shared" si="69"/>
        <v>156.86050970327511</v>
      </c>
      <c r="P143" s="77">
        <f t="shared" si="70"/>
        <v>0.99237421447343677</v>
      </c>
      <c r="Q143" s="26">
        <v>153.65</v>
      </c>
      <c r="R143" s="26">
        <v>155.87</v>
      </c>
      <c r="S143" s="35">
        <v>728</v>
      </c>
      <c r="T143" s="35">
        <v>1293489.04</v>
      </c>
      <c r="U143" s="35">
        <v>1293489.04</v>
      </c>
    </row>
    <row r="144" spans="1:21" ht="15.75">
      <c r="A144" s="17">
        <v>122</v>
      </c>
      <c r="B144" s="18" t="s">
        <v>182</v>
      </c>
      <c r="C144" s="18" t="s">
        <v>90</v>
      </c>
      <c r="D144" s="26">
        <v>2422694998.1199999</v>
      </c>
      <c r="E144" s="26">
        <v>13263830.119999999</v>
      </c>
      <c r="F144" s="26">
        <v>16428412.5</v>
      </c>
      <c r="G144" s="20">
        <v>-41116279.43</v>
      </c>
      <c r="H144" s="26">
        <v>2650806181.77</v>
      </c>
      <c r="I144" s="60">
        <f t="shared" si="71"/>
        <v>8.4252116279818129E-2</v>
      </c>
      <c r="J144" s="26">
        <v>2429188159.8000002</v>
      </c>
      <c r="K144" s="60">
        <f t="shared" si="72"/>
        <v>7.8350893719894163E-2</v>
      </c>
      <c r="L144" s="60">
        <f t="shared" si="73"/>
        <v>-8.3604008280235981E-2</v>
      </c>
      <c r="M144" s="74">
        <f t="shared" si="67"/>
        <v>6.7629230093697573E-3</v>
      </c>
      <c r="N144" s="74">
        <f t="shared" si="68"/>
        <v>-1.6925934396693744E-2</v>
      </c>
      <c r="O144" s="77">
        <f t="shared" si="69"/>
        <v>13.30946917915835</v>
      </c>
      <c r="P144" s="77">
        <f t="shared" si="70"/>
        <v>-0.22527520218125155</v>
      </c>
      <c r="Q144" s="26">
        <v>13.3096</v>
      </c>
      <c r="R144" s="26">
        <v>13.423999999999999</v>
      </c>
      <c r="S144" s="35">
        <v>6340</v>
      </c>
      <c r="T144" s="35">
        <v>187270955.22</v>
      </c>
      <c r="U144" s="35">
        <v>182515780.84</v>
      </c>
    </row>
    <row r="145" spans="1:21">
      <c r="A145" s="111" t="s">
        <v>43</v>
      </c>
      <c r="B145" s="111"/>
      <c r="C145" s="111"/>
      <c r="D145" s="111"/>
      <c r="E145" s="111"/>
      <c r="F145" s="111"/>
      <c r="G145" s="111"/>
      <c r="H145" s="34">
        <f t="shared" ref="H145" si="74">SUM(H121:H144)</f>
        <v>31462784542.600002</v>
      </c>
      <c r="I145" s="62">
        <f>(H145/$H$167)</f>
        <v>2.0169209439707611E-2</v>
      </c>
      <c r="J145" s="34">
        <f>SUM(J121:J144)</f>
        <v>31003962360.459999</v>
      </c>
      <c r="K145" s="62">
        <f>(J145/$J$167)</f>
        <v>1.96631800727444E-2</v>
      </c>
      <c r="L145" s="59">
        <f>((J145-H145)/H145)</f>
        <v>-1.4583012559449937E-2</v>
      </c>
      <c r="M145" s="52"/>
      <c r="N145" s="52"/>
      <c r="O145" s="78"/>
      <c r="P145" s="78"/>
      <c r="Q145" s="34"/>
      <c r="R145" s="34"/>
      <c r="S145" s="56">
        <f>SUM(S121:S144)</f>
        <v>47364</v>
      </c>
      <c r="T145" s="56"/>
      <c r="U145" s="76"/>
    </row>
    <row r="146" spans="1:21" ht="5.25" customHeight="1">
      <c r="A146" s="105"/>
      <c r="B146" s="106"/>
      <c r="C146" s="106"/>
      <c r="D146" s="106"/>
      <c r="E146" s="106"/>
      <c r="F146" s="106"/>
      <c r="G146" s="106"/>
      <c r="H146" s="106"/>
      <c r="I146" s="106"/>
      <c r="J146" s="106"/>
      <c r="K146" s="106"/>
      <c r="L146" s="106"/>
      <c r="M146" s="106"/>
      <c r="N146" s="106"/>
      <c r="O146" s="106"/>
      <c r="P146" s="106"/>
      <c r="Q146" s="106"/>
      <c r="R146" s="106"/>
      <c r="S146" s="106"/>
      <c r="T146" s="106"/>
      <c r="U146" s="107"/>
    </row>
    <row r="147" spans="1:21">
      <c r="A147" s="103" t="s">
        <v>4</v>
      </c>
      <c r="B147" s="103"/>
      <c r="C147" s="103"/>
      <c r="D147" s="103"/>
      <c r="E147" s="103"/>
      <c r="F147" s="103"/>
      <c r="G147" s="103"/>
      <c r="H147" s="103"/>
      <c r="I147" s="103"/>
      <c r="J147" s="103"/>
      <c r="K147" s="103"/>
      <c r="L147" s="103"/>
      <c r="M147" s="103"/>
      <c r="N147" s="103"/>
      <c r="O147" s="103"/>
      <c r="P147" s="103"/>
      <c r="Q147" s="103"/>
      <c r="R147" s="103"/>
      <c r="S147" s="103"/>
      <c r="T147" s="103"/>
      <c r="U147" s="103"/>
    </row>
    <row r="148" spans="1:21" ht="15.75">
      <c r="A148" s="17">
        <v>123</v>
      </c>
      <c r="B148" s="28" t="s">
        <v>183</v>
      </c>
      <c r="C148" s="28" t="s">
        <v>17</v>
      </c>
      <c r="D148" s="26">
        <v>496612672.60000002</v>
      </c>
      <c r="E148" s="26">
        <v>5894369.9900000002</v>
      </c>
      <c r="F148" s="19">
        <v>1487286.6</v>
      </c>
      <c r="G148" s="20">
        <v>1379931</v>
      </c>
      <c r="H148" s="26">
        <v>631565544</v>
      </c>
      <c r="I148" s="22">
        <f>(H148/$H$151)</f>
        <v>0.19836048740533327</v>
      </c>
      <c r="J148" s="26">
        <v>541002411</v>
      </c>
      <c r="K148" s="60">
        <f>(J148/$J$151)</f>
        <v>0.17951019170100865</v>
      </c>
      <c r="L148" s="60">
        <f>((J148-H148)/H148)</f>
        <v>-0.14339467037169462</v>
      </c>
      <c r="M148" s="52">
        <f>(F148/J148)</f>
        <v>2.7491311864042693E-3</v>
      </c>
      <c r="N148" s="74">
        <f>G148/J148</f>
        <v>2.5506928840655389E-3</v>
      </c>
      <c r="O148" s="77">
        <f>J148/U148</f>
        <v>46.882708997375708</v>
      </c>
      <c r="P148" s="77">
        <f>G148/U148</f>
        <v>0.11958339222532163</v>
      </c>
      <c r="Q148" s="26">
        <v>46.648299999999999</v>
      </c>
      <c r="R148" s="26">
        <v>48.0548</v>
      </c>
      <c r="S148" s="35">
        <v>219</v>
      </c>
      <c r="T148" s="35">
        <v>13321016</v>
      </c>
      <c r="U148" s="35">
        <v>11539487</v>
      </c>
    </row>
    <row r="149" spans="1:21" ht="15.75">
      <c r="A149" s="17">
        <v>124</v>
      </c>
      <c r="B149" s="28" t="s">
        <v>184</v>
      </c>
      <c r="C149" s="18" t="s">
        <v>35</v>
      </c>
      <c r="D149" s="26">
        <v>1919651429.5599999</v>
      </c>
      <c r="E149" s="26">
        <v>6366611.4299999997</v>
      </c>
      <c r="F149" s="26">
        <v>5884614.2000000002</v>
      </c>
      <c r="G149" s="20">
        <v>-52748652.969999999</v>
      </c>
      <c r="H149" s="26">
        <v>1944545053.0599999</v>
      </c>
      <c r="I149" s="22">
        <f t="shared" ref="I149:I150" si="75">(H149/$H$151)</f>
        <v>0.61073772654483383</v>
      </c>
      <c r="J149" s="26">
        <v>1909452911.46</v>
      </c>
      <c r="K149" s="60">
        <f t="shared" ref="K149:K150" si="76">(J149/$J$151)</f>
        <v>0.63357621188167623</v>
      </c>
      <c r="L149" s="60">
        <f t="shared" ref="L149:L151" si="77">((J149-H149)/H149)</f>
        <v>-1.8046453356674746E-2</v>
      </c>
      <c r="M149" s="52">
        <f>(F149/J149)</f>
        <v>3.0818325839208701E-3</v>
      </c>
      <c r="N149" s="74">
        <f>G149/J149</f>
        <v>-2.7625008531719949E-2</v>
      </c>
      <c r="O149" s="77">
        <f>J149/U149</f>
        <v>1.513027316595319</v>
      </c>
      <c r="P149" s="77">
        <f>G149/U149</f>
        <v>-4.1797392529671032E-2</v>
      </c>
      <c r="Q149" s="26">
        <v>1.5</v>
      </c>
      <c r="R149" s="26">
        <v>1.52</v>
      </c>
      <c r="S149" s="35">
        <v>9311</v>
      </c>
      <c r="T149" s="35">
        <v>1258968683.8199999</v>
      </c>
      <c r="U149" s="35">
        <v>1262008220.55</v>
      </c>
    </row>
    <row r="150" spans="1:21" ht="15.75">
      <c r="A150" s="17">
        <v>125</v>
      </c>
      <c r="B150" s="28" t="s">
        <v>185</v>
      </c>
      <c r="C150" s="18" t="s">
        <v>90</v>
      </c>
      <c r="D150" s="26">
        <v>562549460.01999998</v>
      </c>
      <c r="E150" s="26">
        <v>3233106.79</v>
      </c>
      <c r="F150" s="19">
        <v>3960872.69</v>
      </c>
      <c r="G150" s="20">
        <v>13558683.15</v>
      </c>
      <c r="H150" s="26">
        <v>607817574.63</v>
      </c>
      <c r="I150" s="22">
        <f t="shared" si="75"/>
        <v>0.19090178604983288</v>
      </c>
      <c r="J150" s="26">
        <v>563314569.23000002</v>
      </c>
      <c r="K150" s="60">
        <f t="shared" si="76"/>
        <v>0.18691359641731506</v>
      </c>
      <c r="L150" s="60">
        <f t="shared" si="77"/>
        <v>-7.3217700931221888E-2</v>
      </c>
      <c r="M150" s="52">
        <f>(F150/J150)</f>
        <v>7.0313691609541614E-3</v>
      </c>
      <c r="N150" s="74">
        <f>G150/J150</f>
        <v>2.4069470045011424E-2</v>
      </c>
      <c r="O150" s="77">
        <f>J150/U150</f>
        <v>15.169386221815104</v>
      </c>
      <c r="P150" s="77">
        <f>G150/U150</f>
        <v>0.36511908726718767</v>
      </c>
      <c r="Q150" s="26">
        <v>15.169499999999999</v>
      </c>
      <c r="R150" s="26">
        <v>15.306900000000001</v>
      </c>
      <c r="S150" s="35">
        <v>1521</v>
      </c>
      <c r="T150" s="35">
        <v>37175820.200000003</v>
      </c>
      <c r="U150" s="35">
        <v>37134961.229999997</v>
      </c>
    </row>
    <row r="151" spans="1:21" ht="15.75" customHeight="1">
      <c r="A151" s="111" t="s">
        <v>43</v>
      </c>
      <c r="B151" s="111"/>
      <c r="C151" s="111"/>
      <c r="D151" s="111"/>
      <c r="E151" s="111"/>
      <c r="F151" s="111"/>
      <c r="G151" s="111"/>
      <c r="H151" s="34">
        <f t="shared" ref="H151" si="78">SUM(H148:H150)</f>
        <v>3183928171.6900001</v>
      </c>
      <c r="I151" s="63">
        <f>(H151/$H$167)</f>
        <v>2.0410562850485133E-3</v>
      </c>
      <c r="J151" s="34">
        <f>SUM(J148:J150)</f>
        <v>3013769891.6900001</v>
      </c>
      <c r="K151" s="62">
        <f>(J151/$J$167)</f>
        <v>1.9113782744650649E-3</v>
      </c>
      <c r="L151" s="60">
        <f t="shared" si="77"/>
        <v>-5.344287647974217E-2</v>
      </c>
      <c r="M151" s="52"/>
      <c r="N151" s="52"/>
      <c r="O151" s="78"/>
      <c r="P151" s="78"/>
      <c r="Q151" s="34"/>
      <c r="R151" s="34"/>
      <c r="S151" s="56">
        <f>SUM(S148:S150)</f>
        <v>11051</v>
      </c>
      <c r="T151" s="56"/>
      <c r="U151" s="76"/>
    </row>
    <row r="152" spans="1:21" ht="7.5" customHeight="1">
      <c r="A152" s="108"/>
      <c r="B152" s="109"/>
      <c r="C152" s="109"/>
      <c r="D152" s="109"/>
      <c r="E152" s="109"/>
      <c r="F152" s="109"/>
      <c r="G152" s="109"/>
      <c r="H152" s="109"/>
      <c r="I152" s="109"/>
      <c r="J152" s="109"/>
      <c r="K152" s="109"/>
      <c r="L152" s="109"/>
      <c r="M152" s="109"/>
      <c r="N152" s="109"/>
      <c r="O152" s="109"/>
      <c r="P152" s="109"/>
      <c r="Q152" s="109"/>
      <c r="R152" s="109"/>
      <c r="S152" s="109"/>
      <c r="T152" s="109"/>
      <c r="U152" s="110"/>
    </row>
    <row r="153" spans="1:21" ht="15" customHeight="1">
      <c r="A153" s="120" t="s">
        <v>186</v>
      </c>
      <c r="B153" s="120"/>
      <c r="C153" s="120"/>
      <c r="D153" s="120"/>
      <c r="E153" s="120"/>
      <c r="F153" s="120"/>
      <c r="G153" s="120"/>
      <c r="H153" s="120"/>
      <c r="I153" s="120"/>
      <c r="J153" s="120"/>
      <c r="K153" s="120"/>
      <c r="L153" s="120"/>
      <c r="M153" s="120"/>
      <c r="N153" s="120"/>
      <c r="O153" s="120"/>
      <c r="P153" s="120"/>
      <c r="Q153" s="120"/>
      <c r="R153" s="120"/>
      <c r="S153" s="120"/>
      <c r="T153" s="120"/>
      <c r="U153" s="120"/>
    </row>
    <row r="154" spans="1:21">
      <c r="A154" s="104" t="s">
        <v>187</v>
      </c>
      <c r="B154" s="104"/>
      <c r="C154" s="104"/>
      <c r="D154" s="104"/>
      <c r="E154" s="104"/>
      <c r="F154" s="104"/>
      <c r="G154" s="104"/>
      <c r="H154" s="104"/>
      <c r="I154" s="104"/>
      <c r="J154" s="104"/>
      <c r="K154" s="104"/>
      <c r="L154" s="104"/>
      <c r="M154" s="104"/>
      <c r="N154" s="104"/>
      <c r="O154" s="104"/>
      <c r="P154" s="104"/>
      <c r="Q154" s="104"/>
      <c r="R154" s="104"/>
      <c r="S154" s="104"/>
      <c r="T154" s="104"/>
      <c r="U154" s="104"/>
    </row>
    <row r="155" spans="1:21" ht="15.75">
      <c r="A155" s="17">
        <v>126</v>
      </c>
      <c r="B155" s="28" t="s">
        <v>188</v>
      </c>
      <c r="C155" s="18" t="s">
        <v>116</v>
      </c>
      <c r="D155" s="50">
        <v>2687352068.9499998</v>
      </c>
      <c r="E155" s="21">
        <v>16883378.579999998</v>
      </c>
      <c r="F155" s="19">
        <v>3607031.4</v>
      </c>
      <c r="G155" s="20">
        <v>85362386.25</v>
      </c>
      <c r="H155" s="21">
        <v>3717340981.2600002</v>
      </c>
      <c r="I155" s="22">
        <f>(H155/$H$166)</f>
        <v>0.15985170674475077</v>
      </c>
      <c r="J155" s="21">
        <v>3544625134.9299998</v>
      </c>
      <c r="K155" s="60">
        <f>(J155/$J$166)</f>
        <v>0.14364063501875177</v>
      </c>
      <c r="L155" s="60">
        <f>((J155-H155)/H155)</f>
        <v>-4.6462201665303786E-2</v>
      </c>
      <c r="M155" s="52">
        <f>(F155/J155)</f>
        <v>1.0176058857268224E-3</v>
      </c>
      <c r="N155" s="71">
        <f>G155/J155</f>
        <v>2.4082204182554769E-2</v>
      </c>
      <c r="O155" s="54">
        <f>J155/U155</f>
        <v>1.7442218474027182</v>
      </c>
      <c r="P155" s="54">
        <f>G155/U155</f>
        <v>4.2004706668825144E-2</v>
      </c>
      <c r="Q155" s="21">
        <v>1.81</v>
      </c>
      <c r="R155" s="21">
        <v>1.84</v>
      </c>
      <c r="S155" s="41">
        <v>15275</v>
      </c>
      <c r="T155" s="41">
        <v>2026255409.5</v>
      </c>
      <c r="U155" s="35">
        <v>2032210031.2</v>
      </c>
    </row>
    <row r="156" spans="1:21" ht="15.75">
      <c r="A156" s="17">
        <v>127</v>
      </c>
      <c r="B156" s="18" t="s">
        <v>189</v>
      </c>
      <c r="C156" s="18" t="s">
        <v>35</v>
      </c>
      <c r="D156" s="26">
        <v>296209529.86000001</v>
      </c>
      <c r="E156" s="26">
        <v>1638763.68</v>
      </c>
      <c r="F156" s="26">
        <v>892601.6</v>
      </c>
      <c r="G156" s="20">
        <v>-4902298.95</v>
      </c>
      <c r="H156" s="26">
        <v>311068423.81999999</v>
      </c>
      <c r="I156" s="22">
        <f>(H156/$H$166)</f>
        <v>1.3376448034415223E-2</v>
      </c>
      <c r="J156" s="26">
        <v>309021966.91000003</v>
      </c>
      <c r="K156" s="60">
        <f>(J156/$J$166)</f>
        <v>1.2522653277008005E-2</v>
      </c>
      <c r="L156" s="60">
        <f>((J156-H156)/H156)</f>
        <v>-6.578799882254043E-3</v>
      </c>
      <c r="M156" s="52">
        <f>(F156/J156)</f>
        <v>2.8884729746735528E-3</v>
      </c>
      <c r="N156" s="71">
        <f>G156/J156</f>
        <v>-1.5863917374610952E-2</v>
      </c>
      <c r="O156" s="54">
        <f>J156/U156</f>
        <v>277.21641727754002</v>
      </c>
      <c r="P156" s="54">
        <f>G156/U156</f>
        <v>-4.3977383385765672</v>
      </c>
      <c r="Q156" s="26">
        <v>275.56</v>
      </c>
      <c r="R156" s="26">
        <v>278.35000000000002</v>
      </c>
      <c r="S156" s="35">
        <v>536</v>
      </c>
      <c r="T156" s="35">
        <v>1108467.93</v>
      </c>
      <c r="U156" s="35">
        <v>1114731.8400000001</v>
      </c>
    </row>
    <row r="157" spans="1:21" ht="7.5" customHeight="1">
      <c r="A157" s="108"/>
      <c r="B157" s="109"/>
      <c r="C157" s="109"/>
      <c r="D157" s="109"/>
      <c r="E157" s="109"/>
      <c r="F157" s="109"/>
      <c r="G157" s="109"/>
      <c r="H157" s="109"/>
      <c r="I157" s="109"/>
      <c r="J157" s="109"/>
      <c r="K157" s="109"/>
      <c r="L157" s="109"/>
      <c r="M157" s="109"/>
      <c r="N157" s="109"/>
      <c r="O157" s="109"/>
      <c r="P157" s="109"/>
      <c r="Q157" s="109"/>
      <c r="R157" s="109"/>
      <c r="S157" s="109"/>
      <c r="T157" s="109"/>
      <c r="U157" s="110"/>
    </row>
    <row r="158" spans="1:21" ht="15" customHeight="1">
      <c r="A158" s="104" t="s">
        <v>144</v>
      </c>
      <c r="B158" s="104"/>
      <c r="C158" s="104"/>
      <c r="D158" s="104"/>
      <c r="E158" s="104"/>
      <c r="F158" s="104"/>
      <c r="G158" s="104"/>
      <c r="H158" s="104"/>
      <c r="I158" s="104"/>
      <c r="J158" s="104"/>
      <c r="K158" s="104"/>
      <c r="L158" s="104"/>
      <c r="M158" s="104"/>
      <c r="N158" s="104"/>
      <c r="O158" s="104"/>
      <c r="P158" s="104"/>
      <c r="Q158" s="104"/>
      <c r="R158" s="104"/>
      <c r="S158" s="104"/>
      <c r="T158" s="104"/>
      <c r="U158" s="104"/>
    </row>
    <row r="159" spans="1:21" ht="15" customHeight="1">
      <c r="A159" s="17">
        <v>128</v>
      </c>
      <c r="B159" s="28" t="s">
        <v>190</v>
      </c>
      <c r="C159" s="18" t="s">
        <v>191</v>
      </c>
      <c r="D159" s="20">
        <v>236525970</v>
      </c>
      <c r="E159" s="26">
        <v>3337564</v>
      </c>
      <c r="F159" s="26">
        <v>789758</v>
      </c>
      <c r="G159" s="20">
        <v>2547806</v>
      </c>
      <c r="H159" s="26">
        <v>501042638</v>
      </c>
      <c r="I159" s="22">
        <f>(H159/$H$166)</f>
        <v>2.154564815010454E-2</v>
      </c>
      <c r="J159" s="26">
        <v>469056191</v>
      </c>
      <c r="K159" s="73">
        <f>(J159/$J$166)</f>
        <v>1.9007800985998333E-2</v>
      </c>
      <c r="L159" s="73">
        <f>((J159-H159)/H159)</f>
        <v>-6.3839770458816725E-2</v>
      </c>
      <c r="M159" s="52">
        <f t="shared" ref="M159:M165" si="79">(F159/J159)</f>
        <v>1.6837172499872194E-3</v>
      </c>
      <c r="N159" s="74">
        <f t="shared" ref="N159:N165" si="80">G159/J159</f>
        <v>5.4317713930355097E-3</v>
      </c>
      <c r="O159" s="77">
        <f t="shared" ref="O159:O165" si="81">J159/U159</f>
        <v>1012.2473536895125</v>
      </c>
      <c r="P159" s="77">
        <f t="shared" ref="P159:P165" si="82">G159/U159</f>
        <v>5.4982962184465913</v>
      </c>
      <c r="Q159" s="26">
        <v>1012.25</v>
      </c>
      <c r="R159" s="26">
        <v>1012.25</v>
      </c>
      <c r="S159" s="35">
        <v>23</v>
      </c>
      <c r="T159" s="35">
        <v>461480</v>
      </c>
      <c r="U159" s="35">
        <v>463381</v>
      </c>
    </row>
    <row r="160" spans="1:21" ht="15" customHeight="1">
      <c r="A160" s="17">
        <v>129</v>
      </c>
      <c r="B160" s="28" t="s">
        <v>192</v>
      </c>
      <c r="C160" s="32" t="s">
        <v>56</v>
      </c>
      <c r="D160" s="26">
        <v>17155413.850000001</v>
      </c>
      <c r="E160" s="26">
        <v>510008.95</v>
      </c>
      <c r="F160" s="26">
        <v>250066.58</v>
      </c>
      <c r="G160" s="20">
        <v>259942.37</v>
      </c>
      <c r="H160" s="26">
        <v>52520881.689999998</v>
      </c>
      <c r="I160" s="22">
        <f t="shared" ref="I160:I165" si="83">(H160/$H$166)</f>
        <v>2.2584833138013455E-3</v>
      </c>
      <c r="J160" s="26">
        <v>57877580.479999997</v>
      </c>
      <c r="K160" s="73">
        <f t="shared" ref="K160:K165" si="84">(J160/$J$166)</f>
        <v>2.3454024324240114E-3</v>
      </c>
      <c r="L160" s="73">
        <f t="shared" ref="L160:L165" si="85">((J160-H160)/H160)</f>
        <v>0.10199179102927965</v>
      </c>
      <c r="M160" s="52">
        <f t="shared" si="79"/>
        <v>4.3206121943264756E-3</v>
      </c>
      <c r="N160" s="74">
        <f t="shared" si="80"/>
        <v>4.4912445863182701E-3</v>
      </c>
      <c r="O160" s="77">
        <f t="shared" si="81"/>
        <v>104.70880126205793</v>
      </c>
      <c r="P160" s="77">
        <f t="shared" si="82"/>
        <v>0.4702728368080934</v>
      </c>
      <c r="Q160" s="26">
        <v>104.75</v>
      </c>
      <c r="R160" s="26">
        <v>104.75</v>
      </c>
      <c r="S160" s="35">
        <f>43+4</f>
        <v>47</v>
      </c>
      <c r="T160" s="35">
        <v>509543</v>
      </c>
      <c r="U160" s="35">
        <v>552748</v>
      </c>
    </row>
    <row r="161" spans="1:21" ht="15.75">
      <c r="A161" s="17">
        <v>130</v>
      </c>
      <c r="B161" s="28" t="s">
        <v>193</v>
      </c>
      <c r="C161" s="32" t="s">
        <v>167</v>
      </c>
      <c r="D161" s="26">
        <v>52895792.880000003</v>
      </c>
      <c r="E161" s="26"/>
      <c r="F161" s="26">
        <v>193759.92</v>
      </c>
      <c r="G161" s="20">
        <v>341982.02</v>
      </c>
      <c r="H161" s="26">
        <v>51419644.299999997</v>
      </c>
      <c r="I161" s="22">
        <f t="shared" si="83"/>
        <v>2.2111283153736878E-3</v>
      </c>
      <c r="J161" s="26">
        <v>51689431.939999998</v>
      </c>
      <c r="K161" s="73">
        <f t="shared" si="84"/>
        <v>2.0946369630047705E-3</v>
      </c>
      <c r="L161" s="73">
        <f t="shared" si="85"/>
        <v>5.2467815301476253E-3</v>
      </c>
      <c r="M161" s="52">
        <f t="shared" si="79"/>
        <v>3.7485403249335851E-3</v>
      </c>
      <c r="N161" s="74">
        <f t="shared" si="80"/>
        <v>6.6160916683504186E-3</v>
      </c>
      <c r="O161" s="77">
        <f t="shared" si="81"/>
        <v>102.61866481107951</v>
      </c>
      <c r="P161" s="77">
        <f t="shared" si="82"/>
        <v>0.67893449327382749</v>
      </c>
      <c r="Q161" s="26">
        <v>99.36</v>
      </c>
      <c r="R161" s="26">
        <v>102.62</v>
      </c>
      <c r="S161" s="35">
        <v>5</v>
      </c>
      <c r="T161" s="35">
        <v>506225</v>
      </c>
      <c r="U161" s="35">
        <v>503704</v>
      </c>
    </row>
    <row r="162" spans="1:21" ht="15.75">
      <c r="A162" s="17">
        <v>131</v>
      </c>
      <c r="B162" s="18" t="s">
        <v>194</v>
      </c>
      <c r="C162" s="18" t="s">
        <v>69</v>
      </c>
      <c r="D162" s="26">
        <v>9279860540.0300007</v>
      </c>
      <c r="E162" s="26">
        <v>109596154.81</v>
      </c>
      <c r="F162" s="26">
        <v>15474955.720000001</v>
      </c>
      <c r="G162" s="20">
        <v>94121199.099999994</v>
      </c>
      <c r="H162" s="26">
        <v>7725921453.0600004</v>
      </c>
      <c r="I162" s="22">
        <f t="shared" si="83"/>
        <v>0.3322271851502091</v>
      </c>
      <c r="J162" s="26">
        <v>9279860540.0300007</v>
      </c>
      <c r="K162" s="73">
        <f t="shared" si="84"/>
        <v>0.3760524766694941</v>
      </c>
      <c r="L162" s="73">
        <f t="shared" si="85"/>
        <v>0.20113317180496737</v>
      </c>
      <c r="M162" s="52">
        <f t="shared" si="79"/>
        <v>1.6675849441105902E-3</v>
      </c>
      <c r="N162" s="74">
        <f t="shared" si="80"/>
        <v>1.014252301465036E-2</v>
      </c>
      <c r="O162" s="77">
        <f t="shared" si="81"/>
        <v>120.98280108505473</v>
      </c>
      <c r="P162" s="77">
        <f t="shared" si="82"/>
        <v>1.2270708443820342</v>
      </c>
      <c r="Q162" s="26">
        <v>126.56</v>
      </c>
      <c r="R162" s="26">
        <v>126.56</v>
      </c>
      <c r="S162" s="35">
        <v>478</v>
      </c>
      <c r="T162" s="35">
        <v>64634839</v>
      </c>
      <c r="U162" s="35">
        <v>76703965</v>
      </c>
    </row>
    <row r="163" spans="1:21" ht="15.75">
      <c r="A163" s="17">
        <v>132</v>
      </c>
      <c r="B163" s="18" t="s">
        <v>195</v>
      </c>
      <c r="C163" s="18" t="s">
        <v>196</v>
      </c>
      <c r="D163" s="26">
        <v>375106737.13999999</v>
      </c>
      <c r="E163" s="26">
        <v>3971429.43</v>
      </c>
      <c r="F163" s="26">
        <v>836613.56</v>
      </c>
      <c r="G163" s="20">
        <v>3134815.87</v>
      </c>
      <c r="H163" s="26">
        <v>369231843.69999999</v>
      </c>
      <c r="I163" s="22">
        <f t="shared" si="83"/>
        <v>1.5877569665387628E-2</v>
      </c>
      <c r="J163" s="26">
        <v>407450370.97000003</v>
      </c>
      <c r="K163" s="73">
        <f t="shared" si="84"/>
        <v>1.6511317218855241E-2</v>
      </c>
      <c r="L163" s="73">
        <f t="shared" si="85"/>
        <v>0.10350821014520217</v>
      </c>
      <c r="M163" s="52">
        <f t="shared" si="79"/>
        <v>2.0532894791783088E-3</v>
      </c>
      <c r="N163" s="74">
        <f t="shared" si="80"/>
        <v>7.6937366937157902E-3</v>
      </c>
      <c r="O163" s="77">
        <f t="shared" si="81"/>
        <v>102.82801930878537</v>
      </c>
      <c r="P163" s="77">
        <f t="shared" si="82"/>
        <v>0.79113170529811772</v>
      </c>
      <c r="Q163" s="51">
        <v>102.83</v>
      </c>
      <c r="R163" s="51">
        <v>102.83</v>
      </c>
      <c r="S163" s="35">
        <f>355+8+4</f>
        <v>367</v>
      </c>
      <c r="T163" s="35">
        <v>3615761</v>
      </c>
      <c r="U163" s="35">
        <v>3962445</v>
      </c>
    </row>
    <row r="164" spans="1:21" ht="15" customHeight="1">
      <c r="A164" s="17">
        <v>133</v>
      </c>
      <c r="B164" s="28" t="s">
        <v>197</v>
      </c>
      <c r="C164" s="28" t="s">
        <v>35</v>
      </c>
      <c r="D164" s="26">
        <v>8266624704.6999998</v>
      </c>
      <c r="E164" s="26">
        <v>177130019.56999999</v>
      </c>
      <c r="F164" s="26">
        <v>13552517.869999999</v>
      </c>
      <c r="G164" s="20">
        <v>163577501.71000001</v>
      </c>
      <c r="H164" s="26">
        <v>8247928359.2200003</v>
      </c>
      <c r="I164" s="22">
        <f t="shared" si="83"/>
        <v>0.35467433091996292</v>
      </c>
      <c r="J164" s="26">
        <v>8228345540.79</v>
      </c>
      <c r="K164" s="73">
        <f t="shared" si="84"/>
        <v>0.33344140315027448</v>
      </c>
      <c r="L164" s="73">
        <f t="shared" si="85"/>
        <v>-2.374271159631197E-3</v>
      </c>
      <c r="M164" s="52">
        <f t="shared" si="79"/>
        <v>1.6470525943297744E-3</v>
      </c>
      <c r="N164" s="74">
        <f t="shared" si="80"/>
        <v>1.9879756009164268E-2</v>
      </c>
      <c r="O164" s="77">
        <f t="shared" si="81"/>
        <v>122.83706629941412</v>
      </c>
      <c r="P164" s="77">
        <f t="shared" si="82"/>
        <v>2.4419709069138875</v>
      </c>
      <c r="Q164" s="26">
        <v>122.84</v>
      </c>
      <c r="R164" s="26">
        <v>122.84</v>
      </c>
      <c r="S164" s="35">
        <v>1035</v>
      </c>
      <c r="T164" s="35">
        <v>73119965.909999996</v>
      </c>
      <c r="U164" s="35">
        <v>66985851.979999997</v>
      </c>
    </row>
    <row r="165" spans="1:21" ht="15.75">
      <c r="A165" s="17">
        <v>134</v>
      </c>
      <c r="B165" s="18" t="s">
        <v>198</v>
      </c>
      <c r="C165" s="18" t="s">
        <v>40</v>
      </c>
      <c r="D165" s="26">
        <v>1739145820</v>
      </c>
      <c r="E165" s="26">
        <v>22476558</v>
      </c>
      <c r="F165" s="26">
        <v>3978670</v>
      </c>
      <c r="G165" s="20">
        <v>18497888</v>
      </c>
      <c r="H165" s="26">
        <v>2278460345</v>
      </c>
      <c r="I165" s="22">
        <f t="shared" si="83"/>
        <v>9.7977499705994689E-2</v>
      </c>
      <c r="J165" s="26">
        <v>2329109337</v>
      </c>
      <c r="K165" s="73">
        <f t="shared" si="84"/>
        <v>9.4383674284189381E-2</v>
      </c>
      <c r="L165" s="73">
        <f t="shared" si="85"/>
        <v>2.222948146152616E-2</v>
      </c>
      <c r="M165" s="52">
        <f t="shared" si="79"/>
        <v>1.7082366794874087E-3</v>
      </c>
      <c r="N165" s="74">
        <f t="shared" si="80"/>
        <v>7.9420436413801549E-3</v>
      </c>
      <c r="O165" s="77">
        <f t="shared" si="81"/>
        <v>1.1624225547936313</v>
      </c>
      <c r="P165" s="77">
        <f t="shared" si="82"/>
        <v>9.2320106598956352E-3</v>
      </c>
      <c r="Q165" s="20">
        <v>1.1599999999999999</v>
      </c>
      <c r="R165" s="20">
        <v>1.1599999999999999</v>
      </c>
      <c r="S165" s="35">
        <v>100</v>
      </c>
      <c r="T165" s="35">
        <v>1998950555</v>
      </c>
      <c r="U165" s="35">
        <v>2003668397</v>
      </c>
    </row>
    <row r="166" spans="1:21">
      <c r="A166" s="111" t="s">
        <v>43</v>
      </c>
      <c r="B166" s="111"/>
      <c r="C166" s="111"/>
      <c r="D166" s="111"/>
      <c r="E166" s="111"/>
      <c r="F166" s="111"/>
      <c r="G166" s="111"/>
      <c r="H166" s="34">
        <f t="shared" ref="H166" si="86">SUM(H155:H165)</f>
        <v>23254934570.050003</v>
      </c>
      <c r="I166" s="63">
        <f>(H166/$H$167)</f>
        <v>1.4907569456065559E-2</v>
      </c>
      <c r="J166" s="34">
        <f>SUM(J155:J165)</f>
        <v>24677036094.049999</v>
      </c>
      <c r="K166" s="62">
        <f>(J166/$J$167)</f>
        <v>1.5650548105352526E-2</v>
      </c>
      <c r="L166" s="75">
        <f>((J166-H166)/H166)</f>
        <v>6.1152677928043658E-2</v>
      </c>
      <c r="M166" s="74"/>
      <c r="N166" s="72"/>
      <c r="O166" s="78"/>
      <c r="P166" s="78"/>
      <c r="Q166" s="34"/>
      <c r="R166" s="34"/>
      <c r="S166" s="56">
        <f>SUM(S155:S165)</f>
        <v>17866</v>
      </c>
      <c r="T166" s="56"/>
      <c r="U166" s="56"/>
    </row>
    <row r="167" spans="1:21">
      <c r="A167" s="100" t="s">
        <v>199</v>
      </c>
      <c r="B167" s="101"/>
      <c r="C167" s="101"/>
      <c r="D167" s="101"/>
      <c r="E167" s="101"/>
      <c r="F167" s="101"/>
      <c r="G167" s="102"/>
      <c r="H167" s="81">
        <f>SUM(H21,H53,H86,H111,H118,H145,H151,H166)</f>
        <v>1559941386728.7458</v>
      </c>
      <c r="I167" s="82"/>
      <c r="J167" s="81">
        <f>SUM(J21,J53,J86,J111,J118,J145,J151,J166)</f>
        <v>1576752196021.1985</v>
      </c>
      <c r="K167" s="82"/>
      <c r="L167" s="87">
        <f>((J167-H167)/H167)</f>
        <v>1.0776564706514722E-2</v>
      </c>
      <c r="M167" s="83"/>
      <c r="N167" s="84"/>
      <c r="O167" s="85"/>
      <c r="P167" s="85"/>
      <c r="Q167" s="81"/>
      <c r="R167" s="81"/>
      <c r="S167" s="86">
        <f>SUM(S21,S53,S86,S111,S118,S145,S151,S166)</f>
        <v>403673</v>
      </c>
      <c r="T167" s="86"/>
      <c r="U167" s="86"/>
    </row>
    <row r="168" spans="1:21" ht="3.75" customHeight="1">
      <c r="A168" s="68"/>
      <c r="B168" s="68"/>
      <c r="C168" s="68"/>
      <c r="D168" s="69"/>
      <c r="E168" s="69"/>
      <c r="F168" s="69"/>
      <c r="G168" s="70"/>
      <c r="H168" s="69"/>
      <c r="I168" s="69"/>
      <c r="J168" s="69"/>
      <c r="K168" s="69"/>
      <c r="L168" s="69"/>
      <c r="M168" s="69"/>
      <c r="N168" s="69"/>
      <c r="O168" s="69"/>
      <c r="P168" s="69"/>
      <c r="Q168" s="69"/>
      <c r="R168" s="69"/>
      <c r="S168" s="69"/>
      <c r="T168" s="69"/>
      <c r="U168" s="69"/>
    </row>
    <row r="169" spans="1:21" ht="15.75">
      <c r="A169" s="9" t="s">
        <v>200</v>
      </c>
      <c r="B169" s="8" t="s">
        <v>205</v>
      </c>
      <c r="C169" s="12"/>
      <c r="D169" s="10"/>
      <c r="E169" s="10"/>
      <c r="F169" s="10"/>
      <c r="G169" s="11"/>
      <c r="H169" s="13"/>
      <c r="I169" s="10"/>
      <c r="J169" s="13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4"/>
    </row>
  </sheetData>
  <sheetProtection algorithmName="SHA-512" hashValue="hoT0IbWt4GCrIYWW57Gd3tsbJqYZWys/MsC7yTMDgM5a7epTtj4qf0XrpDbB2LBfb8vHwdpdFxySFBaUkNR8nw==" saltValue="GlwYx9LdVamqpuZZAzWJ+g==" spinCount="100000" sheet="1" objects="1" scenarios="1"/>
  <mergeCells count="31">
    <mergeCell ref="A55:U55"/>
    <mergeCell ref="A88:U88"/>
    <mergeCell ref="A89:U89"/>
    <mergeCell ref="A87:U87"/>
    <mergeCell ref="A101:U101"/>
    <mergeCell ref="A86:G86"/>
    <mergeCell ref="A111:G111"/>
    <mergeCell ref="A118:G118"/>
    <mergeCell ref="A145:G145"/>
    <mergeCell ref="A158:U158"/>
    <mergeCell ref="A157:U157"/>
    <mergeCell ref="A113:U113"/>
    <mergeCell ref="A153:U153"/>
    <mergeCell ref="A120:U120"/>
    <mergeCell ref="A1:U1"/>
    <mergeCell ref="A3:U3"/>
    <mergeCell ref="A22:U22"/>
    <mergeCell ref="A54:U54"/>
    <mergeCell ref="A21:G21"/>
    <mergeCell ref="A4:U4"/>
    <mergeCell ref="A23:U23"/>
    <mergeCell ref="A53:G53"/>
    <mergeCell ref="A167:G167"/>
    <mergeCell ref="A147:U147"/>
    <mergeCell ref="A154:U154"/>
    <mergeCell ref="A112:U112"/>
    <mergeCell ref="A119:U119"/>
    <mergeCell ref="A146:U146"/>
    <mergeCell ref="A152:U152"/>
    <mergeCell ref="A151:G151"/>
    <mergeCell ref="A166:G166"/>
  </mergeCells>
  <pageMargins left="0.7" right="0.7" top="0.75" bottom="0.75" header="0.3" footer="0.3"/>
  <ignoredErrors>
    <ignoredError sqref="I21 I53 I111 I151 I166 I86 I118 I145" formula="1"/>
    <ignoredError sqref="F116" numberStoredAsText="1"/>
    <ignoredError sqref="L98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8"/>
  <sheetViews>
    <sheetView zoomScaleNormal="100" workbookViewId="0">
      <selection activeCell="J1" sqref="J1"/>
    </sheetView>
  </sheetViews>
  <sheetFormatPr defaultRowHeight="15"/>
  <cols>
    <col min="1" max="1" width="34" customWidth="1"/>
    <col min="2" max="2" width="18" customWidth="1"/>
    <col min="3" max="3" width="18.7109375" customWidth="1"/>
    <col min="4" max="4" width="16.28515625" customWidth="1"/>
  </cols>
  <sheetData>
    <row r="1" spans="1:6">
      <c r="A1" s="2"/>
      <c r="B1" s="2"/>
      <c r="C1" s="2"/>
      <c r="D1" s="2"/>
      <c r="E1" s="3"/>
      <c r="F1" s="3"/>
    </row>
    <row r="2" spans="1:6">
      <c r="A2" s="2"/>
      <c r="B2" s="2"/>
      <c r="C2" s="2"/>
      <c r="D2" s="2"/>
      <c r="E2" s="3"/>
      <c r="F2" s="3"/>
    </row>
    <row r="3" spans="1:6">
      <c r="A3" s="2"/>
      <c r="B3" s="2"/>
      <c r="C3" s="2"/>
      <c r="D3" s="2"/>
      <c r="E3" s="3"/>
      <c r="F3" s="3"/>
    </row>
    <row r="4" spans="1:6" ht="33" customHeight="1">
      <c r="A4" s="89" t="s">
        <v>5</v>
      </c>
      <c r="B4" s="124" t="s">
        <v>209</v>
      </c>
      <c r="C4" s="90" t="s">
        <v>10</v>
      </c>
      <c r="D4" s="90" t="s">
        <v>206</v>
      </c>
      <c r="E4" s="3"/>
      <c r="F4" s="3"/>
    </row>
    <row r="5" spans="1:6" ht="19.5" customHeight="1">
      <c r="A5" s="91" t="s">
        <v>0</v>
      </c>
      <c r="B5" s="125">
        <f>16908516222.28/1000000000</f>
        <v>16.908516222279999</v>
      </c>
      <c r="C5" s="92">
        <f>17475775177.48/1000000000</f>
        <v>17.475775177479999</v>
      </c>
      <c r="D5" s="92">
        <f>17162105333.0666/1000000000</f>
        <v>17.162105333066602</v>
      </c>
      <c r="E5" s="3"/>
      <c r="F5" s="3"/>
    </row>
    <row r="6" spans="1:6" ht="15.75">
      <c r="A6" s="89" t="s">
        <v>1</v>
      </c>
      <c r="B6" s="125">
        <f>695062692480.01/1000000000</f>
        <v>695.06269248001001</v>
      </c>
      <c r="C6" s="92">
        <f>769365954778.57/1000000000</f>
        <v>769.36595477856997</v>
      </c>
      <c r="D6" s="92">
        <f>804660015743.95/1000000000</f>
        <v>804.66001574395</v>
      </c>
      <c r="E6" s="3"/>
      <c r="F6" s="3"/>
    </row>
    <row r="7" spans="1:6" ht="15.75">
      <c r="A7" s="89" t="s">
        <v>6</v>
      </c>
      <c r="B7" s="125">
        <f>353822145940.99/1000000000</f>
        <v>353.82214594098997</v>
      </c>
      <c r="C7" s="92">
        <f>337464792262.42/1000000000</f>
        <v>337.46479226241996</v>
      </c>
      <c r="D7" s="92">
        <f>325727237004.36/1000000000</f>
        <v>325.72723700436001</v>
      </c>
      <c r="E7" s="3"/>
      <c r="F7" s="3"/>
    </row>
    <row r="8" spans="1:6" ht="15.75">
      <c r="A8" s="89" t="s">
        <v>2</v>
      </c>
      <c r="B8" s="125">
        <f>321922342334.32/1000000000</f>
        <v>321.92234233432004</v>
      </c>
      <c r="C8" s="92">
        <f>321187212794.635/1000000000</f>
        <v>321.187212794635</v>
      </c>
      <c r="D8" s="92">
        <f>324113593017.002/1000000000</f>
        <v>324.11359301700202</v>
      </c>
      <c r="E8" s="3"/>
      <c r="F8" s="3"/>
    </row>
    <row r="9" spans="1:6" ht="15.75">
      <c r="A9" s="89" t="s">
        <v>7</v>
      </c>
      <c r="B9" s="125">
        <f>46357532510.62/1000000000</f>
        <v>46.357532510620004</v>
      </c>
      <c r="C9" s="92">
        <f>46530408764.6/1000000000</f>
        <v>46.530408764599997</v>
      </c>
      <c r="D9" s="92">
        <f>46394476576.62/1000000000</f>
        <v>46.394476576620001</v>
      </c>
      <c r="E9" s="3"/>
      <c r="F9" s="3"/>
    </row>
    <row r="10" spans="1:6" ht="15.75">
      <c r="A10" s="89" t="s">
        <v>3</v>
      </c>
      <c r="B10" s="125">
        <f>30595879635.8702/1000000000</f>
        <v>30.595879635870201</v>
      </c>
      <c r="C10" s="92">
        <f>31462784542.6/1000000000</f>
        <v>31.462784542599998</v>
      </c>
      <c r="D10" s="92">
        <f>31003962360.46/1000000000</f>
        <v>31.003962360459997</v>
      </c>
      <c r="E10" s="3"/>
      <c r="F10" s="3"/>
    </row>
    <row r="11" spans="1:6" ht="15.75">
      <c r="A11" s="89" t="s">
        <v>4</v>
      </c>
      <c r="B11" s="125">
        <f>3055092712.49/1000000000</f>
        <v>3.0550927124899996</v>
      </c>
      <c r="C11" s="92">
        <f>3183928171.69/1000000000</f>
        <v>3.1839281716899999</v>
      </c>
      <c r="D11" s="92">
        <f>3013769891.69/1000000000</f>
        <v>3.01376989169</v>
      </c>
      <c r="E11" s="3"/>
      <c r="F11" s="3"/>
    </row>
    <row r="12" spans="1:6" ht="15.75">
      <c r="A12" s="89" t="s">
        <v>8</v>
      </c>
      <c r="B12" s="125">
        <f>22969877180.85/1000000000</f>
        <v>22.969877180849998</v>
      </c>
      <c r="C12" s="92">
        <f>23254934570.05/1000000000</f>
        <v>23.254934570050001</v>
      </c>
      <c r="D12" s="92">
        <f>24677036094.05/1000000000</f>
        <v>24.677036094049999</v>
      </c>
      <c r="E12" s="3"/>
      <c r="F12" s="3"/>
    </row>
    <row r="13" spans="1:6">
      <c r="A13" s="2"/>
      <c r="B13" s="2"/>
      <c r="C13" s="2"/>
      <c r="D13" s="2"/>
      <c r="E13" s="3"/>
      <c r="F13" s="3"/>
    </row>
    <row r="14" spans="1:6">
      <c r="A14" s="2"/>
      <c r="B14" s="2"/>
      <c r="C14" s="2"/>
      <c r="D14" s="2"/>
      <c r="E14" s="3"/>
      <c r="F14" s="3"/>
    </row>
    <row r="15" spans="1:6" ht="16.5">
      <c r="A15" s="93" t="s">
        <v>0</v>
      </c>
      <c r="B15" s="93"/>
      <c r="C15" s="92"/>
      <c r="D15" s="2"/>
      <c r="E15" s="3"/>
      <c r="F15" s="3"/>
    </row>
    <row r="16" spans="1:6" ht="16.5">
      <c r="A16" s="93" t="s">
        <v>1</v>
      </c>
      <c r="B16" s="93"/>
      <c r="C16" s="92"/>
      <c r="D16" s="94"/>
      <c r="E16" s="3"/>
      <c r="F16" s="3"/>
    </row>
    <row r="17" spans="1:6" ht="16.5">
      <c r="A17" s="93" t="s">
        <v>6</v>
      </c>
      <c r="B17" s="93"/>
      <c r="C17" s="92"/>
      <c r="D17" s="95"/>
      <c r="E17" s="3"/>
      <c r="F17" s="3"/>
    </row>
    <row r="18" spans="1:6" ht="16.5">
      <c r="A18" s="93" t="s">
        <v>2</v>
      </c>
      <c r="B18" s="93"/>
      <c r="C18" s="92"/>
      <c r="D18" s="96"/>
      <c r="E18" s="3"/>
      <c r="F18" s="3"/>
    </row>
    <row r="19" spans="1:6" ht="16.5">
      <c r="A19" s="93" t="s">
        <v>7</v>
      </c>
      <c r="B19" s="93"/>
      <c r="C19" s="92"/>
      <c r="D19" s="95"/>
      <c r="E19" s="3"/>
      <c r="F19" s="3"/>
    </row>
    <row r="20" spans="1:6" ht="16.5">
      <c r="A20" s="93" t="s">
        <v>3</v>
      </c>
      <c r="B20" s="93"/>
      <c r="C20" s="92"/>
      <c r="D20" s="96"/>
      <c r="E20" s="3"/>
      <c r="F20" s="3"/>
    </row>
    <row r="21" spans="1:6" ht="16.5">
      <c r="A21" s="93" t="s">
        <v>4</v>
      </c>
      <c r="B21" s="93"/>
      <c r="C21" s="92"/>
      <c r="D21" s="95"/>
      <c r="E21" s="3"/>
      <c r="F21" s="3"/>
    </row>
    <row r="22" spans="1:6" ht="16.5">
      <c r="A22" s="93" t="s">
        <v>8</v>
      </c>
      <c r="B22" s="93"/>
      <c r="C22" s="92"/>
      <c r="D22" s="88"/>
      <c r="E22" s="3"/>
      <c r="F22" s="3"/>
    </row>
    <row r="23" spans="1:6" ht="16.5">
      <c r="A23" s="2"/>
      <c r="B23" s="2"/>
      <c r="C23" s="2"/>
      <c r="D23" s="95"/>
      <c r="E23" s="2"/>
    </row>
    <row r="24" spans="1:6" ht="16.5">
      <c r="A24" s="2"/>
      <c r="B24" s="2"/>
      <c r="C24" s="2"/>
      <c r="D24" s="95"/>
      <c r="E24" s="2"/>
    </row>
    <row r="25" spans="1:6" ht="16.5">
      <c r="A25" s="2"/>
      <c r="B25" s="2"/>
      <c r="C25" s="2"/>
      <c r="D25" s="95"/>
      <c r="E25" s="2"/>
    </row>
    <row r="26" spans="1:6" ht="16.5">
      <c r="A26" s="1"/>
      <c r="B26" s="1"/>
      <c r="C26" s="4"/>
      <c r="D26" s="4"/>
    </row>
    <row r="27" spans="1:6">
      <c r="C27" s="3"/>
      <c r="D27" s="3"/>
    </row>
    <row r="28" spans="1:6">
      <c r="C28" s="3"/>
      <c r="D28" s="3"/>
    </row>
  </sheetData>
  <sheetProtection algorithmName="SHA-512" hashValue="P8jy2MbrAKH/rX093P/u/GN9aLm0JbkxnNa8GRQ75NVUwIdDhamufKancBbsWy6QHEgJHvicXzYhn3fxdpHQzQ==" saltValue="iO5NHv5I5bCsL8kiDn7gew==" spinCount="100000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3"/>
  <sheetViews>
    <sheetView zoomScale="85" zoomScaleNormal="85" workbookViewId="0">
      <selection activeCell="L2" sqref="L2"/>
    </sheetView>
  </sheetViews>
  <sheetFormatPr defaultRowHeight="15"/>
  <cols>
    <col min="1" max="1" width="26.7109375" customWidth="1"/>
    <col min="2" max="2" width="19.28515625" customWidth="1"/>
  </cols>
  <sheetData>
    <row r="1" spans="1:2" ht="16.5">
      <c r="A1" s="89" t="s">
        <v>5</v>
      </c>
      <c r="B1" s="97" t="s">
        <v>206</v>
      </c>
    </row>
    <row r="2" spans="1:2" ht="16.5">
      <c r="A2" s="93" t="s">
        <v>4</v>
      </c>
      <c r="B2" s="92">
        <v>3013769891.6900001</v>
      </c>
    </row>
    <row r="3" spans="1:2" ht="16.5">
      <c r="A3" s="93" t="s">
        <v>0</v>
      </c>
      <c r="B3" s="92">
        <v>17162105333.066624</v>
      </c>
    </row>
    <row r="4" spans="1:2" ht="16.5">
      <c r="A4" s="93" t="s">
        <v>8</v>
      </c>
      <c r="B4" s="92">
        <v>24677036094.049999</v>
      </c>
    </row>
    <row r="5" spans="1:2" ht="16.5">
      <c r="A5" s="93" t="s">
        <v>3</v>
      </c>
      <c r="B5" s="92">
        <v>31003962360.459999</v>
      </c>
    </row>
    <row r="6" spans="1:2" ht="16.5">
      <c r="A6" s="93" t="s">
        <v>7</v>
      </c>
      <c r="B6" s="92">
        <v>46394476576.619995</v>
      </c>
    </row>
    <row r="7" spans="1:2" ht="16.5">
      <c r="A7" s="93" t="s">
        <v>2</v>
      </c>
      <c r="B7" s="92">
        <v>324113593017.00153</v>
      </c>
    </row>
    <row r="8" spans="1:2" ht="16.5">
      <c r="A8" s="93" t="s">
        <v>6</v>
      </c>
      <c r="B8" s="92">
        <v>325727237004.36005</v>
      </c>
    </row>
    <row r="9" spans="1:2" ht="16.5">
      <c r="A9" s="93" t="s">
        <v>1</v>
      </c>
      <c r="B9" s="92">
        <v>804660015743.9502</v>
      </c>
    </row>
    <row r="10" spans="1:2">
      <c r="A10" s="2"/>
      <c r="B10" s="2"/>
    </row>
    <row r="11" spans="1:2">
      <c r="A11" s="2"/>
      <c r="B11" s="2"/>
    </row>
    <row r="12" spans="1:2" ht="16.5">
      <c r="A12" s="93"/>
      <c r="B12" s="2"/>
    </row>
    <row r="13" spans="1:2" ht="16.5">
      <c r="A13" s="93" t="s">
        <v>4</v>
      </c>
      <c r="B13" s="92"/>
    </row>
    <row r="14" spans="1:2" ht="16.5">
      <c r="A14" s="93" t="s">
        <v>0</v>
      </c>
      <c r="B14" s="92"/>
    </row>
    <row r="15" spans="1:2" ht="16.5">
      <c r="A15" s="93" t="s">
        <v>8</v>
      </c>
      <c r="B15" s="92"/>
    </row>
    <row r="16" spans="1:2" ht="16.5">
      <c r="A16" s="93" t="s">
        <v>3</v>
      </c>
      <c r="B16" s="92"/>
    </row>
    <row r="17" spans="1:17" ht="16.5">
      <c r="A17" s="93" t="s">
        <v>7</v>
      </c>
      <c r="B17" s="92"/>
    </row>
    <row r="18" spans="1:17" ht="16.5">
      <c r="A18" s="93" t="s">
        <v>2</v>
      </c>
      <c r="B18" s="92"/>
    </row>
    <row r="19" spans="1:17" ht="16.5">
      <c r="A19" s="93" t="s">
        <v>6</v>
      </c>
      <c r="B19" s="92"/>
    </row>
    <row r="20" spans="1:17" ht="16.5">
      <c r="A20" s="93" t="s">
        <v>1</v>
      </c>
      <c r="B20" s="92"/>
    </row>
    <row r="21" spans="1:17" ht="16.5">
      <c r="A21" s="93"/>
      <c r="B21" s="96"/>
    </row>
    <row r="22" spans="1:17" ht="16.5">
      <c r="B22" s="6"/>
    </row>
    <row r="23" spans="1:17">
      <c r="B23" s="7"/>
    </row>
    <row r="24" spans="1:17">
      <c r="B24" s="7"/>
    </row>
    <row r="25" spans="1:17">
      <c r="B25" s="7"/>
    </row>
    <row r="26" spans="1:17">
      <c r="B26" s="7"/>
    </row>
    <row r="27" spans="1:17">
      <c r="B27" s="7"/>
    </row>
    <row r="28" spans="1:17">
      <c r="B28" s="7"/>
    </row>
    <row r="29" spans="1:17">
      <c r="B29" s="7"/>
    </row>
    <row r="30" spans="1:17">
      <c r="B30" s="7"/>
    </row>
    <row r="32" spans="1:17" ht="16.5" customHeight="1">
      <c r="A32" s="123" t="s">
        <v>207</v>
      </c>
      <c r="B32" s="123"/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5"/>
    </row>
    <row r="33" spans="1:17" ht="15" customHeight="1">
      <c r="A33" s="123"/>
      <c r="B33" s="123"/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5"/>
    </row>
  </sheetData>
  <sheetProtection algorithmName="SHA-512" hashValue="2YRwqwNhubPALbyhRX6JMBrN55uCrWuumg8u1nFF5E1WMrSnGCpxff0eWqxxaxXcBaHDAcuceHED1bDbvREBvQ==" saltValue="qRu153mSeClD8TfOBegiEQ==" spinCount="100000" sheet="1" objects="1" scenarios="1"/>
  <sortState xmlns:xlrd2="http://schemas.microsoft.com/office/spreadsheetml/2017/richdata2" ref="B23:B30">
    <sortCondition ref="B23:B30"/>
  </sortState>
  <mergeCells count="1">
    <mergeCell ref="A32:P3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0FCE2-DF19-46A7-82E6-668A9D444BD6}">
  <dimension ref="A4:B14"/>
  <sheetViews>
    <sheetView workbookViewId="0">
      <selection activeCell="I2" sqref="I2"/>
    </sheetView>
  </sheetViews>
  <sheetFormatPr defaultRowHeight="15"/>
  <cols>
    <col min="1" max="1" width="32" customWidth="1"/>
    <col min="2" max="2" width="15" customWidth="1"/>
  </cols>
  <sheetData>
    <row r="4" spans="1:2">
      <c r="A4" s="2"/>
      <c r="B4" s="2"/>
    </row>
    <row r="5" spans="1:2" ht="15.75">
      <c r="A5" s="89" t="s">
        <v>5</v>
      </c>
      <c r="B5" s="98" t="s">
        <v>9</v>
      </c>
    </row>
    <row r="6" spans="1:2" ht="16.5">
      <c r="A6" s="93" t="s">
        <v>0</v>
      </c>
      <c r="B6" s="99">
        <v>39932</v>
      </c>
    </row>
    <row r="7" spans="1:2" ht="16.5">
      <c r="A7" s="93" t="s">
        <v>1</v>
      </c>
      <c r="B7" s="99">
        <v>219154</v>
      </c>
    </row>
    <row r="8" spans="1:2" ht="16.5">
      <c r="A8" s="93" t="s">
        <v>6</v>
      </c>
      <c r="B8" s="99">
        <v>49632</v>
      </c>
    </row>
    <row r="9" spans="1:2" ht="16.5">
      <c r="A9" s="93" t="s">
        <v>2</v>
      </c>
      <c r="B9" s="99">
        <v>10691</v>
      </c>
    </row>
    <row r="10" spans="1:2" ht="16.5">
      <c r="A10" s="93" t="s">
        <v>7</v>
      </c>
      <c r="B10" s="99">
        <v>7983</v>
      </c>
    </row>
    <row r="11" spans="1:2" ht="16.5">
      <c r="A11" s="93" t="s">
        <v>3</v>
      </c>
      <c r="B11" s="99">
        <v>47364</v>
      </c>
    </row>
    <row r="12" spans="1:2" ht="16.5">
      <c r="A12" s="93" t="s">
        <v>4</v>
      </c>
      <c r="B12" s="99">
        <v>11051</v>
      </c>
    </row>
    <row r="13" spans="1:2" ht="16.5">
      <c r="A13" s="93" t="s">
        <v>8</v>
      </c>
      <c r="B13" s="99">
        <v>17866</v>
      </c>
    </row>
    <row r="14" spans="1:2">
      <c r="A14" s="2"/>
      <c r="B14" s="2"/>
    </row>
  </sheetData>
  <sheetProtection algorithmName="SHA-512" hashValue="aRijcfYVoXqC0wRKSKJldh+GfyHWqI1sFYnsa2ZSXNp6HJI10dQj1Ob6gvss6CadRUOoLLRWCeo55fsDwBNvCw==" saltValue="QzqNMQjgIe7sS8OfTU6W3Q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March 2023</vt:lpstr>
      <vt:lpstr>NAV Comparison</vt:lpstr>
      <vt:lpstr>Market Share</vt:lpstr>
      <vt:lpstr>Unitholders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USER</cp:lastModifiedBy>
  <dcterms:created xsi:type="dcterms:W3CDTF">2023-10-09T09:40:10Z</dcterms:created>
  <dcterms:modified xsi:type="dcterms:W3CDTF">2024-02-23T12:53:50Z</dcterms:modified>
</cp:coreProperties>
</file>