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8958910F-4706-4958-AB08-712FB0A79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uary 2023" sheetId="7" r:id="rId1"/>
    <sheet name="NAV Comparison" sheetId="2" r:id="rId2"/>
    <sheet name="Market Share" sheetId="3" r:id="rId3"/>
    <sheet name="Unitholder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J164" i="7"/>
  <c r="H164" i="7"/>
  <c r="P163" i="7"/>
  <c r="O163" i="7"/>
  <c r="N163" i="7"/>
  <c r="M163" i="7"/>
  <c r="L163" i="7"/>
  <c r="K163" i="7"/>
  <c r="I163" i="7"/>
  <c r="P162" i="7"/>
  <c r="O162" i="7"/>
  <c r="N162" i="7"/>
  <c r="M162" i="7"/>
  <c r="L162" i="7"/>
  <c r="K162" i="7"/>
  <c r="I162" i="7"/>
  <c r="S161" i="7"/>
  <c r="P161" i="7"/>
  <c r="O161" i="7"/>
  <c r="N161" i="7"/>
  <c r="M161" i="7"/>
  <c r="L161" i="7"/>
  <c r="K161" i="7"/>
  <c r="I161" i="7"/>
  <c r="P160" i="7"/>
  <c r="O160" i="7"/>
  <c r="N160" i="7"/>
  <c r="M160" i="7"/>
  <c r="L160" i="7"/>
  <c r="K160" i="7"/>
  <c r="I160" i="7"/>
  <c r="P159" i="7"/>
  <c r="O159" i="7"/>
  <c r="N159" i="7"/>
  <c r="M159" i="7"/>
  <c r="L159" i="7"/>
  <c r="K159" i="7"/>
  <c r="I159" i="7"/>
  <c r="S158" i="7"/>
  <c r="P158" i="7"/>
  <c r="O158" i="7"/>
  <c r="N158" i="7"/>
  <c r="M158" i="7"/>
  <c r="L158" i="7"/>
  <c r="K158" i="7"/>
  <c r="I158" i="7"/>
  <c r="P157" i="7"/>
  <c r="O157" i="7"/>
  <c r="N157" i="7"/>
  <c r="M157" i="7"/>
  <c r="L157" i="7"/>
  <c r="K157" i="7"/>
  <c r="I157" i="7"/>
  <c r="P154" i="7"/>
  <c r="O154" i="7"/>
  <c r="N154" i="7"/>
  <c r="M154" i="7"/>
  <c r="L154" i="7"/>
  <c r="K154" i="7"/>
  <c r="I154" i="7"/>
  <c r="S153" i="7"/>
  <c r="S164" i="7" s="1"/>
  <c r="P153" i="7"/>
  <c r="O153" i="7"/>
  <c r="N153" i="7"/>
  <c r="M153" i="7"/>
  <c r="L153" i="7"/>
  <c r="K153" i="7"/>
  <c r="I153" i="7"/>
  <c r="S149" i="7"/>
  <c r="J149" i="7"/>
  <c r="H149" i="7"/>
  <c r="P148" i="7"/>
  <c r="O148" i="7"/>
  <c r="N148" i="7"/>
  <c r="M148" i="7"/>
  <c r="L148" i="7"/>
  <c r="K148" i="7"/>
  <c r="I148" i="7"/>
  <c r="P147" i="7"/>
  <c r="O147" i="7"/>
  <c r="N147" i="7"/>
  <c r="M147" i="7"/>
  <c r="L147" i="7"/>
  <c r="K147" i="7"/>
  <c r="I147" i="7"/>
  <c r="P146" i="7"/>
  <c r="O146" i="7"/>
  <c r="N146" i="7"/>
  <c r="M146" i="7"/>
  <c r="L146" i="7"/>
  <c r="K146" i="7"/>
  <c r="I146" i="7"/>
  <c r="J143" i="7"/>
  <c r="H143" i="7"/>
  <c r="P142" i="7"/>
  <c r="O142" i="7"/>
  <c r="N142" i="7"/>
  <c r="M142" i="7"/>
  <c r="L142" i="7"/>
  <c r="K142" i="7"/>
  <c r="I142" i="7"/>
  <c r="P141" i="7"/>
  <c r="O141" i="7"/>
  <c r="N141" i="7"/>
  <c r="M141" i="7"/>
  <c r="L141" i="7"/>
  <c r="K141" i="7"/>
  <c r="I141" i="7"/>
  <c r="P140" i="7"/>
  <c r="O140" i="7"/>
  <c r="N140" i="7"/>
  <c r="M140" i="7"/>
  <c r="L140" i="7"/>
  <c r="K140" i="7"/>
  <c r="I140" i="7"/>
  <c r="P139" i="7"/>
  <c r="O139" i="7"/>
  <c r="N139" i="7"/>
  <c r="M139" i="7"/>
  <c r="L139" i="7"/>
  <c r="K139" i="7"/>
  <c r="I139" i="7"/>
  <c r="P138" i="7"/>
  <c r="O138" i="7"/>
  <c r="N138" i="7"/>
  <c r="M138" i="7"/>
  <c r="L138" i="7"/>
  <c r="K138" i="7"/>
  <c r="I138" i="7"/>
  <c r="P137" i="7"/>
  <c r="O137" i="7"/>
  <c r="N137" i="7"/>
  <c r="M137" i="7"/>
  <c r="L137" i="7"/>
  <c r="K137" i="7"/>
  <c r="I137" i="7"/>
  <c r="P136" i="7"/>
  <c r="O136" i="7"/>
  <c r="N136" i="7"/>
  <c r="M136" i="7"/>
  <c r="L136" i="7"/>
  <c r="K136" i="7"/>
  <c r="I136" i="7"/>
  <c r="P135" i="7"/>
  <c r="O135" i="7"/>
  <c r="N135" i="7"/>
  <c r="M135" i="7"/>
  <c r="L135" i="7"/>
  <c r="K135" i="7"/>
  <c r="I135" i="7"/>
  <c r="P134" i="7"/>
  <c r="O134" i="7"/>
  <c r="N134" i="7"/>
  <c r="M134" i="7"/>
  <c r="L134" i="7"/>
  <c r="K134" i="7"/>
  <c r="I134" i="7"/>
  <c r="P133" i="7"/>
  <c r="O133" i="7"/>
  <c r="N133" i="7"/>
  <c r="M133" i="7"/>
  <c r="L133" i="7"/>
  <c r="K133" i="7"/>
  <c r="I133" i="7"/>
  <c r="D133" i="7"/>
  <c r="P132" i="7"/>
  <c r="O132" i="7"/>
  <c r="N132" i="7"/>
  <c r="M132" i="7"/>
  <c r="L132" i="7"/>
  <c r="K132" i="7"/>
  <c r="I132" i="7"/>
  <c r="P131" i="7"/>
  <c r="O131" i="7"/>
  <c r="N131" i="7"/>
  <c r="M131" i="7"/>
  <c r="L131" i="7"/>
  <c r="K131" i="7"/>
  <c r="I131" i="7"/>
  <c r="P130" i="7"/>
  <c r="O130" i="7"/>
  <c r="N130" i="7"/>
  <c r="M130" i="7"/>
  <c r="L130" i="7"/>
  <c r="K130" i="7"/>
  <c r="I130" i="7"/>
  <c r="P129" i="7"/>
  <c r="O129" i="7"/>
  <c r="N129" i="7"/>
  <c r="M129" i="7"/>
  <c r="L129" i="7"/>
  <c r="K129" i="7"/>
  <c r="I129" i="7"/>
  <c r="P128" i="7"/>
  <c r="O128" i="7"/>
  <c r="N128" i="7"/>
  <c r="M128" i="7"/>
  <c r="L128" i="7"/>
  <c r="K128" i="7"/>
  <c r="I128" i="7"/>
  <c r="P127" i="7"/>
  <c r="O127" i="7"/>
  <c r="N127" i="7"/>
  <c r="M127" i="7"/>
  <c r="L127" i="7"/>
  <c r="K127" i="7"/>
  <c r="I127" i="7"/>
  <c r="P126" i="7"/>
  <c r="O126" i="7"/>
  <c r="N126" i="7"/>
  <c r="M126" i="7"/>
  <c r="L126" i="7"/>
  <c r="K126" i="7"/>
  <c r="I126" i="7"/>
  <c r="P125" i="7"/>
  <c r="O125" i="7"/>
  <c r="N125" i="7"/>
  <c r="M125" i="7"/>
  <c r="L125" i="7"/>
  <c r="K125" i="7"/>
  <c r="I125" i="7"/>
  <c r="P124" i="7"/>
  <c r="O124" i="7"/>
  <c r="N124" i="7"/>
  <c r="M124" i="7"/>
  <c r="L124" i="7"/>
  <c r="K124" i="7"/>
  <c r="I124" i="7"/>
  <c r="S123" i="7"/>
  <c r="S143" i="7" s="1"/>
  <c r="P123" i="7"/>
  <c r="O123" i="7"/>
  <c r="N123" i="7"/>
  <c r="M123" i="7"/>
  <c r="L123" i="7"/>
  <c r="K123" i="7"/>
  <c r="I123" i="7"/>
  <c r="P122" i="7"/>
  <c r="O122" i="7"/>
  <c r="N122" i="7"/>
  <c r="M122" i="7"/>
  <c r="L122" i="7"/>
  <c r="K122" i="7"/>
  <c r="I122" i="7"/>
  <c r="P121" i="7"/>
  <c r="O121" i="7"/>
  <c r="N121" i="7"/>
  <c r="M121" i="7"/>
  <c r="L121" i="7"/>
  <c r="K121" i="7"/>
  <c r="I121" i="7"/>
  <c r="P120" i="7"/>
  <c r="O120" i="7"/>
  <c r="N120" i="7"/>
  <c r="M120" i="7"/>
  <c r="L120" i="7"/>
  <c r="K120" i="7"/>
  <c r="I120" i="7"/>
  <c r="P119" i="7"/>
  <c r="O119" i="7"/>
  <c r="N119" i="7"/>
  <c r="M119" i="7"/>
  <c r="L119" i="7"/>
  <c r="K119" i="7"/>
  <c r="I119" i="7"/>
  <c r="S116" i="7"/>
  <c r="J116" i="7"/>
  <c r="H116" i="7"/>
  <c r="P115" i="7"/>
  <c r="O115" i="7"/>
  <c r="N115" i="7"/>
  <c r="M115" i="7"/>
  <c r="L115" i="7"/>
  <c r="K115" i="7"/>
  <c r="I115" i="7"/>
  <c r="P114" i="7"/>
  <c r="O114" i="7"/>
  <c r="N114" i="7"/>
  <c r="M114" i="7"/>
  <c r="L114" i="7"/>
  <c r="K114" i="7"/>
  <c r="I114" i="7"/>
  <c r="P113" i="7"/>
  <c r="O113" i="7"/>
  <c r="N113" i="7"/>
  <c r="M113" i="7"/>
  <c r="L113" i="7"/>
  <c r="K113" i="7"/>
  <c r="I113" i="7"/>
  <c r="P112" i="7"/>
  <c r="O112" i="7"/>
  <c r="N112" i="7"/>
  <c r="M112" i="7"/>
  <c r="L112" i="7"/>
  <c r="K112" i="7"/>
  <c r="I112" i="7"/>
  <c r="R108" i="7"/>
  <c r="Q108" i="7"/>
  <c r="J108" i="7"/>
  <c r="H108" i="7"/>
  <c r="G108" i="7"/>
  <c r="F108" i="7"/>
  <c r="M108" i="7" s="1"/>
  <c r="E108" i="7"/>
  <c r="D108" i="7"/>
  <c r="R107" i="7"/>
  <c r="Q107" i="7"/>
  <c r="J107" i="7"/>
  <c r="H107" i="7"/>
  <c r="G107" i="7"/>
  <c r="F107" i="7"/>
  <c r="M107" i="7" s="1"/>
  <c r="E107" i="7"/>
  <c r="D107" i="7"/>
  <c r="R106" i="7"/>
  <c r="Q106" i="7"/>
  <c r="J106" i="7"/>
  <c r="H106" i="7"/>
  <c r="G106" i="7"/>
  <c r="F106" i="7"/>
  <c r="M106" i="7" s="1"/>
  <c r="E106" i="7"/>
  <c r="D106" i="7"/>
  <c r="R105" i="7"/>
  <c r="Q105" i="7"/>
  <c r="J105" i="7"/>
  <c r="H105" i="7"/>
  <c r="G105" i="7"/>
  <c r="F105" i="7"/>
  <c r="M105" i="7" s="1"/>
  <c r="E105" i="7"/>
  <c r="D105" i="7"/>
  <c r="R104" i="7"/>
  <c r="Q104" i="7"/>
  <c r="J104" i="7"/>
  <c r="H104" i="7"/>
  <c r="G104" i="7"/>
  <c r="F104" i="7"/>
  <c r="M104" i="7" s="1"/>
  <c r="E104" i="7"/>
  <c r="D104" i="7"/>
  <c r="S103" i="7"/>
  <c r="R103" i="7"/>
  <c r="Q103" i="7"/>
  <c r="J103" i="7"/>
  <c r="H103" i="7"/>
  <c r="G103" i="7"/>
  <c r="F103" i="7"/>
  <c r="M103" i="7" s="1"/>
  <c r="E103" i="7"/>
  <c r="D103" i="7"/>
  <c r="R102" i="7"/>
  <c r="Q102" i="7"/>
  <c r="J102" i="7"/>
  <c r="H102" i="7"/>
  <c r="G102" i="7"/>
  <c r="F102" i="7"/>
  <c r="M102" i="7" s="1"/>
  <c r="E102" i="7"/>
  <c r="D102" i="7"/>
  <c r="R101" i="7"/>
  <c r="Q101" i="7"/>
  <c r="J101" i="7"/>
  <c r="H101" i="7"/>
  <c r="G101" i="7"/>
  <c r="F101" i="7"/>
  <c r="M101" i="7" s="1"/>
  <c r="E101" i="7"/>
  <c r="D101" i="7"/>
  <c r="P98" i="7"/>
  <c r="O98" i="7"/>
  <c r="N98" i="7"/>
  <c r="M98" i="7"/>
  <c r="L98" i="7"/>
  <c r="R97" i="7"/>
  <c r="Q97" i="7"/>
  <c r="J97" i="7"/>
  <c r="H97" i="7"/>
  <c r="G97" i="7"/>
  <c r="F97" i="7"/>
  <c r="M97" i="7" s="1"/>
  <c r="E97" i="7"/>
  <c r="D97" i="7"/>
  <c r="R96" i="7"/>
  <c r="Q96" i="7"/>
  <c r="J96" i="7"/>
  <c r="H96" i="7"/>
  <c r="G96" i="7"/>
  <c r="F96" i="7"/>
  <c r="M96" i="7" s="1"/>
  <c r="E96" i="7"/>
  <c r="D96" i="7"/>
  <c r="R95" i="7"/>
  <c r="Q95" i="7"/>
  <c r="J95" i="7"/>
  <c r="H95" i="7"/>
  <c r="G95" i="7"/>
  <c r="F95" i="7"/>
  <c r="M95" i="7" s="1"/>
  <c r="E95" i="7"/>
  <c r="D95" i="7"/>
  <c r="P94" i="7"/>
  <c r="O94" i="7"/>
  <c r="N94" i="7"/>
  <c r="M94" i="7"/>
  <c r="L94" i="7"/>
  <c r="P93" i="7"/>
  <c r="O93" i="7"/>
  <c r="N93" i="7"/>
  <c r="M93" i="7"/>
  <c r="L93" i="7"/>
  <c r="P92" i="7"/>
  <c r="O92" i="7"/>
  <c r="N92" i="7"/>
  <c r="M92" i="7"/>
  <c r="L92" i="7"/>
  <c r="S91" i="7"/>
  <c r="S109" i="7" s="1"/>
  <c r="R91" i="7"/>
  <c r="Q91" i="7"/>
  <c r="J91" i="7"/>
  <c r="H91" i="7"/>
  <c r="G91" i="7"/>
  <c r="F91" i="7"/>
  <c r="M91" i="7" s="1"/>
  <c r="E91" i="7"/>
  <c r="D91" i="7"/>
  <c r="R90" i="7"/>
  <c r="Q90" i="7"/>
  <c r="J90" i="7"/>
  <c r="G90" i="7"/>
  <c r="F90" i="7"/>
  <c r="E90" i="7"/>
  <c r="D90" i="7"/>
  <c r="J86" i="7"/>
  <c r="H86" i="7"/>
  <c r="P85" i="7"/>
  <c r="O85" i="7"/>
  <c r="N85" i="7"/>
  <c r="M85" i="7"/>
  <c r="L85" i="7"/>
  <c r="K85" i="7"/>
  <c r="I85" i="7"/>
  <c r="P84" i="7"/>
  <c r="O84" i="7"/>
  <c r="N84" i="7"/>
  <c r="M84" i="7"/>
  <c r="L84" i="7"/>
  <c r="K84" i="7"/>
  <c r="I84" i="7"/>
  <c r="P83" i="7"/>
  <c r="O83" i="7"/>
  <c r="N83" i="7"/>
  <c r="M83" i="7"/>
  <c r="L83" i="7"/>
  <c r="K83" i="7"/>
  <c r="I83" i="7"/>
  <c r="P82" i="7"/>
  <c r="O82" i="7"/>
  <c r="N82" i="7"/>
  <c r="M82" i="7"/>
  <c r="L82" i="7"/>
  <c r="K82" i="7"/>
  <c r="I82" i="7"/>
  <c r="P81" i="7"/>
  <c r="O81" i="7"/>
  <c r="N81" i="7"/>
  <c r="M81" i="7"/>
  <c r="L81" i="7"/>
  <c r="K81" i="7"/>
  <c r="I81" i="7"/>
  <c r="P80" i="7"/>
  <c r="O80" i="7"/>
  <c r="N80" i="7"/>
  <c r="M80" i="7"/>
  <c r="L80" i="7"/>
  <c r="K80" i="7"/>
  <c r="I80" i="7"/>
  <c r="P79" i="7"/>
  <c r="O79" i="7"/>
  <c r="N79" i="7"/>
  <c r="M79" i="7"/>
  <c r="L79" i="7"/>
  <c r="K79" i="7"/>
  <c r="I79" i="7"/>
  <c r="P78" i="7"/>
  <c r="O78" i="7"/>
  <c r="N78" i="7"/>
  <c r="M78" i="7"/>
  <c r="L78" i="7"/>
  <c r="K78" i="7"/>
  <c r="I78" i="7"/>
  <c r="P77" i="7"/>
  <c r="O77" i="7"/>
  <c r="N77" i="7"/>
  <c r="M77" i="7"/>
  <c r="L77" i="7"/>
  <c r="K77" i="7"/>
  <c r="I77" i="7"/>
  <c r="P76" i="7"/>
  <c r="O76" i="7"/>
  <c r="N76" i="7"/>
  <c r="M76" i="7"/>
  <c r="L76" i="7"/>
  <c r="K76" i="7"/>
  <c r="I76" i="7"/>
  <c r="P75" i="7"/>
  <c r="O75" i="7"/>
  <c r="N75" i="7"/>
  <c r="M75" i="7"/>
  <c r="L75" i="7"/>
  <c r="K75" i="7"/>
  <c r="I75" i="7"/>
  <c r="P74" i="7"/>
  <c r="O74" i="7"/>
  <c r="N74" i="7"/>
  <c r="M74" i="7"/>
  <c r="L74" i="7"/>
  <c r="K74" i="7"/>
  <c r="I74" i="7"/>
  <c r="P73" i="7"/>
  <c r="O73" i="7"/>
  <c r="N73" i="7"/>
  <c r="M73" i="7"/>
  <c r="L73" i="7"/>
  <c r="K73" i="7"/>
  <c r="I73" i="7"/>
  <c r="P72" i="7"/>
  <c r="O72" i="7"/>
  <c r="N72" i="7"/>
  <c r="M72" i="7"/>
  <c r="L72" i="7"/>
  <c r="K72" i="7"/>
  <c r="I72" i="7"/>
  <c r="P71" i="7"/>
  <c r="O71" i="7"/>
  <c r="N71" i="7"/>
  <c r="M71" i="7"/>
  <c r="L71" i="7"/>
  <c r="K71" i="7"/>
  <c r="I71" i="7"/>
  <c r="P70" i="7"/>
  <c r="O70" i="7"/>
  <c r="N70" i="7"/>
  <c r="M70" i="7"/>
  <c r="L70" i="7"/>
  <c r="K70" i="7"/>
  <c r="I70" i="7"/>
  <c r="P69" i="7"/>
  <c r="O69" i="7"/>
  <c r="N69" i="7"/>
  <c r="M69" i="7"/>
  <c r="L69" i="7"/>
  <c r="K69" i="7"/>
  <c r="I69" i="7"/>
  <c r="P68" i="7"/>
  <c r="O68" i="7"/>
  <c r="N68" i="7"/>
  <c r="M68" i="7"/>
  <c r="L68" i="7"/>
  <c r="K68" i="7"/>
  <c r="I68" i="7"/>
  <c r="P67" i="7"/>
  <c r="O67" i="7"/>
  <c r="N67" i="7"/>
  <c r="M67" i="7"/>
  <c r="L67" i="7"/>
  <c r="K67" i="7"/>
  <c r="I67" i="7"/>
  <c r="P66" i="7"/>
  <c r="O66" i="7"/>
  <c r="N66" i="7"/>
  <c r="M66" i="7"/>
  <c r="L66" i="7"/>
  <c r="K66" i="7"/>
  <c r="I66" i="7"/>
  <c r="D66" i="7"/>
  <c r="P65" i="7"/>
  <c r="O65" i="7"/>
  <c r="N65" i="7"/>
  <c r="M65" i="7"/>
  <c r="L65" i="7"/>
  <c r="K65" i="7"/>
  <c r="I65" i="7"/>
  <c r="S64" i="7"/>
  <c r="S86" i="7" s="1"/>
  <c r="P64" i="7"/>
  <c r="O64" i="7"/>
  <c r="N64" i="7"/>
  <c r="M64" i="7"/>
  <c r="L64" i="7"/>
  <c r="K64" i="7"/>
  <c r="I64" i="7"/>
  <c r="P63" i="7"/>
  <c r="O63" i="7"/>
  <c r="N63" i="7"/>
  <c r="M63" i="7"/>
  <c r="L63" i="7"/>
  <c r="K63" i="7"/>
  <c r="I63" i="7"/>
  <c r="P62" i="7"/>
  <c r="O62" i="7"/>
  <c r="N62" i="7"/>
  <c r="M62" i="7"/>
  <c r="L62" i="7"/>
  <c r="K62" i="7"/>
  <c r="I62" i="7"/>
  <c r="P61" i="7"/>
  <c r="O61" i="7"/>
  <c r="N61" i="7"/>
  <c r="M61" i="7"/>
  <c r="L61" i="7"/>
  <c r="K61" i="7"/>
  <c r="I61" i="7"/>
  <c r="P60" i="7"/>
  <c r="O60" i="7"/>
  <c r="N60" i="7"/>
  <c r="M60" i="7"/>
  <c r="L60" i="7"/>
  <c r="K60" i="7"/>
  <c r="I60" i="7"/>
  <c r="P59" i="7"/>
  <c r="O59" i="7"/>
  <c r="N59" i="7"/>
  <c r="M59" i="7"/>
  <c r="L59" i="7"/>
  <c r="K59" i="7"/>
  <c r="I59" i="7"/>
  <c r="P58" i="7"/>
  <c r="O58" i="7"/>
  <c r="N58" i="7"/>
  <c r="M58" i="7"/>
  <c r="L58" i="7"/>
  <c r="K58" i="7"/>
  <c r="I58" i="7"/>
  <c r="P57" i="7"/>
  <c r="O57" i="7"/>
  <c r="N57" i="7"/>
  <c r="M57" i="7"/>
  <c r="L57" i="7"/>
  <c r="K57" i="7"/>
  <c r="I57" i="7"/>
  <c r="P56" i="7"/>
  <c r="O56" i="7"/>
  <c r="N56" i="7"/>
  <c r="M56" i="7"/>
  <c r="L56" i="7"/>
  <c r="K56" i="7"/>
  <c r="I56" i="7"/>
  <c r="J53" i="7"/>
  <c r="H53" i="7"/>
  <c r="P52" i="7"/>
  <c r="O52" i="7"/>
  <c r="N52" i="7"/>
  <c r="M52" i="7"/>
  <c r="L52" i="7"/>
  <c r="K52" i="7"/>
  <c r="I52" i="7"/>
  <c r="P51" i="7"/>
  <c r="O51" i="7"/>
  <c r="N51" i="7"/>
  <c r="M51" i="7"/>
  <c r="L51" i="7"/>
  <c r="K51" i="7"/>
  <c r="I51" i="7"/>
  <c r="P50" i="7"/>
  <c r="O50" i="7"/>
  <c r="N50" i="7"/>
  <c r="M50" i="7"/>
  <c r="L50" i="7"/>
  <c r="K50" i="7"/>
  <c r="I50" i="7"/>
  <c r="P49" i="7"/>
  <c r="O49" i="7"/>
  <c r="N49" i="7"/>
  <c r="M49" i="7"/>
  <c r="L49" i="7"/>
  <c r="K49" i="7"/>
  <c r="I49" i="7"/>
  <c r="P48" i="7"/>
  <c r="O48" i="7"/>
  <c r="N48" i="7"/>
  <c r="M48" i="7"/>
  <c r="L48" i="7"/>
  <c r="K48" i="7"/>
  <c r="I48" i="7"/>
  <c r="P47" i="7"/>
  <c r="O47" i="7"/>
  <c r="N47" i="7"/>
  <c r="M47" i="7"/>
  <c r="L47" i="7"/>
  <c r="K47" i="7"/>
  <c r="I47" i="7"/>
  <c r="P46" i="7"/>
  <c r="O46" i="7"/>
  <c r="N46" i="7"/>
  <c r="M46" i="7"/>
  <c r="L46" i="7"/>
  <c r="K46" i="7"/>
  <c r="I46" i="7"/>
  <c r="P45" i="7"/>
  <c r="O45" i="7"/>
  <c r="N45" i="7"/>
  <c r="M45" i="7"/>
  <c r="L45" i="7"/>
  <c r="K45" i="7"/>
  <c r="I45" i="7"/>
  <c r="D45" i="7"/>
  <c r="S44" i="7"/>
  <c r="P44" i="7"/>
  <c r="O44" i="7"/>
  <c r="N44" i="7"/>
  <c r="M44" i="7"/>
  <c r="L44" i="7"/>
  <c r="K44" i="7"/>
  <c r="I44" i="7"/>
  <c r="P43" i="7"/>
  <c r="O43" i="7"/>
  <c r="N43" i="7"/>
  <c r="M43" i="7"/>
  <c r="L43" i="7"/>
  <c r="K43" i="7"/>
  <c r="I43" i="7"/>
  <c r="P42" i="7"/>
  <c r="O42" i="7"/>
  <c r="N42" i="7"/>
  <c r="M42" i="7"/>
  <c r="L42" i="7"/>
  <c r="K42" i="7"/>
  <c r="I42" i="7"/>
  <c r="P41" i="7"/>
  <c r="O41" i="7"/>
  <c r="N41" i="7"/>
  <c r="M41" i="7"/>
  <c r="L41" i="7"/>
  <c r="K41" i="7"/>
  <c r="I41" i="7"/>
  <c r="P40" i="7"/>
  <c r="O40" i="7"/>
  <c r="N40" i="7"/>
  <c r="M40" i="7"/>
  <c r="L40" i="7"/>
  <c r="K40" i="7"/>
  <c r="I40" i="7"/>
  <c r="P39" i="7"/>
  <c r="O39" i="7"/>
  <c r="N39" i="7"/>
  <c r="M39" i="7"/>
  <c r="L39" i="7"/>
  <c r="K39" i="7"/>
  <c r="I39" i="7"/>
  <c r="S38" i="7"/>
  <c r="P38" i="7"/>
  <c r="O38" i="7"/>
  <c r="N38" i="7"/>
  <c r="M38" i="7"/>
  <c r="L38" i="7"/>
  <c r="K38" i="7"/>
  <c r="I38" i="7"/>
  <c r="P37" i="7"/>
  <c r="O37" i="7"/>
  <c r="N37" i="7"/>
  <c r="M37" i="7"/>
  <c r="L37" i="7"/>
  <c r="K37" i="7"/>
  <c r="I37" i="7"/>
  <c r="P36" i="7"/>
  <c r="O36" i="7"/>
  <c r="N36" i="7"/>
  <c r="M36" i="7"/>
  <c r="L36" i="7"/>
  <c r="K36" i="7"/>
  <c r="I36" i="7"/>
  <c r="P35" i="7"/>
  <c r="O35" i="7"/>
  <c r="N35" i="7"/>
  <c r="M35" i="7"/>
  <c r="L35" i="7"/>
  <c r="K35" i="7"/>
  <c r="I35" i="7"/>
  <c r="P34" i="7"/>
  <c r="O34" i="7"/>
  <c r="N34" i="7"/>
  <c r="M34" i="7"/>
  <c r="L34" i="7"/>
  <c r="K34" i="7"/>
  <c r="I34" i="7"/>
  <c r="P33" i="7"/>
  <c r="O33" i="7"/>
  <c r="N33" i="7"/>
  <c r="M33" i="7"/>
  <c r="L33" i="7"/>
  <c r="K33" i="7"/>
  <c r="I33" i="7"/>
  <c r="S32" i="7"/>
  <c r="S53" i="7" s="1"/>
  <c r="P32" i="7"/>
  <c r="O32" i="7"/>
  <c r="N32" i="7"/>
  <c r="M32" i="7"/>
  <c r="L32" i="7"/>
  <c r="K32" i="7"/>
  <c r="I32" i="7"/>
  <c r="P31" i="7"/>
  <c r="O31" i="7"/>
  <c r="N31" i="7"/>
  <c r="M31" i="7"/>
  <c r="L31" i="7"/>
  <c r="K31" i="7"/>
  <c r="I31" i="7"/>
  <c r="P30" i="7"/>
  <c r="O30" i="7"/>
  <c r="N30" i="7"/>
  <c r="M30" i="7"/>
  <c r="L30" i="7"/>
  <c r="K30" i="7"/>
  <c r="I30" i="7"/>
  <c r="P29" i="7"/>
  <c r="O29" i="7"/>
  <c r="N29" i="7"/>
  <c r="M29" i="7"/>
  <c r="L29" i="7"/>
  <c r="K29" i="7"/>
  <c r="I29" i="7"/>
  <c r="P28" i="7"/>
  <c r="O28" i="7"/>
  <c r="N28" i="7"/>
  <c r="M28" i="7"/>
  <c r="L28" i="7"/>
  <c r="K28" i="7"/>
  <c r="I28" i="7"/>
  <c r="P27" i="7"/>
  <c r="O27" i="7"/>
  <c r="N27" i="7"/>
  <c r="M27" i="7"/>
  <c r="L27" i="7"/>
  <c r="K27" i="7"/>
  <c r="I27" i="7"/>
  <c r="P26" i="7"/>
  <c r="O26" i="7"/>
  <c r="N26" i="7"/>
  <c r="M26" i="7"/>
  <c r="L26" i="7"/>
  <c r="K26" i="7"/>
  <c r="I26" i="7"/>
  <c r="P25" i="7"/>
  <c r="O25" i="7"/>
  <c r="N25" i="7"/>
  <c r="M25" i="7"/>
  <c r="L25" i="7"/>
  <c r="K25" i="7"/>
  <c r="I25" i="7"/>
  <c r="P24" i="7"/>
  <c r="O24" i="7"/>
  <c r="N24" i="7"/>
  <c r="M24" i="7"/>
  <c r="L24" i="7"/>
  <c r="K24" i="7"/>
  <c r="I24" i="7"/>
  <c r="S21" i="7"/>
  <c r="S165" i="7" s="1"/>
  <c r="J21" i="7"/>
  <c r="H21" i="7"/>
  <c r="P20" i="7"/>
  <c r="O20" i="7"/>
  <c r="N20" i="7"/>
  <c r="M20" i="7"/>
  <c r="L20" i="7"/>
  <c r="K20" i="7"/>
  <c r="I20" i="7"/>
  <c r="P19" i="7"/>
  <c r="O19" i="7"/>
  <c r="N19" i="7"/>
  <c r="M19" i="7"/>
  <c r="L19" i="7"/>
  <c r="K19" i="7"/>
  <c r="I19" i="7"/>
  <c r="P18" i="7"/>
  <c r="O18" i="7"/>
  <c r="N18" i="7"/>
  <c r="M18" i="7"/>
  <c r="L18" i="7"/>
  <c r="K18" i="7"/>
  <c r="I18" i="7"/>
  <c r="D18" i="7"/>
  <c r="P17" i="7"/>
  <c r="O17" i="7"/>
  <c r="N17" i="7"/>
  <c r="M17" i="7"/>
  <c r="L17" i="7"/>
  <c r="K17" i="7"/>
  <c r="I17" i="7"/>
  <c r="P16" i="7"/>
  <c r="O16" i="7"/>
  <c r="N16" i="7"/>
  <c r="M16" i="7"/>
  <c r="L16" i="7"/>
  <c r="K16" i="7"/>
  <c r="I16" i="7"/>
  <c r="P15" i="7"/>
  <c r="O15" i="7"/>
  <c r="N15" i="7"/>
  <c r="M15" i="7"/>
  <c r="L15" i="7"/>
  <c r="K15" i="7"/>
  <c r="I15" i="7"/>
  <c r="P14" i="7"/>
  <c r="O14" i="7"/>
  <c r="N14" i="7"/>
  <c r="M14" i="7"/>
  <c r="L14" i="7"/>
  <c r="K14" i="7"/>
  <c r="I14" i="7"/>
  <c r="P13" i="7"/>
  <c r="O13" i="7"/>
  <c r="N13" i="7"/>
  <c r="M13" i="7"/>
  <c r="L13" i="7"/>
  <c r="K13" i="7"/>
  <c r="I13" i="7"/>
  <c r="P12" i="7"/>
  <c r="O12" i="7"/>
  <c r="N12" i="7"/>
  <c r="M12" i="7"/>
  <c r="L12" i="7"/>
  <c r="K12" i="7"/>
  <c r="I12" i="7"/>
  <c r="P11" i="7"/>
  <c r="O11" i="7"/>
  <c r="N11" i="7"/>
  <c r="M11" i="7"/>
  <c r="L11" i="7"/>
  <c r="K11" i="7"/>
  <c r="I11" i="7"/>
  <c r="P10" i="7"/>
  <c r="O10" i="7"/>
  <c r="N10" i="7"/>
  <c r="M10" i="7"/>
  <c r="L10" i="7"/>
  <c r="K10" i="7"/>
  <c r="I10" i="7"/>
  <c r="P9" i="7"/>
  <c r="O9" i="7"/>
  <c r="N9" i="7"/>
  <c r="M9" i="7"/>
  <c r="L9" i="7"/>
  <c r="K9" i="7"/>
  <c r="I9" i="7"/>
  <c r="P8" i="7"/>
  <c r="O8" i="7"/>
  <c r="N8" i="7"/>
  <c r="M8" i="7"/>
  <c r="L8" i="7"/>
  <c r="K8" i="7"/>
  <c r="I8" i="7"/>
  <c r="P7" i="7"/>
  <c r="O7" i="7"/>
  <c r="N7" i="7"/>
  <c r="M7" i="7"/>
  <c r="L7" i="7"/>
  <c r="K7" i="7"/>
  <c r="I7" i="7"/>
  <c r="P6" i="7"/>
  <c r="O6" i="7"/>
  <c r="N6" i="7"/>
  <c r="M6" i="7"/>
  <c r="L6" i="7"/>
  <c r="K6" i="7"/>
  <c r="I6" i="7"/>
  <c r="P5" i="7"/>
  <c r="O5" i="7"/>
  <c r="N5" i="7"/>
  <c r="M5" i="7"/>
  <c r="L5" i="7"/>
  <c r="K5" i="7"/>
  <c r="I5" i="7"/>
  <c r="C12" i="2"/>
  <c r="C11" i="2"/>
  <c r="C10" i="2"/>
  <c r="C9" i="2"/>
  <c r="C8" i="2"/>
  <c r="C7" i="2"/>
  <c r="C5" i="2"/>
  <c r="B12" i="2"/>
  <c r="B11" i="2"/>
  <c r="B10" i="2"/>
  <c r="B9" i="2"/>
  <c r="B8" i="2"/>
  <c r="B7" i="2"/>
  <c r="B6" i="2"/>
  <c r="B5" i="2"/>
  <c r="L21" i="7" l="1"/>
  <c r="L53" i="7"/>
  <c r="L86" i="7"/>
  <c r="M90" i="7"/>
  <c r="P90" i="7"/>
  <c r="N90" i="7"/>
  <c r="J109" i="7"/>
  <c r="O90" i="7"/>
  <c r="L90" i="7"/>
  <c r="K90" i="7"/>
  <c r="P91" i="7"/>
  <c r="N91" i="7"/>
  <c r="H109" i="7"/>
  <c r="I91" i="7"/>
  <c r="O91" i="7"/>
  <c r="L91" i="7"/>
  <c r="K91" i="7"/>
  <c r="P95" i="7"/>
  <c r="N95" i="7"/>
  <c r="I95" i="7"/>
  <c r="O95" i="7"/>
  <c r="L95" i="7"/>
  <c r="K95" i="7"/>
  <c r="P96" i="7"/>
  <c r="N96" i="7"/>
  <c r="I96" i="7"/>
  <c r="O96" i="7"/>
  <c r="L96" i="7"/>
  <c r="K96" i="7"/>
  <c r="P97" i="7"/>
  <c r="N97" i="7"/>
  <c r="I97" i="7"/>
  <c r="O97" i="7"/>
  <c r="L97" i="7"/>
  <c r="K97" i="7"/>
  <c r="P101" i="7"/>
  <c r="N101" i="7"/>
  <c r="I101" i="7"/>
  <c r="O101" i="7"/>
  <c r="L101" i="7"/>
  <c r="K101" i="7"/>
  <c r="P102" i="7"/>
  <c r="N102" i="7"/>
  <c r="I102" i="7"/>
  <c r="O102" i="7"/>
  <c r="L102" i="7"/>
  <c r="K102" i="7"/>
  <c r="P103" i="7"/>
  <c r="N103" i="7"/>
  <c r="I103" i="7"/>
  <c r="O103" i="7"/>
  <c r="L103" i="7"/>
  <c r="K103" i="7"/>
  <c r="P104" i="7"/>
  <c r="N104" i="7"/>
  <c r="I104" i="7"/>
  <c r="O104" i="7"/>
  <c r="L104" i="7"/>
  <c r="K104" i="7"/>
  <c r="P105" i="7"/>
  <c r="N105" i="7"/>
  <c r="I105" i="7"/>
  <c r="O105" i="7"/>
  <c r="L105" i="7"/>
  <c r="K105" i="7"/>
  <c r="P106" i="7"/>
  <c r="N106" i="7"/>
  <c r="I106" i="7"/>
  <c r="O106" i="7"/>
  <c r="L106" i="7"/>
  <c r="K106" i="7"/>
  <c r="P107" i="7"/>
  <c r="N107" i="7"/>
  <c r="I107" i="7"/>
  <c r="O107" i="7"/>
  <c r="L107" i="7"/>
  <c r="K107" i="7"/>
  <c r="P108" i="7"/>
  <c r="N108" i="7"/>
  <c r="I108" i="7"/>
  <c r="O108" i="7"/>
  <c r="L108" i="7"/>
  <c r="K108" i="7"/>
  <c r="L116" i="7"/>
  <c r="L143" i="7"/>
  <c r="L149" i="7"/>
  <c r="L164" i="7"/>
  <c r="I98" i="7" l="1"/>
  <c r="I94" i="7"/>
  <c r="I93" i="7"/>
  <c r="I92" i="7"/>
  <c r="I90" i="7"/>
  <c r="H165" i="7"/>
  <c r="L109" i="7"/>
  <c r="K98" i="7"/>
  <c r="K94" i="7"/>
  <c r="K93" i="7"/>
  <c r="K92" i="7"/>
  <c r="J165" i="7"/>
  <c r="K21" i="7" l="1"/>
  <c r="K53" i="7"/>
  <c r="K86" i="7"/>
  <c r="K116" i="7"/>
  <c r="K143" i="7"/>
  <c r="K149" i="7"/>
  <c r="K164" i="7"/>
  <c r="K109" i="7"/>
  <c r="I21" i="7"/>
  <c r="I53" i="7"/>
  <c r="I86" i="7"/>
  <c r="I116" i="7"/>
  <c r="I143" i="7"/>
  <c r="I149" i="7"/>
  <c r="I164" i="7"/>
  <c r="I109" i="7"/>
</calcChain>
</file>

<file path=xl/sharedStrings.xml><?xml version="1.0" encoding="utf-8"?>
<sst xmlns="http://schemas.openxmlformats.org/spreadsheetml/2006/main" count="358" uniqueCount="225">
  <si>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</si>
  <si>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</si>
  <si>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</si>
  <si>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</si>
  <si>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</si>
  <si>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</si>
  <si>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</si>
  <si>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</si>
  <si>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</si>
  <si>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Jan 2023</t>
  </si>
  <si>
    <t>UNIT HOLDERS</t>
  </si>
  <si>
    <t>Feb 2023</t>
  </si>
  <si>
    <t>S/N</t>
  </si>
  <si>
    <t>FUND</t>
  </si>
  <si>
    <t>FUND MANAGER</t>
  </si>
  <si>
    <t xml:space="preserve">TOTAL VALUE OF INVESTMENT (N)               </t>
  </si>
  <si>
    <t>TOTAL INCOME (N)</t>
  </si>
  <si>
    <t>TOTAL EXPENSES (N)</t>
  </si>
  <si>
    <t>NET INCOME/LOSS</t>
  </si>
  <si>
    <t>NET ASSET VALUE  (N) PREVIOUS JANUARY</t>
  </si>
  <si>
    <t>% ON TOTAL</t>
  </si>
  <si>
    <t xml:space="preserve">NET ASSET VALUE  (N) </t>
  </si>
  <si>
    <t>% CHANGE IN NAV</t>
  </si>
  <si>
    <t>BID PRICE (N)</t>
  </si>
  <si>
    <t>OFFER PRICE (N)</t>
  </si>
  <si>
    <t>NUMBER OF UNIT HOLDERS</t>
  </si>
  <si>
    <t>OPENING NUMBER OF UNITS</t>
  </si>
  <si>
    <t>CLOSING NUMBER OF UNITS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</si>
  <si>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</si>
  <si>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</si>
  <si>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</si>
  <si>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</si>
  <si>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</si>
  <si>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</si>
  <si>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</si>
  <si>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</si>
  <si>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</si>
  <si>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</si>
  <si>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</si>
  <si>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</si>
  <si>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</si>
  <si>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</si>
  <si>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</si>
  <si>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</si>
  <si>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</si>
  <si>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</si>
  <si>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</si>
  <si>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</si>
  <si>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</si>
  <si>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</si>
  <si>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</si>
  <si>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</si>
  <si>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</si>
  <si>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UBA Nom-Cowry Equity Fund</t>
  </si>
  <si>
    <t>Cowry Treasurers Limited</t>
  </si>
  <si>
    <t>United Capital Equity Fund</t>
  </si>
  <si>
    <t>United Capital Asset Mgt. Ltd</t>
  </si>
  <si>
    <t>Vantage Equity Income Fund</t>
  </si>
  <si>
    <t>Investment One Funds Management Limited</t>
  </si>
  <si>
    <t>Sub Total</t>
  </si>
  <si>
    <t>Abacus Money Market Fund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</si>
  <si>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</si>
  <si>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</si>
  <si>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</si>
  <si>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</si>
  <si>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</si>
  <si>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</si>
  <si>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</si>
  <si>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</si>
  <si>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</si>
  <si>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</si>
  <si>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</si>
  <si>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</si>
  <si>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</si>
  <si>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</si>
  <si>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</si>
  <si>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</si>
  <si>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</si>
  <si>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</si>
  <si>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</si>
  <si>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</si>
  <si>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</si>
  <si>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</si>
  <si>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</si>
  <si>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</si>
  <si>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</si>
  <si>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</si>
  <si>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</si>
  <si>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</si>
  <si>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</si>
  <si>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</si>
  <si>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</si>
  <si>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</si>
  <si>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</si>
  <si>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</si>
  <si>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</si>
  <si>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</si>
  <si>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</si>
  <si>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</si>
  <si>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</si>
  <si>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</si>
  <si>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</si>
  <si>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</si>
  <si>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</si>
  <si>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</si>
  <si>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</si>
  <si>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</si>
  <si>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</si>
  <si>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</si>
  <si>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</si>
  <si>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</si>
  <si>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</si>
  <si>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</si>
  <si>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</si>
  <si>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</si>
  <si>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</si>
  <si>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Fund(Frml BGL Sapphire)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</si>
  <si>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</si>
  <si>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</si>
  <si>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</si>
  <si>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</si>
  <si>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</si>
  <si>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</si>
  <si>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</si>
  <si>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</si>
  <si>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</si>
  <si>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FBN Bond Fund (FBN Fixed Income Fund)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</si>
  <si>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</si>
  <si>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</si>
  <si>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</si>
  <si>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</si>
  <si>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</si>
  <si>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</si>
  <si>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</si>
  <si>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</si>
  <si>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</si>
  <si>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</si>
  <si>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</si>
  <si>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</si>
  <si>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</si>
  <si>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</si>
  <si>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</si>
  <si>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UBA Nom-Cowry Fixed Income Fund</t>
  </si>
  <si>
    <t>United Capital Fixed Income Fund</t>
  </si>
  <si>
    <t>Vantage Guaranteed Income Fund</t>
  </si>
  <si>
    <t>Zenith Income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</si>
  <si>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</si>
  <si>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</si>
  <si>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</si>
  <si>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</si>
  <si>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</si>
  <si>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</si>
  <si>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</si>
  <si>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</si>
  <si>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</si>
  <si>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</si>
  <si>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</si>
  <si>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</si>
  <si>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</si>
  <si>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</si>
  <si>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</si>
  <si>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</si>
  <si>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</si>
  <si>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</si>
  <si>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</si>
  <si>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</si>
  <si>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</si>
  <si>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</si>
  <si>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</si>
  <si>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</si>
  <si>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</si>
  <si>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</si>
  <si>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17,040,099.95</t>
  </si>
  <si>
    <t>UPDC Real Estate Investment Fund</t>
  </si>
  <si>
    <t>Stanbic IBTC Asset Management Limited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</si>
  <si>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</si>
  <si>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</si>
  <si>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</si>
  <si>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</si>
  <si>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</si>
  <si>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</si>
  <si>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</si>
  <si>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</si>
  <si>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</si>
  <si>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 (Gender/Diversity)</t>
  </si>
  <si>
    <t>FBN Balanced Fund</t>
  </si>
  <si>
    <t>GDL Canary Balanced Fund</t>
  </si>
  <si>
    <t xml:space="preserve">Lead Balanced Fund </t>
  </si>
  <si>
    <t>Nigeria Energy Sector Fund</t>
  </si>
  <si>
    <t>Nigeria Entertainment Fund</t>
  </si>
  <si>
    <t>NOVA Hybrid Balanced Fund</t>
  </si>
  <si>
    <t>PACAM Balanced Fund</t>
  </si>
  <si>
    <t>Stanbic IBTC Balanced Fund</t>
  </si>
  <si>
    <t>UBA Nom-Cowry Balanced Fund</t>
  </si>
  <si>
    <t>United Capital Balanced Fund</t>
  </si>
  <si>
    <t>ValuAlliance Value Fund</t>
  </si>
  <si>
    <t>Vantage Balanced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</si>
  <si>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</si>
  <si>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</si>
  <si>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</si>
  <si>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</si>
  <si>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</si>
  <si>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</si>
  <si>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</si>
  <si>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</si>
  <si>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</si>
  <si>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</si>
  <si>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</si>
  <si>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</si>
  <si>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</si>
  <si>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</si>
  <si>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</si>
  <si>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</si>
  <si>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</si>
  <si>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</si>
  <si>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</si>
  <si>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</si>
  <si>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Note: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</si>
  <si>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28</t>
    </r>
    <r>
      <rPr>
        <vertAlign val="superscript"/>
        <sz val="6"/>
        <color theme="0"/>
        <rFont val="Times New Roman"/>
        <family val="1"/>
      </rPr>
      <t>th</t>
    </r>
    <r>
      <rPr>
        <sz val="6"/>
        <color theme="0"/>
        <rFont val="Times New Roman"/>
        <family val="1"/>
      </rPr>
      <t xml:space="preserve"> February, 2023 = </t>
    </r>
    <r>
      <rPr>
        <strike/>
        <sz val="6"/>
        <color theme="0"/>
        <rFont val="Times New Roman"/>
        <family val="1"/>
      </rPr>
      <t>N460.97</t>
    </r>
  </si>
  <si>
    <t>The chart above shows that the Money Market Fund has the highest share of the Aggregate Net Asset Value (NAV) at 49.96% , followed by Bond/Fixed Income Fund with 21.63%, Dollar Fund (Eurobonds and Fixed Income) at 20.59%, Real Estate Investment Trust at 2.98%.  Next is Balanced Fund at 2.02%, Shari'ah Compliant Fund at 1.49%, Equity Fund at 1.12% and Ethical Fund at 0.20%.</t>
  </si>
  <si>
    <t>EXPENSE RATIO</t>
  </si>
  <si>
    <t>RETURN ON EQUITY (ROE)</t>
  </si>
  <si>
    <t>NET ASSET PER UNIT</t>
  </si>
  <si>
    <t>EARNINGS PER UNIT (EPU)</t>
  </si>
  <si>
    <t>MONTHLY UPDATE ON REGISTERED MUTUAL FUNDS AS AT 28TH FEBRUARY,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</si>
</sst>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  <numFmt numFmtId="169" formatCode="_-* #,##0_-;\-* #,##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32"/>
      <color theme="0"/>
      <name val="Segoe UI Black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sz val="8"/>
      <color theme="1"/>
      <name val="Century Gothic"/>
      <family val="2"/>
    </font>
    <font>
      <b/>
      <sz val="8"/>
      <color rgb="FF00B05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indexed="8"/>
      <name val="Century Gothic"/>
      <family val="2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vertAlign val="superscript"/>
      <sz val="6"/>
      <color theme="0"/>
      <name val="Times New Roman"/>
      <family val="1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b/>
      <sz val="8"/>
      <name val="Century Gothic"/>
      <family val="2"/>
    </font>
    <font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2" fillId="0" borderId="0"/>
  </cellStyleXfs>
  <cellXfs count="107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4" fontId="5" fillId="2" borderId="0" xfId="0" applyNumberFormat="1" applyFont="1" applyFill="1"/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" fontId="4" fillId="2" borderId="0" xfId="0" applyNumberFormat="1" applyFont="1" applyFill="1"/>
    <xf numFmtId="0" fontId="4" fillId="2" borderId="0" xfId="0" applyFont="1" applyFill="1" applyAlignment="1">
      <alignment wrapText="1"/>
    </xf>
    <xf numFmtId="4" fontId="4" fillId="2" borderId="0" xfId="0" applyNumberFormat="1" applyFont="1" applyFill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43" fontId="0" fillId="0" borderId="0" xfId="6" applyFont="1"/>
    <xf numFmtId="16" fontId="6" fillId="2" borderId="1" xfId="0" quotePrefix="1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43" fontId="14" fillId="0" borderId="0" xfId="6" applyFont="1"/>
    <xf numFmtId="0" fontId="13" fillId="0" borderId="0" xfId="0" applyFont="1" applyAlignment="1">
      <alignment horizontal="right"/>
    </xf>
    <xf numFmtId="165" fontId="0" fillId="0" borderId="0" xfId="6" applyNumberFormat="1" applyFont="1"/>
    <xf numFmtId="16" fontId="8" fillId="2" borderId="1" xfId="0" quotePrefix="1" applyNumberFormat="1" applyFont="1" applyFill="1" applyBorder="1" applyAlignment="1">
      <alignment horizontal="right"/>
    </xf>
    <xf numFmtId="164" fontId="15" fillId="2" borderId="2" xfId="1" applyFont="1" applyFill="1" applyBorder="1"/>
    <xf numFmtId="16" fontId="3" fillId="2" borderId="0" xfId="0" applyNumberFormat="1" applyFont="1" applyFill="1"/>
    <xf numFmtId="49" fontId="17" fillId="4" borderId="2" xfId="0" applyNumberFormat="1" applyFont="1" applyFill="1" applyBorder="1" applyAlignment="1">
      <alignment horizontal="center" vertical="top" wrapText="1"/>
    </xf>
    <xf numFmtId="164" fontId="17" fillId="4" borderId="2" xfId="1" applyFont="1" applyFill="1" applyBorder="1" applyAlignment="1">
      <alignment horizontal="center" vertical="top" wrapText="1"/>
    </xf>
    <xf numFmtId="167" fontId="19" fillId="2" borderId="2" xfId="0" applyNumberFormat="1" applyFont="1" applyFill="1" applyBorder="1" applyAlignment="1">
      <alignment horizontal="center" wrapText="1"/>
    </xf>
    <xf numFmtId="49" fontId="19" fillId="2" borderId="2" xfId="0" applyNumberFormat="1" applyFont="1" applyFill="1" applyBorder="1" applyAlignment="1">
      <alignment wrapText="1"/>
    </xf>
    <xf numFmtId="4" fontId="19" fillId="2" borderId="2" xfId="0" applyNumberFormat="1" applyFont="1" applyFill="1" applyBorder="1"/>
    <xf numFmtId="164" fontId="19" fillId="2" borderId="2" xfId="1" applyFont="1" applyFill="1" applyBorder="1" applyAlignment="1"/>
    <xf numFmtId="166" fontId="19" fillId="2" borderId="2" xfId="0" applyNumberFormat="1" applyFont="1" applyFill="1" applyBorder="1" applyAlignment="1">
      <alignment horizontal="left"/>
    </xf>
    <xf numFmtId="10" fontId="19" fillId="2" borderId="2" xfId="0" applyNumberFormat="1" applyFont="1" applyFill="1" applyBorder="1"/>
    <xf numFmtId="10" fontId="15" fillId="5" borderId="2" xfId="0" applyNumberFormat="1" applyFont="1" applyFill="1" applyBorder="1" applyAlignment="1">
      <alignment horizontal="center" vertical="center"/>
    </xf>
    <xf numFmtId="10" fontId="19" fillId="5" borderId="2" xfId="0" applyNumberFormat="1" applyFont="1" applyFill="1" applyBorder="1" applyAlignment="1">
      <alignment horizontal="center" vertical="center"/>
    </xf>
    <xf numFmtId="166" fontId="19" fillId="5" borderId="2" xfId="0" applyNumberFormat="1" applyFont="1" applyFill="1" applyBorder="1" applyAlignment="1">
      <alignment horizontal="right" vertical="center"/>
    </xf>
    <xf numFmtId="166" fontId="19" fillId="2" borderId="2" xfId="0" applyNumberFormat="1" applyFont="1" applyFill="1" applyBorder="1"/>
    <xf numFmtId="49" fontId="19" fillId="2" borderId="2" xfId="0" applyNumberFormat="1" applyFont="1" applyFill="1" applyBorder="1"/>
    <xf numFmtId="164" fontId="19" fillId="2" borderId="2" xfId="1" applyFont="1" applyFill="1" applyBorder="1"/>
    <xf numFmtId="49" fontId="19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166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/>
    <xf numFmtId="10" fontId="20" fillId="2" borderId="2" xfId="0" applyNumberFormat="1" applyFont="1" applyFill="1" applyBorder="1"/>
    <xf numFmtId="164" fontId="19" fillId="2" borderId="2" xfId="1" applyFont="1" applyFill="1" applyBorder="1" applyAlignment="1">
      <alignment wrapText="1"/>
    </xf>
    <xf numFmtId="49" fontId="19" fillId="2" borderId="2" xfId="0" applyNumberFormat="1" applyFont="1" applyFill="1" applyBorder="1" applyAlignment="1">
      <alignment vertical="top" wrapText="1"/>
    </xf>
    <xf numFmtId="2" fontId="19" fillId="2" borderId="2" xfId="0" applyNumberFormat="1" applyFont="1" applyFill="1" applyBorder="1"/>
    <xf numFmtId="168" fontId="19" fillId="2" borderId="2" xfId="0" applyNumberFormat="1" applyFont="1" applyFill="1" applyBorder="1"/>
    <xf numFmtId="167" fontId="19" fillId="2" borderId="2" xfId="0" applyNumberFormat="1" applyFont="1" applyFill="1" applyBorder="1" applyAlignment="1">
      <alignment horizontal="right" wrapText="1"/>
    </xf>
    <xf numFmtId="168" fontId="19" fillId="2" borderId="2" xfId="1" applyNumberFormat="1" applyFont="1" applyFill="1" applyBorder="1" applyAlignment="1"/>
    <xf numFmtId="164" fontId="19" fillId="2" borderId="2" xfId="1" applyFont="1" applyFill="1" applyBorder="1" applyAlignment="1">
      <alignment horizontal="left"/>
    </xf>
    <xf numFmtId="166" fontId="19" fillId="2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" fontId="19" fillId="2" borderId="2" xfId="0" applyNumberFormat="1" applyFont="1" applyFill="1" applyBorder="1" applyAlignment="1">
      <alignment horizontal="right"/>
    </xf>
    <xf numFmtId="3" fontId="19" fillId="2" borderId="2" xfId="0" applyNumberFormat="1" applyFont="1" applyFill="1" applyBorder="1"/>
    <xf numFmtId="166" fontId="23" fillId="2" borderId="6" xfId="0" applyNumberFormat="1" applyFont="1" applyFill="1" applyBorder="1"/>
    <xf numFmtId="166" fontId="19" fillId="2" borderId="2" xfId="0" applyNumberFormat="1" applyFont="1" applyFill="1" applyBorder="1" applyAlignment="1">
      <alignment horizontal="left" wrapText="1"/>
    </xf>
    <xf numFmtId="0" fontId="24" fillId="6" borderId="0" xfId="0" applyFont="1" applyFill="1" applyAlignment="1">
      <alignment horizontal="left"/>
    </xf>
    <xf numFmtId="10" fontId="19" fillId="5" borderId="2" xfId="0" applyNumberFormat="1" applyFont="1" applyFill="1" applyBorder="1" applyAlignment="1">
      <alignment horizontal="right" vertical="center"/>
    </xf>
    <xf numFmtId="0" fontId="24" fillId="6" borderId="0" xfId="0" applyFont="1" applyFill="1" applyAlignment="1">
      <alignment horizontal="right" vertical="center"/>
    </xf>
    <xf numFmtId="10" fontId="19" fillId="2" borderId="2" xfId="0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0" fillId="2" borderId="0" xfId="0" applyFill="1"/>
    <xf numFmtId="164" fontId="1" fillId="2" borderId="0" xfId="1" applyFont="1" applyFill="1" applyBorder="1" applyAlignment="1"/>
    <xf numFmtId="0" fontId="27" fillId="2" borderId="0" xfId="0" applyFont="1" applyFill="1"/>
    <xf numFmtId="166" fontId="28" fillId="2" borderId="0" xfId="0" applyNumberFormat="1" applyFont="1" applyFill="1"/>
    <xf numFmtId="168" fontId="28" fillId="2" borderId="0" xfId="0" applyNumberFormat="1" applyFont="1" applyFill="1"/>
    <xf numFmtId="164" fontId="23" fillId="2" borderId="6" xfId="1" applyFont="1" applyFill="1" applyBorder="1" applyAlignment="1">
      <alignment horizontal="right"/>
    </xf>
    <xf numFmtId="164" fontId="23" fillId="2" borderId="6" xfId="1" applyFont="1" applyFill="1" applyBorder="1"/>
    <xf numFmtId="166" fontId="15" fillId="2" borderId="2" xfId="0" applyNumberFormat="1" applyFont="1" applyFill="1" applyBorder="1" applyAlignment="1">
      <alignment horizontal="left"/>
    </xf>
    <xf numFmtId="166" fontId="15" fillId="2" borderId="2" xfId="0" applyNumberFormat="1" applyFont="1" applyFill="1" applyBorder="1"/>
    <xf numFmtId="164" fontId="15" fillId="2" borderId="2" xfId="1" applyFont="1" applyFill="1" applyBorder="1" applyAlignment="1"/>
    <xf numFmtId="10" fontId="19" fillId="2" borderId="2" xfId="0" applyNumberFormat="1" applyFont="1" applyFill="1" applyBorder="1" applyAlignment="1">
      <alignment horizontal="center"/>
    </xf>
    <xf numFmtId="10" fontId="20" fillId="2" borderId="2" xfId="0" applyNumberFormat="1" applyFont="1" applyFill="1" applyBorder="1" applyAlignment="1">
      <alignment horizontal="center"/>
    </xf>
    <xf numFmtId="169" fontId="0" fillId="0" borderId="0" xfId="1" applyNumberFormat="1" applyFont="1"/>
    <xf numFmtId="166" fontId="21" fillId="4" borderId="2" xfId="0" applyNumberFormat="1" applyFont="1" applyFill="1" applyBorder="1"/>
    <xf numFmtId="10" fontId="30" fillId="4" borderId="2" xfId="0" applyNumberFormat="1" applyFont="1" applyFill="1" applyBorder="1"/>
    <xf numFmtId="10" fontId="30" fillId="4" borderId="2" xfId="0" applyNumberFormat="1" applyFont="1" applyFill="1" applyBorder="1" applyAlignment="1">
      <alignment horizontal="right" vertical="center"/>
    </xf>
    <xf numFmtId="166" fontId="30" fillId="4" borderId="2" xfId="0" applyNumberFormat="1" applyFont="1" applyFill="1" applyBorder="1" applyAlignment="1">
      <alignment horizontal="right" vertical="center"/>
    </xf>
    <xf numFmtId="166" fontId="30" fillId="4" borderId="2" xfId="0" applyNumberFormat="1" applyFont="1" applyFill="1" applyBorder="1"/>
    <xf numFmtId="164" fontId="21" fillId="4" borderId="2" xfId="1" applyFont="1" applyFill="1" applyBorder="1"/>
    <xf numFmtId="164" fontId="30" fillId="4" borderId="2" xfId="1" applyFont="1" applyFill="1" applyBorder="1"/>
    <xf numFmtId="49" fontId="21" fillId="2" borderId="2" xfId="0" applyNumberFormat="1" applyFont="1" applyFill="1" applyBorder="1" applyAlignment="1">
      <alignment horizontal="center" vertical="top" wrapText="1"/>
    </xf>
    <xf numFmtId="49" fontId="15" fillId="2" borderId="3" xfId="0" applyNumberFormat="1" applyFont="1" applyFill="1" applyBorder="1" applyAlignment="1">
      <alignment horizontal="right"/>
    </xf>
    <xf numFmtId="49" fontId="15" fillId="2" borderId="4" xfId="0" applyNumberFormat="1" applyFont="1" applyFill="1" applyBorder="1" applyAlignment="1">
      <alignment horizontal="right"/>
    </xf>
    <xf numFmtId="49" fontId="15" fillId="2" borderId="5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center" wrapText="1"/>
    </xf>
    <xf numFmtId="49" fontId="19" fillId="2" borderId="4" xfId="0" applyNumberFormat="1" applyFont="1" applyFill="1" applyBorder="1" applyAlignment="1">
      <alignment horizontal="center" wrapText="1"/>
    </xf>
    <xf numFmtId="49" fontId="19" fillId="2" borderId="5" xfId="0" applyNumberFormat="1" applyFont="1" applyFill="1" applyBorder="1" applyAlignment="1">
      <alignment horizontal="center" wrapText="1"/>
    </xf>
    <xf numFmtId="166" fontId="22" fillId="2" borderId="2" xfId="0" applyNumberFormat="1" applyFont="1" applyFill="1" applyBorder="1" applyAlignment="1">
      <alignment horizontal="center" wrapText="1"/>
    </xf>
    <xf numFmtId="167" fontId="19" fillId="2" borderId="3" xfId="0" applyNumberFormat="1" applyFont="1" applyFill="1" applyBorder="1" applyAlignment="1">
      <alignment horizontal="center" wrapText="1"/>
    </xf>
    <xf numFmtId="167" fontId="19" fillId="2" borderId="4" xfId="0" applyNumberFormat="1" applyFont="1" applyFill="1" applyBorder="1" applyAlignment="1">
      <alignment horizontal="center" wrapText="1"/>
    </xf>
    <xf numFmtId="167" fontId="19" fillId="2" borderId="5" xfId="0" applyNumberFormat="1" applyFont="1" applyFill="1" applyBorder="1" applyAlignment="1">
      <alignment horizontal="center" wrapText="1"/>
    </xf>
    <xf numFmtId="49" fontId="16" fillId="7" borderId="2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49" fontId="18" fillId="2" borderId="2" xfId="0" applyNumberFormat="1" applyFont="1" applyFill="1" applyBorder="1" applyAlignment="1">
      <alignment horizontal="center" vertical="top" wrapText="1"/>
    </xf>
    <xf numFmtId="167" fontId="19" fillId="2" borderId="3" xfId="0" applyNumberFormat="1" applyFont="1" applyFill="1" applyBorder="1" applyAlignment="1">
      <alignment horizontal="center"/>
    </xf>
    <xf numFmtId="167" fontId="19" fillId="2" borderId="4" xfId="0" applyNumberFormat="1" applyFont="1" applyFill="1" applyBorder="1" applyAlignment="1">
      <alignment horizontal="center"/>
    </xf>
    <xf numFmtId="167" fontId="19" fillId="2" borderId="5" xfId="0" applyNumberFormat="1" applyFont="1" applyFill="1" applyBorder="1" applyAlignment="1">
      <alignment horizontal="center"/>
    </xf>
    <xf numFmtId="49" fontId="29" fillId="2" borderId="6" xfId="0" applyNumberFormat="1" applyFont="1" applyFill="1" applyBorder="1" applyAlignment="1">
      <alignment horizontal="right"/>
    </xf>
    <xf numFmtId="49" fontId="18" fillId="4" borderId="6" xfId="0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" wrapText="1"/>
    </xf>
    <xf numFmtId="166" fontId="19" fillId="2" borderId="3" xfId="0" applyNumberFormat="1" applyFont="1" applyFill="1" applyBorder="1" applyAlignment="1">
      <alignment horizontal="center"/>
    </xf>
    <xf numFmtId="166" fontId="19" fillId="2" borderId="4" xfId="0" applyNumberFormat="1" applyFont="1" applyFill="1" applyBorder="1" applyAlignment="1">
      <alignment horizontal="center"/>
    </xf>
    <xf numFmtId="166" fontId="19" fillId="2" borderId="5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 wrapText="1"/>
    </xf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6E835889-8A32-48B2-8C41-226AFE52856D}"/>
    <cellStyle name="Normal 27 2" xfId="5" xr:uid="{00000000-0005-0000-0000-000005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16.908516222279999</c:v>
                </c:pt>
                <c:pt idx="1">
                  <c:v>695.06269248001001</c:v>
                </c:pt>
                <c:pt idx="2">
                  <c:v>353.82214594098997</c:v>
                </c:pt>
                <c:pt idx="3">
                  <c:v>321.92234233432004</c:v>
                </c:pt>
                <c:pt idx="4">
                  <c:v>46.357532510620004</c:v>
                </c:pt>
                <c:pt idx="5">
                  <c:v>30.595879635870201</c:v>
                </c:pt>
                <c:pt idx="6">
                  <c:v>3.0550927124899996</c:v>
                </c:pt>
                <c:pt idx="7">
                  <c:v>22.969877180849998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 2023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17.475775177479999</c:v>
                </c:pt>
                <c:pt idx="1">
                  <c:v>779.38155044527002</c:v>
                </c:pt>
                <c:pt idx="2">
                  <c:v>337.46479226241996</c:v>
                </c:pt>
                <c:pt idx="3">
                  <c:v>321.187212794635</c:v>
                </c:pt>
                <c:pt idx="4">
                  <c:v>46.530408764599997</c:v>
                </c:pt>
                <c:pt idx="5">
                  <c:v>31.462784542599998</c:v>
                </c:pt>
                <c:pt idx="6">
                  <c:v>3.1839281716899999</c:v>
                </c:pt>
                <c:pt idx="7">
                  <c:v>23.254934570050001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Feb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DOLLAR FUNDS</c:v>
                </c:pt>
                <c:pt idx="6">
                  <c:v>BONDS/FIXED INCOME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_(* #,##0.00_);_(* \(#,##0.00\);_(* "-"??_);_(@_)</c:formatCode>
                <c:ptCount val="8"/>
                <c:pt idx="0">
                  <c:v>3183928171.6900001</c:v>
                </c:pt>
                <c:pt idx="1">
                  <c:v>17475775177.48</c:v>
                </c:pt>
                <c:pt idx="2">
                  <c:v>23254934570.050003</c:v>
                </c:pt>
                <c:pt idx="3">
                  <c:v>31462784542.600002</c:v>
                </c:pt>
                <c:pt idx="4">
                  <c:v>46530408764.599998</c:v>
                </c:pt>
                <c:pt idx="5">
                  <c:v>321187212794.63538</c:v>
                </c:pt>
                <c:pt idx="6">
                  <c:v>337464792262.4201</c:v>
                </c:pt>
                <c:pt idx="7">
                  <c:v>779381550445.27002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39879</c:v>
                </c:pt>
                <c:pt idx="1">
                  <c:v>213694</c:v>
                </c:pt>
                <c:pt idx="2">
                  <c:v>49070</c:v>
                </c:pt>
                <c:pt idx="3">
                  <c:v>11281.25</c:v>
                </c:pt>
                <c:pt idx="4">
                  <c:v>36846</c:v>
                </c:pt>
                <c:pt idx="5">
                  <c:v>47289</c:v>
                </c:pt>
                <c:pt idx="6">
                  <c:v>11032</c:v>
                </c:pt>
                <c:pt idx="7">
                  <c:v>17836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0-443E-8C73-1420CF4870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014904000"/>
        <c:axId val="1014895840"/>
      </c:barChart>
      <c:catAx>
        <c:axId val="101490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95840"/>
        <c:crosses val="autoZero"/>
        <c:auto val="1"/>
        <c:lblAlgn val="ctr"/>
        <c:lblOffset val="100"/>
        <c:noMultiLvlLbl val="0"/>
      </c:catAx>
      <c:valAx>
        <c:axId val="101489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0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39879</c:v>
                </c:pt>
                <c:pt idx="1">
                  <c:v>213694</c:v>
                </c:pt>
                <c:pt idx="2">
                  <c:v>49070</c:v>
                </c:pt>
                <c:pt idx="3">
                  <c:v>11281.25</c:v>
                </c:pt>
                <c:pt idx="4">
                  <c:v>36846</c:v>
                </c:pt>
                <c:pt idx="5">
                  <c:v>47289</c:v>
                </c:pt>
                <c:pt idx="6">
                  <c:v>11032</c:v>
                </c:pt>
                <c:pt idx="7">
                  <c:v>17836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8-48C2-8215-C21C451F15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83845375"/>
        <c:axId val="383832895"/>
      </c:barChart>
      <c:catAx>
        <c:axId val="3838453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</a:t>
                </a:r>
              </a:p>
            </c:rich>
          </c:tx>
          <c:layout>
            <c:manualLayout>
              <c:xMode val="edge"/>
              <c:yMode val="edge"/>
              <c:x val="1.4154281670205236E-2"/>
              <c:y val="0.34849430053127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832895"/>
        <c:crosses val="autoZero"/>
        <c:auto val="1"/>
        <c:lblAlgn val="ctr"/>
        <c:lblOffset val="100"/>
        <c:noMultiLvlLbl val="0"/>
      </c:catAx>
      <c:valAx>
        <c:axId val="383832895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3845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12</xdr:col>
      <xdr:colOff>529590</xdr:colOff>
      <xdr:row>22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582705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5</xdr:col>
      <xdr:colOff>190501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05D71D-361A-0FF5-C768-7F3E5CAB5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9525</xdr:rowOff>
    </xdr:from>
    <xdr:to>
      <xdr:col>11</xdr:col>
      <xdr:colOff>19050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7A573-6E9D-F44C-CF83-24BCAB0B1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EA4D-F2E2-4347-A2A8-A76B9964E5AB}">
  <dimension ref="A1:U167"/>
  <sheetViews>
    <sheetView tabSelected="1" workbookViewId="0">
      <pane ySplit="2" topLeftCell="A3" activePane="bottomLeft" state="frozen"/>
      <selection activeCell="N1" sqref="N1"/>
      <selection pane="bottomLeft" activeCell="A5" sqref="A5"/>
    </sheetView>
  </sheetViews>
  <sheetFormatPr defaultRowHeight="15"/>
  <cols>
    <col min="1" max="1" width="6.7109375" customWidth="1"/>
    <col min="2" max="2" width="53.7109375" customWidth="1"/>
    <col min="3" max="3" width="47" customWidth="1"/>
    <col min="4" max="4" width="21.5703125" customWidth="1"/>
    <col min="5" max="5" width="19.28515625" customWidth="1"/>
    <col min="6" max="6" width="19.7109375" customWidth="1"/>
    <col min="7" max="7" width="20" customWidth="1"/>
    <col min="8" max="8" width="22" customWidth="1"/>
    <col min="9" max="9" width="9.140625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28515625" customWidth="1"/>
    <col min="16" max="16" width="12.7109375" customWidth="1"/>
    <col min="17" max="17" width="15" customWidth="1"/>
    <col min="18" max="18" width="14.42578125" customWidth="1"/>
    <col min="19" max="19" width="13.7109375" customWidth="1"/>
    <col min="20" max="21" width="20.140625" customWidth="1"/>
  </cols>
  <sheetData>
    <row r="1" spans="1:21" ht="40.5" customHeight="1">
      <c r="A1" s="94" t="s">
        <v>224</v>
      </c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48" customHeight="1">
      <c r="A2" s="24" t="s">
        <v>12</v>
      </c>
      <c r="B2" s="24" t="s">
        <v>13</v>
      </c>
      <c r="C2" s="24" t="s">
        <v>14</v>
      </c>
      <c r="D2" s="24" t="s">
        <v>15</v>
      </c>
      <c r="E2" s="24" t="s">
        <v>16</v>
      </c>
      <c r="F2" s="24" t="s">
        <v>17</v>
      </c>
      <c r="G2" s="25" t="s">
        <v>18</v>
      </c>
      <c r="H2" s="24" t="s">
        <v>19</v>
      </c>
      <c r="I2" s="24" t="s">
        <v>20</v>
      </c>
      <c r="J2" s="24" t="s">
        <v>21</v>
      </c>
      <c r="K2" s="24" t="s">
        <v>20</v>
      </c>
      <c r="L2" s="24" t="s">
        <v>22</v>
      </c>
      <c r="M2" s="24" t="s">
        <v>220</v>
      </c>
      <c r="N2" s="24" t="s">
        <v>221</v>
      </c>
      <c r="O2" s="24" t="s">
        <v>222</v>
      </c>
      <c r="P2" s="24" t="s">
        <v>223</v>
      </c>
      <c r="Q2" s="24" t="s">
        <v>23</v>
      </c>
      <c r="R2" s="24" t="s">
        <v>24</v>
      </c>
      <c r="S2" s="24" t="s">
        <v>25</v>
      </c>
      <c r="T2" s="24" t="s">
        <v>26</v>
      </c>
      <c r="U2" s="24" t="s">
        <v>27</v>
      </c>
    </row>
    <row r="3" spans="1:21" ht="7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1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15.75">
      <c r="A5" s="26">
        <v>1</v>
      </c>
      <c r="B5" s="27" t="s">
        <v>28</v>
      </c>
      <c r="C5" s="27" t="s">
        <v>29</v>
      </c>
      <c r="D5" s="28">
        <v>444144869.52999997</v>
      </c>
      <c r="E5" s="28">
        <v>727061.44</v>
      </c>
      <c r="F5" s="28">
        <v>832191.97</v>
      </c>
      <c r="G5" s="29">
        <v>-105130.53</v>
      </c>
      <c r="H5" s="30">
        <v>421526181.61000001</v>
      </c>
      <c r="I5" s="31">
        <f t="shared" ref="I5:I20" si="0">(H5/$H$21)</f>
        <v>2.4929815015617026E-2</v>
      </c>
      <c r="J5" s="30">
        <v>440384958.29000002</v>
      </c>
      <c r="K5" s="31">
        <f t="shared" ref="K5:K20" si="1">(J5/$J$21)</f>
        <v>2.5199738141372871E-2</v>
      </c>
      <c r="L5" s="31">
        <f t="shared" ref="L5:L20" si="2">((J5-H5)/H5)</f>
        <v>4.4739277185511399E-2</v>
      </c>
      <c r="M5" s="32">
        <f t="shared" ref="M5:M20" si="3">(F5/J5)</f>
        <v>1.8896920849235483E-3</v>
      </c>
      <c r="N5" s="33">
        <f t="shared" ref="N5:N20" si="4">G5/J5</f>
        <v>-2.3872416171573686E-4</v>
      </c>
      <c r="O5" s="34">
        <f t="shared" ref="O5:O20" si="5">J5/U5</f>
        <v>205.60084286167469</v>
      </c>
      <c r="P5" s="34">
        <f t="shared" ref="P5:P20" si="6">G5/U5</f>
        <v>-4.9081888860202233E-2</v>
      </c>
      <c r="Q5" s="35">
        <v>205.60079999999999</v>
      </c>
      <c r="R5" s="35">
        <v>208.3587</v>
      </c>
      <c r="S5" s="37">
        <v>1715</v>
      </c>
      <c r="T5" s="37">
        <v>2141444.4844999998</v>
      </c>
      <c r="U5" s="37">
        <v>2141941.4053000002</v>
      </c>
    </row>
    <row r="6" spans="1:21" ht="15.75">
      <c r="A6" s="26">
        <v>2</v>
      </c>
      <c r="B6" s="27" t="s">
        <v>30</v>
      </c>
      <c r="C6" s="27" t="s">
        <v>31</v>
      </c>
      <c r="D6" s="28">
        <v>475434369.56</v>
      </c>
      <c r="E6" s="28">
        <v>1042771.16</v>
      </c>
      <c r="F6" s="28">
        <v>4664708.47</v>
      </c>
      <c r="G6" s="29">
        <v>3621937.31</v>
      </c>
      <c r="H6" s="30">
        <v>454429384.68000001</v>
      </c>
      <c r="I6" s="31">
        <f t="shared" si="0"/>
        <v>2.6875769506091128E-2</v>
      </c>
      <c r="J6" s="30">
        <v>473228472.94</v>
      </c>
      <c r="K6" s="31">
        <f t="shared" si="1"/>
        <v>2.7079111978381459E-2</v>
      </c>
      <c r="L6" s="31">
        <f t="shared" si="2"/>
        <v>4.1368557786459891E-2</v>
      </c>
      <c r="M6" s="32">
        <f t="shared" si="3"/>
        <v>9.8572016198007432E-3</v>
      </c>
      <c r="N6" s="33">
        <f t="shared" si="4"/>
        <v>7.6536757974392227E-3</v>
      </c>
      <c r="O6" s="34">
        <f t="shared" si="5"/>
        <v>158.87465423466946</v>
      </c>
      <c r="P6" s="34">
        <f t="shared" si="6"/>
        <v>1.2159750959424145</v>
      </c>
      <c r="Q6" s="35">
        <v>160.41999999999999</v>
      </c>
      <c r="R6" s="35">
        <v>158.71</v>
      </c>
      <c r="S6" s="37">
        <v>302</v>
      </c>
      <c r="T6" s="37">
        <v>2978929.59</v>
      </c>
      <c r="U6" s="37">
        <v>2978627.87</v>
      </c>
    </row>
    <row r="7" spans="1:21" ht="15.75">
      <c r="A7" s="26">
        <v>3</v>
      </c>
      <c r="B7" s="27" t="s">
        <v>32</v>
      </c>
      <c r="C7" s="36" t="s">
        <v>33</v>
      </c>
      <c r="D7" s="35">
        <v>2194682101.0999999</v>
      </c>
      <c r="E7" s="28">
        <v>4639216.6900000004</v>
      </c>
      <c r="F7" s="28">
        <v>6715715.9199999999</v>
      </c>
      <c r="G7" s="29">
        <v>101576390.3</v>
      </c>
      <c r="H7" s="30">
        <v>2397804091</v>
      </c>
      <c r="I7" s="31">
        <f t="shared" si="0"/>
        <v>0.14181043797565532</v>
      </c>
      <c r="J7" s="30">
        <v>2499015767</v>
      </c>
      <c r="K7" s="31">
        <f t="shared" si="1"/>
        <v>0.14299885078747948</v>
      </c>
      <c r="L7" s="31">
        <f t="shared" si="2"/>
        <v>4.2210152355603769E-2</v>
      </c>
      <c r="M7" s="32">
        <f t="shared" si="3"/>
        <v>2.6873443571994878E-3</v>
      </c>
      <c r="N7" s="33">
        <f t="shared" si="4"/>
        <v>4.0646558393642979E-2</v>
      </c>
      <c r="O7" s="34">
        <f t="shared" si="5"/>
        <v>23.959792203661284</v>
      </c>
      <c r="P7" s="34">
        <f t="shared" si="6"/>
        <v>0.9738830929056701</v>
      </c>
      <c r="Q7" s="35">
        <v>23.84</v>
      </c>
      <c r="R7" s="35">
        <v>24.558800000000002</v>
      </c>
      <c r="S7" s="37">
        <v>733</v>
      </c>
      <c r="T7" s="37">
        <v>104322682</v>
      </c>
      <c r="U7" s="37">
        <v>104300394</v>
      </c>
    </row>
    <row r="8" spans="1:21" ht="15.75">
      <c r="A8" s="26">
        <v>4</v>
      </c>
      <c r="B8" s="38" t="s">
        <v>34</v>
      </c>
      <c r="C8" s="38" t="s">
        <v>35</v>
      </c>
      <c r="D8" s="28">
        <v>202834623.66</v>
      </c>
      <c r="E8" s="28">
        <v>922198.25</v>
      </c>
      <c r="F8" s="28">
        <v>483082.36</v>
      </c>
      <c r="G8" s="29">
        <v>439115.89</v>
      </c>
      <c r="H8" s="30">
        <v>262302907.44999999</v>
      </c>
      <c r="I8" s="31">
        <f t="shared" si="0"/>
        <v>1.5513064777639619E-2</v>
      </c>
      <c r="J8" s="30">
        <v>273343219.52999997</v>
      </c>
      <c r="K8" s="31">
        <f t="shared" si="1"/>
        <v>1.5641264364755689E-2</v>
      </c>
      <c r="L8" s="31">
        <f t="shared" si="2"/>
        <v>4.2089934066417013E-2</v>
      </c>
      <c r="M8" s="32">
        <f t="shared" si="3"/>
        <v>1.7673105659274666E-3</v>
      </c>
      <c r="N8" s="33">
        <f t="shared" si="4"/>
        <v>1.6064634445845699E-3</v>
      </c>
      <c r="O8" s="34">
        <f t="shared" si="5"/>
        <v>145.22373764913459</v>
      </c>
      <c r="P8" s="34">
        <f t="shared" si="6"/>
        <v>0.23329662581927466</v>
      </c>
      <c r="Q8" s="35">
        <v>143.77000000000001</v>
      </c>
      <c r="R8" s="35">
        <v>146.68</v>
      </c>
      <c r="S8" s="37">
        <v>578</v>
      </c>
      <c r="T8" s="37">
        <v>1879541.5</v>
      </c>
      <c r="U8" s="37">
        <v>1882221.35</v>
      </c>
    </row>
    <row r="9" spans="1:21" ht="15.75">
      <c r="A9" s="26">
        <v>5</v>
      </c>
      <c r="B9" s="27" t="s">
        <v>36</v>
      </c>
      <c r="C9" s="27" t="s">
        <v>37</v>
      </c>
      <c r="D9" s="28">
        <v>373839134.64999998</v>
      </c>
      <c r="E9" s="28">
        <v>440803.6</v>
      </c>
      <c r="F9" s="28">
        <v>726638.18</v>
      </c>
      <c r="G9" s="29">
        <v>-51518789.18</v>
      </c>
      <c r="H9" s="30">
        <v>381463676.47000003</v>
      </c>
      <c r="I9" s="31">
        <f t="shared" si="0"/>
        <v>2.2560446549848841E-2</v>
      </c>
      <c r="J9" s="30">
        <v>373839134.64999998</v>
      </c>
      <c r="K9" s="31">
        <f t="shared" si="1"/>
        <v>2.1391848479015936E-2</v>
      </c>
      <c r="L9" s="31">
        <f t="shared" si="2"/>
        <v>-1.9987595910982314E-2</v>
      </c>
      <c r="M9" s="32">
        <f t="shared" si="3"/>
        <v>1.9437188690271865E-3</v>
      </c>
      <c r="N9" s="33">
        <f t="shared" si="4"/>
        <v>-0.13781004823968876</v>
      </c>
      <c r="O9" s="34">
        <f t="shared" si="5"/>
        <v>173.33978211457961</v>
      </c>
      <c r="P9" s="34">
        <f t="shared" si="6"/>
        <v>-23.887963735067352</v>
      </c>
      <c r="Q9" s="35">
        <v>173.34</v>
      </c>
      <c r="R9" s="35">
        <v>175.29</v>
      </c>
      <c r="S9" s="37">
        <v>1442</v>
      </c>
      <c r="T9" s="37">
        <v>2171716</v>
      </c>
      <c r="U9" s="37">
        <v>2156684</v>
      </c>
    </row>
    <row r="10" spans="1:21" ht="15.75">
      <c r="A10" s="26">
        <v>6</v>
      </c>
      <c r="B10" s="27" t="s">
        <v>38</v>
      </c>
      <c r="C10" s="36" t="s">
        <v>39</v>
      </c>
      <c r="D10" s="28">
        <v>279181320.88</v>
      </c>
      <c r="E10" s="28">
        <v>923468.23</v>
      </c>
      <c r="F10" s="28">
        <v>744612.84</v>
      </c>
      <c r="G10" s="29">
        <v>178855.39</v>
      </c>
      <c r="H10" s="30">
        <v>259620758.94999999</v>
      </c>
      <c r="I10" s="31">
        <f t="shared" si="0"/>
        <v>1.5354437700920386E-2</v>
      </c>
      <c r="J10" s="30">
        <v>270991832.27999997</v>
      </c>
      <c r="K10" s="31">
        <f t="shared" si="1"/>
        <v>1.5506713123044245E-2</v>
      </c>
      <c r="L10" s="31">
        <f t="shared" si="2"/>
        <v>4.3798783178928782E-2</v>
      </c>
      <c r="M10" s="32">
        <f t="shared" si="3"/>
        <v>2.7477316704904789E-3</v>
      </c>
      <c r="N10" s="33">
        <f t="shared" si="4"/>
        <v>6.6000288088092346E-4</v>
      </c>
      <c r="O10" s="34">
        <f t="shared" si="5"/>
        <v>136.15223800329485</v>
      </c>
      <c r="P10" s="34">
        <f t="shared" si="6"/>
        <v>8.9860869320559769E-2</v>
      </c>
      <c r="Q10" s="35">
        <v>136.15</v>
      </c>
      <c r="R10" s="35">
        <v>139.46</v>
      </c>
      <c r="S10" s="37">
        <v>2470</v>
      </c>
      <c r="T10" s="37">
        <v>1990416</v>
      </c>
      <c r="U10" s="37">
        <v>1990359</v>
      </c>
    </row>
    <row r="11" spans="1:21" ht="15.75">
      <c r="A11" s="26">
        <v>7</v>
      </c>
      <c r="B11" s="27" t="s">
        <v>40</v>
      </c>
      <c r="C11" s="27" t="s">
        <v>41</v>
      </c>
      <c r="D11" s="28">
        <v>27821879.710000001</v>
      </c>
      <c r="E11" s="28">
        <v>63824.66</v>
      </c>
      <c r="F11" s="28">
        <v>28461.759999999998</v>
      </c>
      <c r="G11" s="29">
        <v>35362.9</v>
      </c>
      <c r="H11" s="30">
        <v>25970763.989999998</v>
      </c>
      <c r="I11" s="31">
        <f t="shared" si="0"/>
        <v>1.5359575996253805E-3</v>
      </c>
      <c r="J11" s="30">
        <v>27239574.789999999</v>
      </c>
      <c r="K11" s="31">
        <f t="shared" si="1"/>
        <v>1.5587048078474959E-3</v>
      </c>
      <c r="L11" s="31">
        <f t="shared" si="2"/>
        <v>4.8855351366966115E-2</v>
      </c>
      <c r="M11" s="32">
        <f t="shared" si="3"/>
        <v>1.04486799883707E-3</v>
      </c>
      <c r="N11" s="33">
        <f t="shared" si="4"/>
        <v>1.2982177685454245E-3</v>
      </c>
      <c r="O11" s="34">
        <f t="shared" si="5"/>
        <v>108.09355075396824</v>
      </c>
      <c r="P11" s="34">
        <f t="shared" si="6"/>
        <v>0.14032896825396826</v>
      </c>
      <c r="Q11" s="35">
        <v>106.2</v>
      </c>
      <c r="R11" s="35">
        <v>109.7</v>
      </c>
      <c r="S11" s="37">
        <v>2</v>
      </c>
      <c r="T11" s="37">
        <v>253000</v>
      </c>
      <c r="U11" s="37">
        <v>252000</v>
      </c>
    </row>
    <row r="12" spans="1:21" ht="15.75">
      <c r="A12" s="26">
        <v>8</v>
      </c>
      <c r="B12" s="27" t="s">
        <v>42</v>
      </c>
      <c r="C12" s="36" t="s">
        <v>43</v>
      </c>
      <c r="D12" s="28">
        <v>1065111508.9400001</v>
      </c>
      <c r="E12" s="29">
        <v>1214891.05</v>
      </c>
      <c r="F12" s="28">
        <v>1494532.51</v>
      </c>
      <c r="G12" s="29">
        <v>279641.46000000002</v>
      </c>
      <c r="H12" s="30">
        <v>1017719560.76</v>
      </c>
      <c r="I12" s="31">
        <f t="shared" si="0"/>
        <v>6.0189761619589784E-2</v>
      </c>
      <c r="J12" s="30">
        <v>1060206203.17</v>
      </c>
      <c r="K12" s="31">
        <f t="shared" si="1"/>
        <v>6.0667191721270546E-2</v>
      </c>
      <c r="L12" s="31">
        <f t="shared" si="2"/>
        <v>4.1746905580032599E-2</v>
      </c>
      <c r="M12" s="32">
        <f t="shared" si="3"/>
        <v>1.4096621067971223E-3</v>
      </c>
      <c r="N12" s="33">
        <f t="shared" si="4"/>
        <v>2.6376138826944838E-4</v>
      </c>
      <c r="O12" s="34">
        <f t="shared" si="5"/>
        <v>2.158252573902669</v>
      </c>
      <c r="P12" s="34">
        <f t="shared" si="6"/>
        <v>5.6926369512867823E-4</v>
      </c>
      <c r="Q12" s="35">
        <v>2.13</v>
      </c>
      <c r="R12" s="35">
        <v>2.1800000000000002</v>
      </c>
      <c r="S12" s="37">
        <v>3677</v>
      </c>
      <c r="T12" s="37">
        <v>491228830</v>
      </c>
      <c r="U12" s="37">
        <v>491233610</v>
      </c>
    </row>
    <row r="13" spans="1:21" ht="15.75">
      <c r="A13" s="26">
        <v>9</v>
      </c>
      <c r="B13" s="27" t="s">
        <v>44</v>
      </c>
      <c r="C13" s="27" t="s">
        <v>45</v>
      </c>
      <c r="D13" s="28">
        <v>311846620.94</v>
      </c>
      <c r="E13" s="28">
        <v>546013.94999999995</v>
      </c>
      <c r="F13" s="28">
        <v>537989.68999999994</v>
      </c>
      <c r="G13" s="29">
        <v>14001555.17</v>
      </c>
      <c r="H13" s="30">
        <v>299571015.79000002</v>
      </c>
      <c r="I13" s="31">
        <f t="shared" si="0"/>
        <v>1.7717167600742018E-2</v>
      </c>
      <c r="J13" s="30">
        <v>317441034.56</v>
      </c>
      <c r="K13" s="31">
        <f t="shared" si="1"/>
        <v>1.8164632546261383E-2</v>
      </c>
      <c r="L13" s="31">
        <f t="shared" si="2"/>
        <v>5.9652028494395153E-2</v>
      </c>
      <c r="M13" s="32">
        <f t="shared" si="3"/>
        <v>1.6947704657833506E-3</v>
      </c>
      <c r="N13" s="33">
        <f t="shared" si="4"/>
        <v>4.4107577929889667E-2</v>
      </c>
      <c r="O13" s="34">
        <f t="shared" si="5"/>
        <v>13.3267713203642</v>
      </c>
      <c r="P13" s="34">
        <f t="shared" si="6"/>
        <v>0.58781160456678261</v>
      </c>
      <c r="Q13" s="35">
        <v>13.4</v>
      </c>
      <c r="R13" s="35">
        <v>13.46</v>
      </c>
      <c r="S13" s="37">
        <v>205</v>
      </c>
      <c r="T13" s="37">
        <v>23493803.27</v>
      </c>
      <c r="U13" s="37">
        <v>23819800.530000001</v>
      </c>
    </row>
    <row r="14" spans="1:21" ht="15.75">
      <c r="A14" s="26">
        <v>10</v>
      </c>
      <c r="B14" s="38" t="s">
        <v>46</v>
      </c>
      <c r="C14" s="38" t="s">
        <v>47</v>
      </c>
      <c r="D14" s="28">
        <v>296083576.29000002</v>
      </c>
      <c r="E14" s="28">
        <v>450290.4</v>
      </c>
      <c r="F14" s="28">
        <v>369970.23</v>
      </c>
      <c r="G14" s="29">
        <v>80320.17</v>
      </c>
      <c r="H14" s="30">
        <v>298245066.41000003</v>
      </c>
      <c r="I14" s="31">
        <f t="shared" si="0"/>
        <v>1.7638748574343187E-2</v>
      </c>
      <c r="J14" s="30">
        <v>313431332</v>
      </c>
      <c r="K14" s="31">
        <f t="shared" si="1"/>
        <v>1.7935189072694209E-2</v>
      </c>
      <c r="L14" s="31">
        <f t="shared" si="2"/>
        <v>5.0918748708229378E-2</v>
      </c>
      <c r="M14" s="32">
        <f t="shared" si="3"/>
        <v>1.1803868733838007E-3</v>
      </c>
      <c r="N14" s="33">
        <f t="shared" si="4"/>
        <v>2.5626081951500622E-4</v>
      </c>
      <c r="O14" s="34">
        <f t="shared" si="5"/>
        <v>1.5933186170958036</v>
      </c>
      <c r="P14" s="34">
        <f t="shared" si="6"/>
        <v>4.0830513456548704E-4</v>
      </c>
      <c r="Q14" s="35">
        <v>1.57</v>
      </c>
      <c r="R14" s="35">
        <v>1.59</v>
      </c>
      <c r="S14" s="37">
        <v>16</v>
      </c>
      <c r="T14" s="37">
        <v>196716042</v>
      </c>
      <c r="U14" s="37">
        <v>196716042</v>
      </c>
    </row>
    <row r="15" spans="1:21" ht="15.75">
      <c r="A15" s="26">
        <v>11</v>
      </c>
      <c r="B15" s="27" t="s">
        <v>48</v>
      </c>
      <c r="C15" s="27" t="s">
        <v>49</v>
      </c>
      <c r="D15" s="28">
        <v>781650270.76999998</v>
      </c>
      <c r="E15" s="28">
        <v>938991.28</v>
      </c>
      <c r="F15" s="28">
        <v>1195253.6299999999</v>
      </c>
      <c r="G15" s="29">
        <v>256262.35</v>
      </c>
      <c r="H15" s="30">
        <v>731450439</v>
      </c>
      <c r="I15" s="31">
        <f t="shared" si="0"/>
        <v>4.3259291908546237E-2</v>
      </c>
      <c r="J15" s="30">
        <v>778064582.27999997</v>
      </c>
      <c r="K15" s="31">
        <f t="shared" si="1"/>
        <v>4.4522464633365497E-2</v>
      </c>
      <c r="L15" s="31">
        <f t="shared" si="2"/>
        <v>6.3728368724104312E-2</v>
      </c>
      <c r="M15" s="32">
        <f t="shared" si="3"/>
        <v>1.5361881998246095E-3</v>
      </c>
      <c r="N15" s="33">
        <f t="shared" si="4"/>
        <v>3.2935871370608097E-4</v>
      </c>
      <c r="O15" s="34">
        <f t="shared" si="5"/>
        <v>20.655130686871139</v>
      </c>
      <c r="P15" s="34">
        <f t="shared" si="6"/>
        <v>6.8029472744588794E-3</v>
      </c>
      <c r="Q15" s="35">
        <v>20.16</v>
      </c>
      <c r="R15" s="35">
        <v>20.53</v>
      </c>
      <c r="S15" s="37">
        <v>8837</v>
      </c>
      <c r="T15" s="37">
        <v>37671441.939999998</v>
      </c>
      <c r="U15" s="37">
        <v>37669312.969999999</v>
      </c>
    </row>
    <row r="16" spans="1:21" ht="15.75">
      <c r="A16" s="26">
        <v>12</v>
      </c>
      <c r="B16" s="36" t="s">
        <v>50</v>
      </c>
      <c r="C16" s="27" t="s">
        <v>51</v>
      </c>
      <c r="D16" s="35">
        <v>355980555.38</v>
      </c>
      <c r="E16" s="35">
        <v>1124914.82</v>
      </c>
      <c r="F16" s="35">
        <v>439708.28</v>
      </c>
      <c r="G16" s="35">
        <v>5238013.03</v>
      </c>
      <c r="H16" s="35">
        <v>355643366.76999998</v>
      </c>
      <c r="I16" s="31">
        <f t="shared" si="0"/>
        <v>2.1033387086997975E-2</v>
      </c>
      <c r="J16" s="35">
        <v>353845192.12</v>
      </c>
      <c r="K16" s="31">
        <f t="shared" si="1"/>
        <v>2.0247753734894656E-2</v>
      </c>
      <c r="L16" s="31">
        <f t="shared" si="2"/>
        <v>-5.0561174986370073E-3</v>
      </c>
      <c r="M16" s="32">
        <f t="shared" si="3"/>
        <v>1.2426572122276602E-3</v>
      </c>
      <c r="N16" s="33">
        <f t="shared" si="4"/>
        <v>1.4803120535897026E-2</v>
      </c>
      <c r="O16" s="34">
        <f t="shared" si="5"/>
        <v>3495.1639659651255</v>
      </c>
      <c r="P16" s="34">
        <f t="shared" si="6"/>
        <v>51.739333480905643</v>
      </c>
      <c r="Q16" s="35">
        <v>3468.84</v>
      </c>
      <c r="R16" s="35">
        <v>3513.2</v>
      </c>
      <c r="S16" s="37">
        <v>19</v>
      </c>
      <c r="T16" s="37">
        <v>103288.68</v>
      </c>
      <c r="U16" s="37">
        <v>101238.51</v>
      </c>
    </row>
    <row r="17" spans="1:21" ht="15.75">
      <c r="A17" s="26">
        <v>13</v>
      </c>
      <c r="B17" s="27" t="s">
        <v>52</v>
      </c>
      <c r="C17" s="27" t="s">
        <v>51</v>
      </c>
      <c r="D17" s="35">
        <v>7639195232.3100004</v>
      </c>
      <c r="E17" s="35">
        <v>32597034.809999999</v>
      </c>
      <c r="F17" s="35">
        <v>22993951.469999999</v>
      </c>
      <c r="G17" s="35">
        <v>90200158.579999998</v>
      </c>
      <c r="H17" s="35">
        <v>7618225299.9099998</v>
      </c>
      <c r="I17" s="31">
        <f t="shared" si="0"/>
        <v>0.45055551887347883</v>
      </c>
      <c r="J17" s="35">
        <v>7665411985.7399998</v>
      </c>
      <c r="K17" s="31">
        <f t="shared" si="1"/>
        <v>0.43863072784421969</v>
      </c>
      <c r="L17" s="31">
        <f t="shared" si="2"/>
        <v>6.1939210212852824E-3</v>
      </c>
      <c r="M17" s="32">
        <f t="shared" si="3"/>
        <v>2.9997019746330336E-3</v>
      </c>
      <c r="N17" s="33">
        <f t="shared" si="4"/>
        <v>1.1767163819478947E-2</v>
      </c>
      <c r="O17" s="34">
        <f t="shared" si="5"/>
        <v>13048.027686375566</v>
      </c>
      <c r="P17" s="34">
        <f t="shared" si="6"/>
        <v>153.53827930667816</v>
      </c>
      <c r="Q17" s="35">
        <v>12954.96</v>
      </c>
      <c r="R17" s="35">
        <v>13111.81</v>
      </c>
      <c r="S17" s="37">
        <v>16926</v>
      </c>
      <c r="T17" s="37">
        <v>588534.02</v>
      </c>
      <c r="U17" s="37">
        <v>587476.68000000005</v>
      </c>
    </row>
    <row r="18" spans="1:21" ht="15.75">
      <c r="A18" s="26">
        <v>14</v>
      </c>
      <c r="B18" s="39" t="s">
        <v>53</v>
      </c>
      <c r="C18" s="40" t="s">
        <v>54</v>
      </c>
      <c r="D18" s="35">
        <f>4653151.28+28782583.35</f>
        <v>33435734.630000003</v>
      </c>
      <c r="E18" s="35">
        <v>619951.19999999995</v>
      </c>
      <c r="F18" s="35">
        <v>111067.96</v>
      </c>
      <c r="G18" s="35">
        <v>508883.24</v>
      </c>
      <c r="H18" s="35">
        <v>53362635.869999997</v>
      </c>
      <c r="I18" s="31">
        <f t="shared" si="0"/>
        <v>3.1559620707395462E-3</v>
      </c>
      <c r="J18" s="35">
        <v>58061236.799999997</v>
      </c>
      <c r="K18" s="31">
        <f t="shared" si="1"/>
        <v>3.3223840550901619E-3</v>
      </c>
      <c r="L18" s="31">
        <f t="shared" si="2"/>
        <v>8.8050390566285941E-2</v>
      </c>
      <c r="M18" s="32">
        <f t="shared" si="3"/>
        <v>1.9129451269284711E-3</v>
      </c>
      <c r="N18" s="33">
        <f t="shared" si="4"/>
        <v>8.7645952454116511E-3</v>
      </c>
      <c r="O18" s="34">
        <f t="shared" si="5"/>
        <v>108.42356760691015</v>
      </c>
      <c r="P18" s="34">
        <f t="shared" si="6"/>
        <v>0.9502886851380935</v>
      </c>
      <c r="Q18" s="35">
        <v>110.5005</v>
      </c>
      <c r="R18" s="35">
        <v>110.9502</v>
      </c>
      <c r="S18" s="37">
        <v>17</v>
      </c>
      <c r="T18" s="37">
        <v>524814.44999999995</v>
      </c>
      <c r="U18" s="37">
        <v>535503.84</v>
      </c>
    </row>
    <row r="19" spans="1:21" ht="15.75">
      <c r="A19" s="26">
        <v>15</v>
      </c>
      <c r="B19" s="27" t="s">
        <v>55</v>
      </c>
      <c r="C19" s="27" t="s">
        <v>56</v>
      </c>
      <c r="D19" s="41">
        <v>1572289909</v>
      </c>
      <c r="E19" s="28">
        <v>7466210</v>
      </c>
      <c r="F19" s="28">
        <v>3238403</v>
      </c>
      <c r="G19" s="29">
        <v>112968516</v>
      </c>
      <c r="H19" s="30">
        <v>1983169234</v>
      </c>
      <c r="I19" s="31">
        <f t="shared" si="0"/>
        <v>0.11728818826733117</v>
      </c>
      <c r="J19" s="30">
        <v>2198747821</v>
      </c>
      <c r="K19" s="31">
        <f t="shared" si="1"/>
        <v>0.12581689788693304</v>
      </c>
      <c r="L19" s="31">
        <f t="shared" si="2"/>
        <v>0.10870407996658141</v>
      </c>
      <c r="M19" s="32">
        <f t="shared" si="3"/>
        <v>1.4728396631347928E-3</v>
      </c>
      <c r="N19" s="33">
        <f t="shared" si="4"/>
        <v>5.1378568711268321E-2</v>
      </c>
      <c r="O19" s="34">
        <f t="shared" si="5"/>
        <v>1.1307741040796282</v>
      </c>
      <c r="P19" s="34">
        <f t="shared" si="6"/>
        <v>5.809755500337805E-2</v>
      </c>
      <c r="Q19" s="35">
        <v>1.1299999999999999</v>
      </c>
      <c r="R19" s="35">
        <v>1.1599999999999999</v>
      </c>
      <c r="S19" s="37">
        <v>2764</v>
      </c>
      <c r="T19" s="37">
        <v>1909363208</v>
      </c>
      <c r="U19" s="37">
        <v>1944462482</v>
      </c>
    </row>
    <row r="20" spans="1:21" ht="15.75">
      <c r="A20" s="26">
        <v>16</v>
      </c>
      <c r="B20" s="36" t="s">
        <v>57</v>
      </c>
      <c r="C20" s="27" t="s">
        <v>58</v>
      </c>
      <c r="D20" s="28">
        <v>371576098.37</v>
      </c>
      <c r="E20" s="28">
        <v>510936.74</v>
      </c>
      <c r="F20" s="28">
        <v>568091.38</v>
      </c>
      <c r="G20" s="29">
        <v>18089334.879999999</v>
      </c>
      <c r="H20" s="30">
        <v>348011839.62</v>
      </c>
      <c r="I20" s="31">
        <f t="shared" si="0"/>
        <v>2.058204487283349E-2</v>
      </c>
      <c r="J20" s="30">
        <v>372522830.32999998</v>
      </c>
      <c r="K20" s="31">
        <f t="shared" si="1"/>
        <v>2.131652682337366E-2</v>
      </c>
      <c r="L20" s="31">
        <f t="shared" si="2"/>
        <v>7.0431485137873298E-2</v>
      </c>
      <c r="M20" s="32">
        <f t="shared" si="3"/>
        <v>1.5249840647263292E-3</v>
      </c>
      <c r="N20" s="33">
        <f t="shared" si="4"/>
        <v>4.8558996676728597E-2</v>
      </c>
      <c r="O20" s="34">
        <f t="shared" si="5"/>
        <v>1.39278709374937</v>
      </c>
      <c r="P20" s="34">
        <f t="shared" si="6"/>
        <v>6.7632343856766128E-2</v>
      </c>
      <c r="Q20" s="35">
        <v>1.33</v>
      </c>
      <c r="R20" s="35">
        <v>1.38</v>
      </c>
      <c r="S20" s="37">
        <v>176</v>
      </c>
      <c r="T20" s="37">
        <v>261185081.59999999</v>
      </c>
      <c r="U20" s="37">
        <v>267465739.74000001</v>
      </c>
    </row>
    <row r="21" spans="1:21" ht="15.75">
      <c r="A21" s="84" t="s">
        <v>59</v>
      </c>
      <c r="B21" s="85"/>
      <c r="C21" s="85"/>
      <c r="D21" s="85"/>
      <c r="E21" s="85"/>
      <c r="F21" s="85"/>
      <c r="G21" s="86"/>
      <c r="H21" s="70">
        <f>SUM(H5:H20)</f>
        <v>16908516222.280001</v>
      </c>
      <c r="I21" s="43">
        <f>(H21/$H$165)</f>
        <v>1.143329064438026E-2</v>
      </c>
      <c r="J21" s="70">
        <f>SUM(J5:J20)</f>
        <v>17475775177.48</v>
      </c>
      <c r="K21" s="43">
        <f>(J21/$J$165)</f>
        <v>1.1202840905533855E-2</v>
      </c>
      <c r="L21" s="31">
        <f>((J21-H21)/H21)</f>
        <v>3.3548712834573474E-2</v>
      </c>
      <c r="M21" s="59"/>
      <c r="N21" s="59"/>
      <c r="O21" s="34"/>
      <c r="P21" s="34"/>
      <c r="Q21" s="35"/>
      <c r="R21" s="35"/>
      <c r="S21" s="22">
        <f>SUM(S5:S20)</f>
        <v>39879</v>
      </c>
      <c r="T21" s="37"/>
      <c r="U21" s="37"/>
    </row>
    <row r="22" spans="1:21" ht="7.5" customHeight="1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9"/>
    </row>
    <row r="23" spans="1:21">
      <c r="A23" s="83" t="s">
        <v>1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spans="1:21" ht="15.75">
      <c r="A24" s="26">
        <v>17</v>
      </c>
      <c r="B24" s="27" t="s">
        <v>60</v>
      </c>
      <c r="C24" s="27" t="s">
        <v>58</v>
      </c>
      <c r="D24" s="35">
        <v>19043227440.07</v>
      </c>
      <c r="E24" s="35">
        <v>115049549.11</v>
      </c>
      <c r="F24" s="35">
        <v>21368175.07</v>
      </c>
      <c r="G24" s="29">
        <v>93681374.049999997</v>
      </c>
      <c r="H24" s="35">
        <v>11987630796.76</v>
      </c>
      <c r="I24" s="31">
        <f t="shared" ref="I24:I52" si="7">(H24/$H$53)</f>
        <v>1.7246833884850991E-2</v>
      </c>
      <c r="J24" s="35">
        <v>18930067180.669998</v>
      </c>
      <c r="K24" s="31">
        <f t="shared" ref="K24:K52" si="8">(J24/$J$53)</f>
        <v>2.4288574921814642E-2</v>
      </c>
      <c r="L24" s="31">
        <f t="shared" ref="L24:L53" si="9">((J24-H24)/H24)</f>
        <v>0.57913331680071345</v>
      </c>
      <c r="M24" s="32">
        <f t="shared" ref="M24:M52" si="10">(F24/J24)</f>
        <v>1.1287955222800065E-3</v>
      </c>
      <c r="N24" s="33">
        <f t="shared" ref="N24:N52" si="11">G24/J24</f>
        <v>4.9488136072575895E-3</v>
      </c>
      <c r="O24" s="34">
        <f t="shared" ref="O24:O52" si="12">J24/U24</f>
        <v>99.999999998256726</v>
      </c>
      <c r="P24" s="34">
        <f t="shared" ref="P24:P52" si="13">G24/U24</f>
        <v>0.49488136071713179</v>
      </c>
      <c r="Q24" s="35">
        <v>100</v>
      </c>
      <c r="R24" s="35">
        <v>100</v>
      </c>
      <c r="S24" s="37">
        <v>6376</v>
      </c>
      <c r="T24" s="37">
        <v>119876307.97</v>
      </c>
      <c r="U24" s="37">
        <v>189300671.81</v>
      </c>
    </row>
    <row r="25" spans="1:21" ht="15.75">
      <c r="A25" s="26">
        <v>18</v>
      </c>
      <c r="B25" s="27" t="s">
        <v>61</v>
      </c>
      <c r="C25" s="27" t="s">
        <v>29</v>
      </c>
      <c r="D25" s="35">
        <v>686141975.91999996</v>
      </c>
      <c r="E25" s="35">
        <v>9406904.0999999996</v>
      </c>
      <c r="F25" s="35">
        <v>1355192.37</v>
      </c>
      <c r="G25" s="29">
        <v>8051711.7300000004</v>
      </c>
      <c r="H25" s="35">
        <v>680809455.86000001</v>
      </c>
      <c r="I25" s="31">
        <f t="shared" si="7"/>
        <v>9.7949359565084127E-4</v>
      </c>
      <c r="J25" s="35">
        <v>686639408.17999995</v>
      </c>
      <c r="K25" s="31">
        <f t="shared" si="8"/>
        <v>8.8100546874340891E-4</v>
      </c>
      <c r="L25" s="31">
        <f t="shared" si="9"/>
        <v>8.5632657857777905E-3</v>
      </c>
      <c r="M25" s="32">
        <f t="shared" si="10"/>
        <v>1.9736594693742682E-3</v>
      </c>
      <c r="N25" s="33">
        <f t="shared" si="11"/>
        <v>1.1726259276818663E-2</v>
      </c>
      <c r="O25" s="34">
        <f t="shared" si="12"/>
        <v>101.79342549166694</v>
      </c>
      <c r="P25" s="34">
        <f t="shared" si="13"/>
        <v>1.1936560999908086</v>
      </c>
      <c r="Q25" s="35">
        <v>100</v>
      </c>
      <c r="R25" s="35">
        <v>100</v>
      </c>
      <c r="S25" s="37">
        <v>681</v>
      </c>
      <c r="T25" s="37">
        <v>6665970</v>
      </c>
      <c r="U25" s="37">
        <v>6745420</v>
      </c>
    </row>
    <row r="26" spans="1:21" ht="15.75">
      <c r="A26" s="26">
        <v>19</v>
      </c>
      <c r="B26" s="27" t="s">
        <v>62</v>
      </c>
      <c r="C26" s="27" t="s">
        <v>63</v>
      </c>
      <c r="D26" s="35">
        <v>2019110011.8</v>
      </c>
      <c r="E26" s="35">
        <v>22111354.969999999</v>
      </c>
      <c r="F26" s="35">
        <v>2972213.48</v>
      </c>
      <c r="G26" s="29">
        <v>19139141.489999998</v>
      </c>
      <c r="H26" s="35">
        <v>1685753107.79</v>
      </c>
      <c r="I26" s="31">
        <f t="shared" si="7"/>
        <v>2.4253252635027338E-3</v>
      </c>
      <c r="J26" s="35">
        <v>1989578202.48</v>
      </c>
      <c r="K26" s="31">
        <f t="shared" si="8"/>
        <v>2.5527653321320348E-3</v>
      </c>
      <c r="L26" s="31">
        <f t="shared" si="9"/>
        <v>0.18023107493380852</v>
      </c>
      <c r="M26" s="32">
        <f t="shared" si="10"/>
        <v>1.4938912560939549E-3</v>
      </c>
      <c r="N26" s="33">
        <f t="shared" si="11"/>
        <v>9.6196980174708124E-3</v>
      </c>
      <c r="O26" s="34">
        <f t="shared" si="12"/>
        <v>102.26603000252861</v>
      </c>
      <c r="P26" s="34">
        <f t="shared" si="13"/>
        <v>0.98376832606993514</v>
      </c>
      <c r="Q26" s="35">
        <v>100</v>
      </c>
      <c r="R26" s="35">
        <v>100</v>
      </c>
      <c r="S26" s="37">
        <v>873</v>
      </c>
      <c r="T26" s="37">
        <v>16662675.77</v>
      </c>
      <c r="U26" s="37">
        <v>19454927.530000001</v>
      </c>
    </row>
    <row r="27" spans="1:21" ht="15.75">
      <c r="A27" s="26">
        <v>20</v>
      </c>
      <c r="B27" s="27" t="s">
        <v>64</v>
      </c>
      <c r="C27" s="27" t="s">
        <v>31</v>
      </c>
      <c r="D27" s="35">
        <v>418317896.16000003</v>
      </c>
      <c r="E27" s="35">
        <v>3228031.53</v>
      </c>
      <c r="F27" s="35">
        <v>577961.05000000005</v>
      </c>
      <c r="G27" s="29">
        <v>2650070.48</v>
      </c>
      <c r="H27" s="35">
        <v>427396722.19</v>
      </c>
      <c r="I27" s="31">
        <f t="shared" si="7"/>
        <v>6.1490384509781744E-4</v>
      </c>
      <c r="J27" s="35">
        <v>483377555.47000003</v>
      </c>
      <c r="K27" s="31">
        <f t="shared" si="8"/>
        <v>6.202065665960923E-4</v>
      </c>
      <c r="L27" s="31">
        <f t="shared" si="9"/>
        <v>0.13098096071760151</v>
      </c>
      <c r="M27" s="32">
        <f t="shared" si="10"/>
        <v>1.1956720858460922E-3</v>
      </c>
      <c r="N27" s="33">
        <f t="shared" si="11"/>
        <v>5.4824028339985099E-3</v>
      </c>
      <c r="O27" s="34">
        <f t="shared" si="12"/>
        <v>116.54515212837063</v>
      </c>
      <c r="P27" s="34">
        <f t="shared" si="13"/>
        <v>0.63894747231736659</v>
      </c>
      <c r="Q27" s="35">
        <v>100</v>
      </c>
      <c r="R27" s="35">
        <v>100</v>
      </c>
      <c r="S27" s="37">
        <v>1085</v>
      </c>
      <c r="T27" s="37">
        <v>4135327.95</v>
      </c>
      <c r="U27" s="37">
        <v>4147556.09</v>
      </c>
    </row>
    <row r="28" spans="1:21" ht="15.75">
      <c r="A28" s="26">
        <v>21</v>
      </c>
      <c r="B28" s="27" t="s">
        <v>65</v>
      </c>
      <c r="C28" s="36" t="s">
        <v>33</v>
      </c>
      <c r="D28" s="35">
        <v>19713731559.459999</v>
      </c>
      <c r="E28" s="35">
        <v>726967236.28999996</v>
      </c>
      <c r="F28" s="35">
        <v>163714984.75999999</v>
      </c>
      <c r="G28" s="29">
        <v>563252251.52999997</v>
      </c>
      <c r="H28" s="35">
        <v>74709531259</v>
      </c>
      <c r="I28" s="31">
        <f t="shared" si="7"/>
        <v>0.10748603265186564</v>
      </c>
      <c r="J28" s="35">
        <v>73576068598</v>
      </c>
      <c r="K28" s="31">
        <f t="shared" si="8"/>
        <v>9.4403143820847579E-2</v>
      </c>
      <c r="L28" s="31">
        <f t="shared" si="9"/>
        <v>-1.5171593796654368E-2</v>
      </c>
      <c r="M28" s="32">
        <f t="shared" si="10"/>
        <v>2.2251118859651902E-3</v>
      </c>
      <c r="N28" s="33">
        <f t="shared" si="11"/>
        <v>7.6553730345047376E-3</v>
      </c>
      <c r="O28" s="34">
        <f t="shared" si="12"/>
        <v>1</v>
      </c>
      <c r="P28" s="34">
        <f t="shared" si="13"/>
        <v>7.6553730345047376E-3</v>
      </c>
      <c r="Q28" s="35">
        <v>1</v>
      </c>
      <c r="R28" s="35">
        <v>1</v>
      </c>
      <c r="S28" s="37">
        <v>29853</v>
      </c>
      <c r="T28" s="37">
        <v>73619373017</v>
      </c>
      <c r="U28" s="37">
        <v>73576068598</v>
      </c>
    </row>
    <row r="29" spans="1:21" ht="15.75">
      <c r="A29" s="26">
        <v>22</v>
      </c>
      <c r="B29" s="27" t="s">
        <v>66</v>
      </c>
      <c r="C29" s="27" t="s">
        <v>67</v>
      </c>
      <c r="D29" s="28">
        <v>14781788773.639999</v>
      </c>
      <c r="E29" s="28">
        <v>350929684.13</v>
      </c>
      <c r="F29" s="28">
        <v>38939287.579999998</v>
      </c>
      <c r="G29" s="29">
        <v>311990396.55000001</v>
      </c>
      <c r="H29" s="35">
        <v>35094256852.889999</v>
      </c>
      <c r="I29" s="31">
        <f t="shared" si="7"/>
        <v>5.0490779080189674E-2</v>
      </c>
      <c r="J29" s="30">
        <v>36300147572.639999</v>
      </c>
      <c r="K29" s="31">
        <f t="shared" si="8"/>
        <v>4.6575579768216593E-2</v>
      </c>
      <c r="L29" s="31">
        <f t="shared" si="9"/>
        <v>3.4361483270750476E-2</v>
      </c>
      <c r="M29" s="32">
        <f t="shared" si="10"/>
        <v>1.0727032859047978E-3</v>
      </c>
      <c r="N29" s="33">
        <f t="shared" si="11"/>
        <v>8.5947418237261423E-3</v>
      </c>
      <c r="O29" s="34">
        <f t="shared" si="12"/>
        <v>1.0177004616638798</v>
      </c>
      <c r="P29" s="34">
        <f t="shared" si="13"/>
        <v>8.7468727218879515E-3</v>
      </c>
      <c r="Q29" s="35">
        <v>1</v>
      </c>
      <c r="R29" s="35">
        <v>1</v>
      </c>
      <c r="S29" s="37">
        <v>22146</v>
      </c>
      <c r="T29" s="37">
        <v>34769798464.010002</v>
      </c>
      <c r="U29" s="37">
        <v>35668793461.379997</v>
      </c>
    </row>
    <row r="30" spans="1:21" ht="15.75">
      <c r="A30" s="26">
        <v>23</v>
      </c>
      <c r="B30" s="36" t="s">
        <v>68</v>
      </c>
      <c r="C30" s="36" t="s">
        <v>49</v>
      </c>
      <c r="D30" s="35">
        <v>5387237750.4899998</v>
      </c>
      <c r="E30" s="35">
        <v>47342072.920000002</v>
      </c>
      <c r="F30" s="35">
        <v>7574160.5499999998</v>
      </c>
      <c r="G30" s="29">
        <v>39767912.369999997</v>
      </c>
      <c r="H30" s="35">
        <v>4374181165.1400003</v>
      </c>
      <c r="I30" s="31">
        <f t="shared" si="7"/>
        <v>6.2932181693319727E-3</v>
      </c>
      <c r="J30" s="35">
        <v>5291715690.2700005</v>
      </c>
      <c r="K30" s="31">
        <f t="shared" si="8"/>
        <v>6.7896342776484504E-3</v>
      </c>
      <c r="L30" s="31">
        <f t="shared" si="9"/>
        <v>0.20976143659578705</v>
      </c>
      <c r="M30" s="32">
        <f t="shared" si="10"/>
        <v>1.4313241665508945E-3</v>
      </c>
      <c r="N30" s="33">
        <f t="shared" si="11"/>
        <v>7.5151264160170537E-3</v>
      </c>
      <c r="O30" s="34">
        <f t="shared" si="12"/>
        <v>100.00000000510232</v>
      </c>
      <c r="P30" s="34">
        <f t="shared" si="13"/>
        <v>0.75151264164004994</v>
      </c>
      <c r="Q30" s="35">
        <v>100</v>
      </c>
      <c r="R30" s="35">
        <v>100</v>
      </c>
      <c r="S30" s="37">
        <v>1802</v>
      </c>
      <c r="T30" s="37">
        <v>43741811.649999999</v>
      </c>
      <c r="U30" s="37">
        <v>52917156.899999999</v>
      </c>
    </row>
    <row r="31" spans="1:21" ht="15.75">
      <c r="A31" s="26">
        <v>24</v>
      </c>
      <c r="B31" s="27" t="s">
        <v>69</v>
      </c>
      <c r="C31" s="27" t="s">
        <v>70</v>
      </c>
      <c r="D31" s="41">
        <v>10431634123.43</v>
      </c>
      <c r="E31" s="35">
        <v>101190377.38</v>
      </c>
      <c r="F31" s="35">
        <v>14764299.41</v>
      </c>
      <c r="G31" s="29">
        <v>87868399.709999993</v>
      </c>
      <c r="H31" s="35">
        <v>8370353409.5900002</v>
      </c>
      <c r="I31" s="31">
        <f t="shared" si="7"/>
        <v>1.2042587668925608E-2</v>
      </c>
      <c r="J31" s="35">
        <v>10286044721.52</v>
      </c>
      <c r="K31" s="31">
        <f t="shared" si="8"/>
        <v>1.3197701069063619E-2</v>
      </c>
      <c r="L31" s="31">
        <f t="shared" si="9"/>
        <v>0.22886623995292396</v>
      </c>
      <c r="M31" s="32">
        <f t="shared" si="10"/>
        <v>1.4353718858630662E-3</v>
      </c>
      <c r="N31" s="33">
        <f t="shared" si="11"/>
        <v>8.5424866495248334E-3</v>
      </c>
      <c r="O31" s="34">
        <f t="shared" si="12"/>
        <v>99.999999995333482</v>
      </c>
      <c r="P31" s="34">
        <f t="shared" si="13"/>
        <v>0.85424866491261975</v>
      </c>
      <c r="Q31" s="35">
        <v>100</v>
      </c>
      <c r="R31" s="35">
        <v>100</v>
      </c>
      <c r="S31" s="37">
        <v>1376</v>
      </c>
      <c r="T31" s="37">
        <v>83703534.099999994</v>
      </c>
      <c r="U31" s="37">
        <v>102860447.22</v>
      </c>
    </row>
    <row r="32" spans="1:21" ht="15.75">
      <c r="A32" s="26">
        <v>25</v>
      </c>
      <c r="B32" s="27" t="s">
        <v>71</v>
      </c>
      <c r="C32" s="27" t="s">
        <v>72</v>
      </c>
      <c r="D32" s="35">
        <v>2515540900.98</v>
      </c>
      <c r="E32" s="35">
        <v>45103497.719999999</v>
      </c>
      <c r="F32" s="35">
        <v>5794336.9000000004</v>
      </c>
      <c r="G32" s="29">
        <v>39309160.82</v>
      </c>
      <c r="H32" s="35">
        <v>5407900027.4200001</v>
      </c>
      <c r="I32" s="31">
        <f t="shared" si="7"/>
        <v>7.780449283106259E-3</v>
      </c>
      <c r="J32" s="35">
        <v>5922864100</v>
      </c>
      <c r="K32" s="31">
        <f t="shared" si="8"/>
        <v>7.5994409883274718E-3</v>
      </c>
      <c r="L32" s="31">
        <f t="shared" si="9"/>
        <v>9.5224406880479798E-2</v>
      </c>
      <c r="M32" s="32">
        <f t="shared" si="10"/>
        <v>9.7829982288467508E-4</v>
      </c>
      <c r="N32" s="33">
        <f t="shared" si="11"/>
        <v>6.6368500367921662E-3</v>
      </c>
      <c r="O32" s="34">
        <f t="shared" si="12"/>
        <v>100</v>
      </c>
      <c r="P32" s="34">
        <f t="shared" si="13"/>
        <v>0.66368500367921657</v>
      </c>
      <c r="Q32" s="35">
        <v>100</v>
      </c>
      <c r="R32" s="35">
        <v>100</v>
      </c>
      <c r="S32" s="37">
        <f>5031+207+109</f>
        <v>5347</v>
      </c>
      <c r="T32" s="37">
        <v>54078992</v>
      </c>
      <c r="U32" s="37">
        <v>59228641</v>
      </c>
    </row>
    <row r="33" spans="1:21" ht="15.75">
      <c r="A33" s="26">
        <v>26</v>
      </c>
      <c r="B33" s="27" t="s">
        <v>73</v>
      </c>
      <c r="C33" s="36" t="s">
        <v>74</v>
      </c>
      <c r="D33" s="35">
        <v>39263942.280000001</v>
      </c>
      <c r="E33" s="28">
        <v>275433.01</v>
      </c>
      <c r="F33" s="28">
        <v>41437.480000000003</v>
      </c>
      <c r="G33" s="29">
        <v>233995.53</v>
      </c>
      <c r="H33" s="35">
        <v>39203248.560000002</v>
      </c>
      <c r="I33" s="31">
        <f t="shared" si="7"/>
        <v>5.6402464100211345E-5</v>
      </c>
      <c r="J33" s="35">
        <v>39203248.560000002</v>
      </c>
      <c r="K33" s="31">
        <f t="shared" si="8"/>
        <v>5.0300457507112811E-5</v>
      </c>
      <c r="L33" s="31">
        <f t="shared" si="9"/>
        <v>0</v>
      </c>
      <c r="M33" s="32">
        <f t="shared" si="10"/>
        <v>1.056990977076314E-3</v>
      </c>
      <c r="N33" s="33">
        <f t="shared" si="11"/>
        <v>5.9687790832403404E-3</v>
      </c>
      <c r="O33" s="34">
        <f t="shared" si="12"/>
        <v>101.87107246798604</v>
      </c>
      <c r="P33" s="34">
        <f t="shared" si="13"/>
        <v>0.608045926534176</v>
      </c>
      <c r="Q33" s="35">
        <v>10</v>
      </c>
      <c r="R33" s="35">
        <v>10</v>
      </c>
      <c r="S33" s="37">
        <v>86</v>
      </c>
      <c r="T33" s="37">
        <v>333972.73</v>
      </c>
      <c r="U33" s="37">
        <v>384832</v>
      </c>
    </row>
    <row r="34" spans="1:21" ht="15.75">
      <c r="A34" s="26">
        <v>27</v>
      </c>
      <c r="B34" s="27" t="s">
        <v>75</v>
      </c>
      <c r="C34" s="27" t="s">
        <v>76</v>
      </c>
      <c r="D34" s="35">
        <v>2340358948.4099998</v>
      </c>
      <c r="E34" s="35">
        <v>40543243.57</v>
      </c>
      <c r="F34" s="35">
        <v>5691224.8200000003</v>
      </c>
      <c r="G34" s="44">
        <v>34852018.759999998</v>
      </c>
      <c r="H34" s="35">
        <v>4054413370.0300002</v>
      </c>
      <c r="I34" s="31">
        <f t="shared" si="7"/>
        <v>5.8331621217701957E-3</v>
      </c>
      <c r="J34" s="35">
        <v>4277748805.2800002</v>
      </c>
      <c r="K34" s="31">
        <f t="shared" si="8"/>
        <v>5.488645199307157E-3</v>
      </c>
      <c r="L34" s="31">
        <f t="shared" si="9"/>
        <v>5.5084525150021262E-2</v>
      </c>
      <c r="M34" s="32">
        <f t="shared" si="10"/>
        <v>1.3304252023810643E-3</v>
      </c>
      <c r="N34" s="33">
        <f t="shared" si="11"/>
        <v>8.1472803445079237E-3</v>
      </c>
      <c r="O34" s="34">
        <f t="shared" si="12"/>
        <v>1.0133919280890742</v>
      </c>
      <c r="P34" s="34">
        <f t="shared" si="13"/>
        <v>8.2563881370031015E-3</v>
      </c>
      <c r="Q34" s="35">
        <v>1</v>
      </c>
      <c r="R34" s="35">
        <v>1</v>
      </c>
      <c r="S34" s="37">
        <v>1821</v>
      </c>
      <c r="T34" s="37">
        <v>4032544674.9699998</v>
      </c>
      <c r="U34" s="37">
        <v>4221218550.0100002</v>
      </c>
    </row>
    <row r="35" spans="1:21" ht="15.75">
      <c r="A35" s="26">
        <v>28</v>
      </c>
      <c r="B35" s="27" t="s">
        <v>77</v>
      </c>
      <c r="C35" s="27" t="s">
        <v>78</v>
      </c>
      <c r="D35" s="35">
        <v>3961746854.3000002</v>
      </c>
      <c r="E35" s="35">
        <v>104545710.12</v>
      </c>
      <c r="F35" s="35">
        <v>17286416.219999999</v>
      </c>
      <c r="G35" s="29">
        <v>100022087.13</v>
      </c>
      <c r="H35" s="35">
        <v>10979139433.1</v>
      </c>
      <c r="I35" s="31">
        <f t="shared" si="7"/>
        <v>1.5795898056225714E-2</v>
      </c>
      <c r="J35" s="35">
        <v>11650597756.02</v>
      </c>
      <c r="K35" s="31">
        <f t="shared" si="8"/>
        <v>1.4948516229777154E-2</v>
      </c>
      <c r="L35" s="31">
        <f t="shared" si="9"/>
        <v>6.1157646007817514E-2</v>
      </c>
      <c r="M35" s="32">
        <f t="shared" si="10"/>
        <v>1.4837364212551159E-3</v>
      </c>
      <c r="N35" s="33">
        <f t="shared" si="11"/>
        <v>8.5851463782892525E-3</v>
      </c>
      <c r="O35" s="34">
        <f t="shared" si="12"/>
        <v>99.999999622508639</v>
      </c>
      <c r="P35" s="34">
        <f t="shared" si="13"/>
        <v>0.85851463458810673</v>
      </c>
      <c r="Q35" s="35">
        <v>100</v>
      </c>
      <c r="R35" s="35">
        <v>100</v>
      </c>
      <c r="S35" s="37">
        <v>4689</v>
      </c>
      <c r="T35" s="37">
        <v>109791394</v>
      </c>
      <c r="U35" s="37">
        <v>116505978</v>
      </c>
    </row>
    <row r="36" spans="1:21" ht="15.75">
      <c r="A36" s="26">
        <v>29</v>
      </c>
      <c r="B36" s="27" t="s">
        <v>79</v>
      </c>
      <c r="C36" s="27" t="s">
        <v>78</v>
      </c>
      <c r="D36" s="35">
        <v>150199208.22999999</v>
      </c>
      <c r="E36" s="35">
        <v>4129015.53</v>
      </c>
      <c r="F36" s="35">
        <v>403643.48</v>
      </c>
      <c r="G36" s="29">
        <v>3725372.06</v>
      </c>
      <c r="H36" s="35">
        <v>564718558.27999997</v>
      </c>
      <c r="I36" s="31">
        <f t="shared" si="7"/>
        <v>8.1247139918424159E-4</v>
      </c>
      <c r="J36" s="35">
        <v>431858985.26999998</v>
      </c>
      <c r="K36" s="31">
        <f t="shared" si="8"/>
        <v>5.5410470651155882E-4</v>
      </c>
      <c r="L36" s="31">
        <f t="shared" si="9"/>
        <v>-0.23526687951368028</v>
      </c>
      <c r="M36" s="32">
        <f t="shared" si="10"/>
        <v>9.3466500354887939E-4</v>
      </c>
      <c r="N36" s="33">
        <f t="shared" si="11"/>
        <v>8.6263622781192848E-3</v>
      </c>
      <c r="O36" s="34">
        <f t="shared" si="12"/>
        <v>999673.57701388886</v>
      </c>
      <c r="P36" s="34">
        <f t="shared" si="13"/>
        <v>8623.5464351851861</v>
      </c>
      <c r="Q36" s="35">
        <v>1000000</v>
      </c>
      <c r="R36" s="35">
        <v>1000000</v>
      </c>
      <c r="S36" s="37">
        <v>15</v>
      </c>
      <c r="T36" s="37">
        <v>565</v>
      </c>
      <c r="U36" s="37">
        <v>432</v>
      </c>
    </row>
    <row r="37" spans="1:21" ht="15.75">
      <c r="A37" s="26">
        <v>30</v>
      </c>
      <c r="B37" s="36" t="s">
        <v>80</v>
      </c>
      <c r="C37" s="36" t="s">
        <v>81</v>
      </c>
      <c r="D37" s="35">
        <v>420131203.82999998</v>
      </c>
      <c r="E37" s="35">
        <v>13205350.890000001</v>
      </c>
      <c r="F37" s="35">
        <v>1845458.16</v>
      </c>
      <c r="G37" s="29">
        <v>11359892.73</v>
      </c>
      <c r="H37" s="35">
        <v>1032860256.4</v>
      </c>
      <c r="I37" s="31">
        <f t="shared" si="7"/>
        <v>1.4859958210599903E-3</v>
      </c>
      <c r="J37" s="35">
        <v>1143347703.8599999</v>
      </c>
      <c r="K37" s="31">
        <f t="shared" si="8"/>
        <v>1.4669935453396244E-3</v>
      </c>
      <c r="L37" s="31">
        <f t="shared" si="9"/>
        <v>0.10697230992806349</v>
      </c>
      <c r="M37" s="32">
        <f t="shared" si="10"/>
        <v>1.6140830595711519E-3</v>
      </c>
      <c r="N37" s="33">
        <f t="shared" si="11"/>
        <v>9.9356413553361115E-3</v>
      </c>
      <c r="O37" s="34">
        <f t="shared" si="12"/>
        <v>1.0007052460468739</v>
      </c>
      <c r="P37" s="34">
        <f t="shared" si="13"/>
        <v>9.9426484271251201E-3</v>
      </c>
      <c r="Q37" s="35">
        <v>1</v>
      </c>
      <c r="R37" s="35">
        <v>1</v>
      </c>
      <c r="S37" s="37">
        <v>343</v>
      </c>
      <c r="T37" s="37">
        <v>1032382046.1900001</v>
      </c>
      <c r="U37" s="37">
        <v>1142541930.6800001</v>
      </c>
    </row>
    <row r="38" spans="1:21" ht="15.75">
      <c r="A38" s="26">
        <v>31</v>
      </c>
      <c r="B38" s="27" t="s">
        <v>82</v>
      </c>
      <c r="C38" s="27" t="s">
        <v>83</v>
      </c>
      <c r="D38" s="35">
        <v>143683470.44</v>
      </c>
      <c r="E38" s="35">
        <v>1886579.28</v>
      </c>
      <c r="F38" s="35">
        <v>631878.28</v>
      </c>
      <c r="G38" s="29">
        <v>1254701</v>
      </c>
      <c r="H38" s="35">
        <v>274100771.39999998</v>
      </c>
      <c r="I38" s="31">
        <f t="shared" si="7"/>
        <v>3.9435402642889382E-4</v>
      </c>
      <c r="J38" s="35">
        <v>274724474.98000002</v>
      </c>
      <c r="K38" s="31">
        <f t="shared" si="8"/>
        <v>3.5249034933280965E-4</v>
      </c>
      <c r="L38" s="31">
        <f t="shared" si="9"/>
        <v>2.2754535742982697E-3</v>
      </c>
      <c r="M38" s="32">
        <f t="shared" si="10"/>
        <v>2.3000436347944638E-3</v>
      </c>
      <c r="N38" s="33">
        <f t="shared" si="11"/>
        <v>4.5671249352331727E-3</v>
      </c>
      <c r="O38" s="34">
        <f t="shared" si="12"/>
        <v>1.008594323012703</v>
      </c>
      <c r="P38" s="34">
        <f t="shared" si="13"/>
        <v>4.606376282165937E-3</v>
      </c>
      <c r="Q38" s="35">
        <v>1</v>
      </c>
      <c r="R38" s="35">
        <v>1</v>
      </c>
      <c r="S38" s="37">
        <f>264+6+3</f>
        <v>273</v>
      </c>
      <c r="T38" s="37">
        <v>272277523</v>
      </c>
      <c r="U38" s="37">
        <v>272383523</v>
      </c>
    </row>
    <row r="39" spans="1:21" ht="15.75">
      <c r="A39" s="26">
        <v>32</v>
      </c>
      <c r="B39" s="27" t="s">
        <v>84</v>
      </c>
      <c r="C39" s="27" t="s">
        <v>85</v>
      </c>
      <c r="D39" s="35">
        <v>184560645311.35001</v>
      </c>
      <c r="E39" s="28">
        <v>1578666308.47</v>
      </c>
      <c r="F39" s="28">
        <v>225577929.09999999</v>
      </c>
      <c r="G39" s="29">
        <v>1353088379.3699999</v>
      </c>
      <c r="H39" s="35">
        <v>164184838254.14999</v>
      </c>
      <c r="I39" s="31">
        <f t="shared" si="7"/>
        <v>0.23621586948989057</v>
      </c>
      <c r="J39" s="35">
        <v>184560645311.35001</v>
      </c>
      <c r="K39" s="31">
        <f t="shared" si="8"/>
        <v>0.23680397002714307</v>
      </c>
      <c r="L39" s="31">
        <f t="shared" si="9"/>
        <v>0.12410285428219184</v>
      </c>
      <c r="M39" s="32">
        <f t="shared" si="10"/>
        <v>1.222242849874385E-3</v>
      </c>
      <c r="N39" s="33">
        <f t="shared" si="11"/>
        <v>7.3314025158904691E-3</v>
      </c>
      <c r="O39" s="34">
        <f t="shared" si="12"/>
        <v>100.03226417386544</v>
      </c>
      <c r="P39" s="34">
        <f t="shared" si="13"/>
        <v>0.73337679323449712</v>
      </c>
      <c r="Q39" s="35">
        <v>100</v>
      </c>
      <c r="R39" s="35">
        <v>100</v>
      </c>
      <c r="S39" s="37">
        <v>24236</v>
      </c>
      <c r="T39" s="37">
        <v>1641239853</v>
      </c>
      <c r="U39" s="37">
        <v>1845011175.5</v>
      </c>
    </row>
    <row r="40" spans="1:21" ht="15.75">
      <c r="A40" s="26">
        <v>33</v>
      </c>
      <c r="B40" s="27" t="s">
        <v>86</v>
      </c>
      <c r="C40" s="27" t="s">
        <v>87</v>
      </c>
      <c r="D40" s="35">
        <v>567336451.82000005</v>
      </c>
      <c r="E40" s="35">
        <v>4826636.0999999996</v>
      </c>
      <c r="F40" s="35">
        <v>1394575.44</v>
      </c>
      <c r="G40" s="29">
        <v>3432060.66</v>
      </c>
      <c r="H40" s="35">
        <v>567516628.82000005</v>
      </c>
      <c r="I40" s="31">
        <f t="shared" si="7"/>
        <v>8.1649703682854739E-4</v>
      </c>
      <c r="J40" s="35">
        <v>562671492.61000001</v>
      </c>
      <c r="K40" s="31">
        <f t="shared" si="8"/>
        <v>7.219461280402892E-4</v>
      </c>
      <c r="L40" s="31">
        <f t="shared" si="9"/>
        <v>-8.5374347886055975E-3</v>
      </c>
      <c r="M40" s="32">
        <f t="shared" si="10"/>
        <v>2.4784895952896817E-3</v>
      </c>
      <c r="N40" s="33">
        <f t="shared" si="11"/>
        <v>6.0995815588241239E-3</v>
      </c>
      <c r="O40" s="34">
        <f t="shared" si="12"/>
        <v>9.9867344281492869</v>
      </c>
      <c r="P40" s="34">
        <f t="shared" si="13"/>
        <v>6.0914901150813369E-2</v>
      </c>
      <c r="Q40" s="35">
        <v>10</v>
      </c>
      <c r="R40" s="35">
        <v>10</v>
      </c>
      <c r="S40" s="37">
        <v>277</v>
      </c>
      <c r="T40" s="37">
        <v>56967763</v>
      </c>
      <c r="U40" s="37">
        <v>56341890</v>
      </c>
    </row>
    <row r="41" spans="1:21" ht="15.75">
      <c r="A41" s="26">
        <v>34</v>
      </c>
      <c r="B41" s="27" t="s">
        <v>88</v>
      </c>
      <c r="C41" s="27" t="s">
        <v>89</v>
      </c>
      <c r="D41" s="35">
        <v>856162103.98000002</v>
      </c>
      <c r="E41" s="35">
        <v>17474514.02</v>
      </c>
      <c r="F41" s="35">
        <v>3339520.81</v>
      </c>
      <c r="G41" s="29">
        <v>14134993.210000001</v>
      </c>
      <c r="H41" s="35">
        <v>1948403284.01</v>
      </c>
      <c r="I41" s="31">
        <f t="shared" si="7"/>
        <v>2.8032050994681117E-3</v>
      </c>
      <c r="J41" s="35">
        <v>1927381104.3199999</v>
      </c>
      <c r="K41" s="31">
        <f t="shared" si="8"/>
        <v>2.472962188056497E-3</v>
      </c>
      <c r="L41" s="31">
        <f t="shared" si="9"/>
        <v>-1.0789439672229666E-2</v>
      </c>
      <c r="M41" s="32">
        <f t="shared" si="10"/>
        <v>1.7326727975670478E-3</v>
      </c>
      <c r="N41" s="33">
        <f t="shared" si="11"/>
        <v>7.3337821867808404E-3</v>
      </c>
      <c r="O41" s="34">
        <f t="shared" si="12"/>
        <v>100.47103121956523</v>
      </c>
      <c r="P41" s="34">
        <f t="shared" si="13"/>
        <v>0.73683265904554929</v>
      </c>
      <c r="Q41" s="35">
        <v>100</v>
      </c>
      <c r="R41" s="35">
        <v>100</v>
      </c>
      <c r="S41" s="37">
        <v>575</v>
      </c>
      <c r="T41" s="37">
        <v>19484033</v>
      </c>
      <c r="U41" s="37">
        <v>19183451</v>
      </c>
    </row>
    <row r="42" spans="1:21" ht="15.75">
      <c r="A42" s="26">
        <v>35</v>
      </c>
      <c r="B42" s="27" t="s">
        <v>90</v>
      </c>
      <c r="C42" s="27" t="s">
        <v>43</v>
      </c>
      <c r="D42" s="35">
        <v>3479163401.1399999</v>
      </c>
      <c r="E42" s="35">
        <v>28590140.859999999</v>
      </c>
      <c r="F42" s="35">
        <v>3680629.18</v>
      </c>
      <c r="G42" s="29">
        <v>24909511.68</v>
      </c>
      <c r="H42" s="35">
        <v>3396072988.54</v>
      </c>
      <c r="I42" s="31">
        <f t="shared" si="7"/>
        <v>4.8859952135003578E-3</v>
      </c>
      <c r="J42" s="35">
        <v>3463392454.6900001</v>
      </c>
      <c r="K42" s="31">
        <f t="shared" si="8"/>
        <v>4.4437701312166327E-3</v>
      </c>
      <c r="L42" s="31">
        <f t="shared" si="9"/>
        <v>1.9822738314862101E-2</v>
      </c>
      <c r="M42" s="32">
        <f t="shared" si="10"/>
        <v>1.0627236815209393E-3</v>
      </c>
      <c r="N42" s="33">
        <f t="shared" si="11"/>
        <v>7.192229008372541E-3</v>
      </c>
      <c r="O42" s="34">
        <f t="shared" si="12"/>
        <v>0.99495258874396375</v>
      </c>
      <c r="P42" s="34">
        <f t="shared" si="13"/>
        <v>7.1559268707196916E-3</v>
      </c>
      <c r="Q42" s="35">
        <v>0.99</v>
      </c>
      <c r="R42" s="35">
        <v>0.99</v>
      </c>
      <c r="S42" s="37">
        <v>803</v>
      </c>
      <c r="T42" s="37">
        <v>3413458335</v>
      </c>
      <c r="U42" s="37">
        <v>3480962303</v>
      </c>
    </row>
    <row r="43" spans="1:21" ht="15.75">
      <c r="A43" s="26">
        <v>36</v>
      </c>
      <c r="B43" s="27" t="s">
        <v>91</v>
      </c>
      <c r="C43" s="27" t="s">
        <v>45</v>
      </c>
      <c r="D43" s="35">
        <v>2193001031.6399999</v>
      </c>
      <c r="E43" s="35">
        <v>19244596.640000001</v>
      </c>
      <c r="F43" s="35">
        <v>3034676.42</v>
      </c>
      <c r="G43" s="29">
        <v>16209920.220000001</v>
      </c>
      <c r="H43" s="35">
        <v>2015992800.0999999</v>
      </c>
      <c r="I43" s="31">
        <f t="shared" si="7"/>
        <v>2.9004474300107536E-3</v>
      </c>
      <c r="J43" s="35">
        <v>2194990118.1799998</v>
      </c>
      <c r="K43" s="31">
        <f t="shared" si="8"/>
        <v>2.8163229126041997E-3</v>
      </c>
      <c r="L43" s="31">
        <f t="shared" si="9"/>
        <v>8.8788669320208416E-2</v>
      </c>
      <c r="M43" s="32">
        <f t="shared" si="10"/>
        <v>1.3825467344318776E-3</v>
      </c>
      <c r="N43" s="33">
        <f t="shared" si="11"/>
        <v>7.3849627320603309E-3</v>
      </c>
      <c r="O43" s="34">
        <f t="shared" si="12"/>
        <v>10.088423565908515</v>
      </c>
      <c r="P43" s="34">
        <f t="shared" si="13"/>
        <v>7.4502632059473578E-2</v>
      </c>
      <c r="Q43" s="35">
        <v>10</v>
      </c>
      <c r="R43" s="35">
        <v>10</v>
      </c>
      <c r="S43" s="37">
        <v>1720</v>
      </c>
      <c r="T43" s="37">
        <v>201032346.50999999</v>
      </c>
      <c r="U43" s="37">
        <v>217575134.88999999</v>
      </c>
    </row>
    <row r="44" spans="1:21" ht="16.5" customHeight="1">
      <c r="A44" s="26">
        <v>37</v>
      </c>
      <c r="B44" s="27" t="s">
        <v>92</v>
      </c>
      <c r="C44" s="27" t="s">
        <v>93</v>
      </c>
      <c r="D44" s="35">
        <v>2076208593.8599999</v>
      </c>
      <c r="E44" s="35">
        <v>30066204.23</v>
      </c>
      <c r="F44" s="35">
        <v>4280119.7</v>
      </c>
      <c r="G44" s="29">
        <v>25786084.530000001</v>
      </c>
      <c r="H44" s="35">
        <v>2916837677.3600001</v>
      </c>
      <c r="I44" s="31">
        <f t="shared" si="7"/>
        <v>4.1965101981702004E-3</v>
      </c>
      <c r="J44" s="35">
        <v>3412134905.3499999</v>
      </c>
      <c r="K44" s="31">
        <f t="shared" si="8"/>
        <v>4.3780031788032527E-3</v>
      </c>
      <c r="L44" s="31">
        <f t="shared" si="9"/>
        <v>0.16980623633410008</v>
      </c>
      <c r="M44" s="32">
        <f t="shared" si="10"/>
        <v>1.2543817342301027E-3</v>
      </c>
      <c r="N44" s="33">
        <f t="shared" si="11"/>
        <v>7.5571702893602304E-3</v>
      </c>
      <c r="O44" s="34">
        <f t="shared" si="12"/>
        <v>99.919839033219489</v>
      </c>
      <c r="P44" s="34">
        <f t="shared" si="13"/>
        <v>0.75511123885950293</v>
      </c>
      <c r="Q44" s="35">
        <v>100</v>
      </c>
      <c r="R44" s="35">
        <v>100</v>
      </c>
      <c r="S44" s="37">
        <f>1170+30+18</f>
        <v>1218</v>
      </c>
      <c r="T44" s="37">
        <v>29186765</v>
      </c>
      <c r="U44" s="37">
        <v>34148723</v>
      </c>
    </row>
    <row r="45" spans="1:21" ht="15.75">
      <c r="A45" s="26">
        <v>38</v>
      </c>
      <c r="B45" s="27" t="s">
        <v>94</v>
      </c>
      <c r="C45" s="36" t="s">
        <v>95</v>
      </c>
      <c r="D45" s="35">
        <f>46720208.85+7211412.63+41108345.08</f>
        <v>95039966.560000002</v>
      </c>
      <c r="E45" s="35">
        <v>808045.53</v>
      </c>
      <c r="F45" s="35">
        <v>50442.42</v>
      </c>
      <c r="G45" s="29">
        <v>757603.11</v>
      </c>
      <c r="H45" s="35">
        <v>137422921.47999999</v>
      </c>
      <c r="I45" s="31">
        <f t="shared" si="7"/>
        <v>1.9771298757191211E-4</v>
      </c>
      <c r="J45" s="35">
        <v>138216492.59999999</v>
      </c>
      <c r="K45" s="31">
        <f t="shared" si="8"/>
        <v>1.7734124258013967E-4</v>
      </c>
      <c r="L45" s="31">
        <f t="shared" si="9"/>
        <v>5.7746634364449758E-3</v>
      </c>
      <c r="M45" s="32">
        <f t="shared" si="10"/>
        <v>3.6495225027870519E-4</v>
      </c>
      <c r="N45" s="33">
        <f t="shared" si="11"/>
        <v>5.4812786502440886E-3</v>
      </c>
      <c r="O45" s="34">
        <f t="shared" si="12"/>
        <v>1.0008259637729027</v>
      </c>
      <c r="P45" s="34">
        <f t="shared" si="13"/>
        <v>5.4858059878383743E-3</v>
      </c>
      <c r="Q45" s="35">
        <v>1</v>
      </c>
      <c r="R45" s="35">
        <v>1</v>
      </c>
      <c r="S45" s="37">
        <v>46</v>
      </c>
      <c r="T45" s="37">
        <v>137238455</v>
      </c>
      <c r="U45" s="37">
        <v>138102425</v>
      </c>
    </row>
    <row r="46" spans="1:21" ht="15.75">
      <c r="A46" s="26">
        <v>39</v>
      </c>
      <c r="B46" s="36" t="s">
        <v>96</v>
      </c>
      <c r="C46" s="36" t="s">
        <v>47</v>
      </c>
      <c r="D46" s="35">
        <v>669276369.23000002</v>
      </c>
      <c r="E46" s="35">
        <v>11042088.359999999</v>
      </c>
      <c r="F46" s="35">
        <v>726787.4</v>
      </c>
      <c r="G46" s="29">
        <v>10315300.960000001</v>
      </c>
      <c r="H46" s="35">
        <v>677590084.75999999</v>
      </c>
      <c r="I46" s="31">
        <f t="shared" si="7"/>
        <v>9.7486182482666838E-4</v>
      </c>
      <c r="J46" s="35">
        <v>692832969.63</v>
      </c>
      <c r="K46" s="31">
        <f t="shared" si="8"/>
        <v>8.8895223300343234E-4</v>
      </c>
      <c r="L46" s="31">
        <f t="shared" si="9"/>
        <v>2.2495731878070472E-2</v>
      </c>
      <c r="M46" s="32">
        <f t="shared" si="10"/>
        <v>1.0490081042016997E-3</v>
      </c>
      <c r="N46" s="33">
        <f t="shared" si="11"/>
        <v>1.4888582691884275E-2</v>
      </c>
      <c r="O46" s="34">
        <f t="shared" si="12"/>
        <v>10.314262615932794</v>
      </c>
      <c r="P46" s="34">
        <f t="shared" si="13"/>
        <v>0.15356475186312601</v>
      </c>
      <c r="Q46" s="35">
        <v>10</v>
      </c>
      <c r="R46" s="35">
        <v>10</v>
      </c>
      <c r="S46" s="37">
        <v>520</v>
      </c>
      <c r="T46" s="37">
        <v>66292341</v>
      </c>
      <c r="U46" s="37">
        <v>67172322</v>
      </c>
    </row>
    <row r="47" spans="1:21" ht="15.75">
      <c r="A47" s="26">
        <v>40</v>
      </c>
      <c r="B47" s="27" t="s">
        <v>97</v>
      </c>
      <c r="C47" s="27" t="s">
        <v>51</v>
      </c>
      <c r="D47" s="35">
        <v>333320839827.69</v>
      </c>
      <c r="E47" s="35">
        <v>3010597732.8800001</v>
      </c>
      <c r="F47" s="35">
        <v>479673214.11000001</v>
      </c>
      <c r="G47" s="29">
        <v>2530924518.77</v>
      </c>
      <c r="H47" s="35">
        <v>291071793071.64001</v>
      </c>
      <c r="I47" s="31">
        <f t="shared" si="7"/>
        <v>0.4187705601534803</v>
      </c>
      <c r="J47" s="35">
        <v>342836187241.58002</v>
      </c>
      <c r="K47" s="31">
        <f t="shared" si="8"/>
        <v>0.43988234908269719</v>
      </c>
      <c r="L47" s="31">
        <f t="shared" si="9"/>
        <v>0.17784064070131142</v>
      </c>
      <c r="M47" s="32">
        <f t="shared" si="10"/>
        <v>1.3991323902222655E-3</v>
      </c>
      <c r="N47" s="33">
        <f t="shared" si="11"/>
        <v>7.3823143908276533E-3</v>
      </c>
      <c r="O47" s="34">
        <f t="shared" si="12"/>
        <v>1</v>
      </c>
      <c r="P47" s="34">
        <f t="shared" si="13"/>
        <v>7.3823143908276533E-3</v>
      </c>
      <c r="Q47" s="35">
        <v>100</v>
      </c>
      <c r="R47" s="35">
        <v>100</v>
      </c>
      <c r="S47" s="37">
        <v>99541</v>
      </c>
      <c r="T47" s="37">
        <v>291071793075.79999</v>
      </c>
      <c r="U47" s="37">
        <v>342836187241.58002</v>
      </c>
    </row>
    <row r="48" spans="1:21" ht="15.75">
      <c r="A48" s="26">
        <v>41</v>
      </c>
      <c r="B48" s="27" t="s">
        <v>98</v>
      </c>
      <c r="C48" s="27" t="s">
        <v>99</v>
      </c>
      <c r="D48" s="35">
        <v>753670005.91999996</v>
      </c>
      <c r="E48" s="35">
        <v>8017254.5999999996</v>
      </c>
      <c r="F48" s="35">
        <v>926506.18</v>
      </c>
      <c r="G48" s="29">
        <v>7090748.4199999999</v>
      </c>
      <c r="H48" s="35">
        <v>651844932.96000004</v>
      </c>
      <c r="I48" s="31">
        <f t="shared" si="7"/>
        <v>9.3782178213909397E-4</v>
      </c>
      <c r="J48" s="35">
        <v>752946113.5</v>
      </c>
      <c r="K48" s="31">
        <f t="shared" si="8"/>
        <v>9.6608152075172021E-4</v>
      </c>
      <c r="L48" s="31">
        <f t="shared" si="9"/>
        <v>0.15510004822911458</v>
      </c>
      <c r="M48" s="32">
        <f t="shared" si="10"/>
        <v>1.230507951881473E-3</v>
      </c>
      <c r="N48" s="33">
        <f t="shared" si="11"/>
        <v>9.4173384958975547E-3</v>
      </c>
      <c r="O48" s="34">
        <f t="shared" si="12"/>
        <v>1.0093858477336695</v>
      </c>
      <c r="P48" s="34">
        <f t="shared" si="13"/>
        <v>9.5057282010764729E-3</v>
      </c>
      <c r="Q48" s="35">
        <v>1</v>
      </c>
      <c r="R48" s="35">
        <v>1</v>
      </c>
      <c r="S48" s="37">
        <v>168</v>
      </c>
      <c r="T48" s="37">
        <v>650871605.28999996</v>
      </c>
      <c r="U48" s="37">
        <v>745944789.28999996</v>
      </c>
    </row>
    <row r="49" spans="1:21" ht="15.75">
      <c r="A49" s="26">
        <v>42</v>
      </c>
      <c r="B49" s="27" t="s">
        <v>100</v>
      </c>
      <c r="C49" s="27" t="s">
        <v>56</v>
      </c>
      <c r="D49" s="35">
        <v>15086913130</v>
      </c>
      <c r="E49" s="35">
        <v>483145154</v>
      </c>
      <c r="F49" s="35">
        <v>52073676</v>
      </c>
      <c r="G49" s="29">
        <v>431071477</v>
      </c>
      <c r="H49" s="35">
        <v>46660497618</v>
      </c>
      <c r="I49" s="31">
        <f t="shared" si="7"/>
        <v>6.7131351060597963E-2</v>
      </c>
      <c r="J49" s="35">
        <v>47487484006</v>
      </c>
      <c r="K49" s="31">
        <f t="shared" si="8"/>
        <v>6.0929699938200785E-2</v>
      </c>
      <c r="L49" s="31">
        <f t="shared" si="9"/>
        <v>1.772347982163348E-2</v>
      </c>
      <c r="M49" s="32">
        <f t="shared" si="10"/>
        <v>1.0965768578815533E-3</v>
      </c>
      <c r="N49" s="33">
        <f t="shared" si="11"/>
        <v>9.0775808831130012E-3</v>
      </c>
      <c r="O49" s="34">
        <f t="shared" si="12"/>
        <v>1.0261024098048697</v>
      </c>
      <c r="P49" s="34">
        <f t="shared" si="13"/>
        <v>9.3145276193608677E-3</v>
      </c>
      <c r="Q49" s="35">
        <v>1</v>
      </c>
      <c r="R49" s="35">
        <v>1</v>
      </c>
      <c r="S49" s="37">
        <v>4804</v>
      </c>
      <c r="T49" s="37">
        <v>46097955954</v>
      </c>
      <c r="U49" s="37">
        <v>46279478103</v>
      </c>
    </row>
    <row r="50" spans="1:21" ht="15.75">
      <c r="A50" s="26">
        <v>43</v>
      </c>
      <c r="B50" s="45" t="s">
        <v>101</v>
      </c>
      <c r="C50" s="27" t="s">
        <v>102</v>
      </c>
      <c r="D50" s="35">
        <v>592360669.5</v>
      </c>
      <c r="E50" s="35">
        <v>8157643.96</v>
      </c>
      <c r="F50" s="35">
        <v>1866246.2</v>
      </c>
      <c r="G50" s="29">
        <v>6291397.7599999998</v>
      </c>
      <c r="H50" s="35">
        <v>1561826925</v>
      </c>
      <c r="I50" s="31">
        <f t="shared" si="7"/>
        <v>2.2470302922278024E-3</v>
      </c>
      <c r="J50" s="35">
        <v>952615034.51999998</v>
      </c>
      <c r="K50" s="31">
        <f t="shared" si="8"/>
        <v>1.222270445041661E-3</v>
      </c>
      <c r="L50" s="31">
        <f t="shared" si="9"/>
        <v>-0.3900636368399143</v>
      </c>
      <c r="M50" s="32">
        <f t="shared" si="10"/>
        <v>1.9590769958195723E-3</v>
      </c>
      <c r="N50" s="33">
        <f t="shared" si="11"/>
        <v>6.6043443909848485E-3</v>
      </c>
      <c r="O50" s="34">
        <f t="shared" si="12"/>
        <v>1.0152499772805967</v>
      </c>
      <c r="P50" s="34">
        <f t="shared" si="13"/>
        <v>6.7050604929006037E-3</v>
      </c>
      <c r="Q50" s="35">
        <v>1</v>
      </c>
      <c r="R50" s="35">
        <v>1.01</v>
      </c>
      <c r="S50" s="37">
        <v>48</v>
      </c>
      <c r="T50" s="37">
        <v>1105706055</v>
      </c>
      <c r="U50" s="37">
        <v>938305891</v>
      </c>
    </row>
    <row r="51" spans="1:21" ht="15.75">
      <c r="A51" s="26">
        <v>44</v>
      </c>
      <c r="B51" s="27" t="s">
        <v>103</v>
      </c>
      <c r="C51" s="27" t="s">
        <v>104</v>
      </c>
      <c r="D51" s="35">
        <v>676285130.33000004</v>
      </c>
      <c r="E51" s="28">
        <v>6579799.4000000004</v>
      </c>
      <c r="F51" s="28">
        <v>1209212.6299999999</v>
      </c>
      <c r="G51" s="29">
        <v>5370586.7699999996</v>
      </c>
      <c r="H51" s="35">
        <v>645510752.38</v>
      </c>
      <c r="I51" s="31">
        <f t="shared" si="7"/>
        <v>9.2870867529487621E-4</v>
      </c>
      <c r="J51" s="35">
        <v>771251809.85000002</v>
      </c>
      <c r="K51" s="31">
        <f t="shared" si="8"/>
        <v>9.8956898506177707E-4</v>
      </c>
      <c r="L51" s="31">
        <f t="shared" si="9"/>
        <v>0.19479312622817263</v>
      </c>
      <c r="M51" s="32">
        <f t="shared" si="10"/>
        <v>1.5678571052367169E-3</v>
      </c>
      <c r="N51" s="33">
        <f t="shared" si="11"/>
        <v>6.9634673156157905E-3</v>
      </c>
      <c r="O51" s="34">
        <f t="shared" si="12"/>
        <v>1.0144486834556197</v>
      </c>
      <c r="P51" s="34">
        <f t="shared" si="13"/>
        <v>7.0640802506126759E-3</v>
      </c>
      <c r="Q51" s="35">
        <v>1</v>
      </c>
      <c r="R51" s="35">
        <v>1</v>
      </c>
      <c r="S51" s="37">
        <v>141</v>
      </c>
      <c r="T51" s="37">
        <v>639857926.19000006</v>
      </c>
      <c r="U51" s="37">
        <v>760266953.29999995</v>
      </c>
    </row>
    <row r="52" spans="1:21" ht="15.75">
      <c r="A52" s="26">
        <v>45</v>
      </c>
      <c r="B52" s="27" t="s">
        <v>105</v>
      </c>
      <c r="C52" s="27" t="s">
        <v>106</v>
      </c>
      <c r="D52" s="35">
        <v>17602239760.029999</v>
      </c>
      <c r="E52" s="35">
        <v>163061653.47</v>
      </c>
      <c r="F52" s="35">
        <v>20669621.07</v>
      </c>
      <c r="G52" s="29">
        <v>142392032.40000001</v>
      </c>
      <c r="H52" s="35">
        <v>18944296106.400002</v>
      </c>
      <c r="I52" s="31">
        <f t="shared" si="7"/>
        <v>2.7255521424702046E-2</v>
      </c>
      <c r="J52" s="35">
        <v>18344817387.889999</v>
      </c>
      <c r="K52" s="31">
        <f t="shared" si="8"/>
        <v>2.3537659285634085E-2</v>
      </c>
      <c r="L52" s="31">
        <f t="shared" si="9"/>
        <v>-3.164428570705663E-2</v>
      </c>
      <c r="M52" s="32">
        <f t="shared" si="10"/>
        <v>1.1267280907164918E-3</v>
      </c>
      <c r="N52" s="33">
        <f t="shared" si="11"/>
        <v>7.7619760060406787E-3</v>
      </c>
      <c r="O52" s="34">
        <f t="shared" si="12"/>
        <v>1.0163824588358499</v>
      </c>
      <c r="P52" s="34">
        <f t="shared" si="13"/>
        <v>7.8891362584444947E-3</v>
      </c>
      <c r="Q52" s="35">
        <v>1</v>
      </c>
      <c r="R52" s="35">
        <v>1</v>
      </c>
      <c r="S52" s="37">
        <v>2831</v>
      </c>
      <c r="T52" s="37">
        <v>18781632695.860001</v>
      </c>
      <c r="U52" s="37">
        <v>18049128286.709999</v>
      </c>
    </row>
    <row r="53" spans="1:21" ht="15.75">
      <c r="A53" s="84" t="s">
        <v>59</v>
      </c>
      <c r="B53" s="85"/>
      <c r="C53" s="85"/>
      <c r="D53" s="85"/>
      <c r="E53" s="85"/>
      <c r="F53" s="85"/>
      <c r="G53" s="86"/>
      <c r="H53" s="71">
        <f t="shared" ref="H53" si="14">SUM(H24:H52)</f>
        <v>695062692480.01001</v>
      </c>
      <c r="I53" s="43">
        <f>(H53/$H$165)</f>
        <v>0.46999119702283798</v>
      </c>
      <c r="J53" s="71">
        <f>SUM(J24:J52)</f>
        <v>779381550445.27002</v>
      </c>
      <c r="K53" s="43">
        <f>(J53/$J$165)</f>
        <v>0.49962233009258228</v>
      </c>
      <c r="L53" s="31">
        <f t="shared" si="9"/>
        <v>0.12131115491813714</v>
      </c>
      <c r="M53" s="33"/>
      <c r="N53" s="33"/>
      <c r="O53" s="34"/>
      <c r="P53" s="34"/>
      <c r="Q53" s="35"/>
      <c r="R53" s="35"/>
      <c r="S53" s="22">
        <f>SUM(S24:S52)</f>
        <v>213694</v>
      </c>
      <c r="T53" s="37"/>
      <c r="U53" s="37"/>
    </row>
    <row r="54" spans="1:21" ht="6.75" customHeight="1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9"/>
    </row>
    <row r="55" spans="1:21">
      <c r="A55" s="83" t="s">
        <v>107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</row>
    <row r="56" spans="1:21" ht="15.75">
      <c r="A56" s="26">
        <v>46</v>
      </c>
      <c r="B56" s="27" t="s">
        <v>108</v>
      </c>
      <c r="C56" s="27" t="s">
        <v>31</v>
      </c>
      <c r="D56" s="35">
        <v>431575922.25999999</v>
      </c>
      <c r="E56" s="35">
        <v>4156918.12</v>
      </c>
      <c r="F56" s="35">
        <v>569841.56999999995</v>
      </c>
      <c r="G56" s="29">
        <v>3587076.55</v>
      </c>
      <c r="H56" s="35">
        <v>319002361.06999999</v>
      </c>
      <c r="I56" s="31">
        <f t="shared" ref="I56:I85" si="15">(H56/$H$86)</f>
        <v>9.3277476299845753E-4</v>
      </c>
      <c r="J56" s="35">
        <v>432592300.67000002</v>
      </c>
      <c r="K56" s="31">
        <f t="shared" ref="K56:K85" si="16">(J56/$J$86)</f>
        <v>1.2818886905796283E-3</v>
      </c>
      <c r="L56" s="31">
        <f t="shared" ref="L56:L86" si="17">((J56-H56)/H56)</f>
        <v>0.35607867985364072</v>
      </c>
      <c r="M56" s="32">
        <f t="shared" ref="M56:M85" si="18">(F56/J56)</f>
        <v>1.3172716414911407E-3</v>
      </c>
      <c r="N56" s="33">
        <f t="shared" ref="N56:N85" si="19">G56/J56</f>
        <v>8.2920489903410832E-3</v>
      </c>
      <c r="O56" s="34">
        <f t="shared" ref="O56:O85" si="20">J56/U56</f>
        <v>1.2503453951167347</v>
      </c>
      <c r="P56" s="34">
        <f t="shared" ref="P56:P85" si="21">G56/U56</f>
        <v>1.0367925271155341E-2</v>
      </c>
      <c r="Q56" s="46">
        <v>1.24</v>
      </c>
      <c r="R56" s="46">
        <v>1.24</v>
      </c>
      <c r="S56" s="37">
        <v>338</v>
      </c>
      <c r="T56" s="37">
        <v>347023016.44999999</v>
      </c>
      <c r="U56" s="37">
        <v>345978241.18000001</v>
      </c>
    </row>
    <row r="57" spans="1:21" ht="15.75">
      <c r="A57" s="26">
        <v>47</v>
      </c>
      <c r="B57" s="27" t="s">
        <v>109</v>
      </c>
      <c r="C57" s="36" t="s">
        <v>33</v>
      </c>
      <c r="D57" s="35">
        <v>901367412.07000005</v>
      </c>
      <c r="E57" s="35">
        <v>5739534.6299999999</v>
      </c>
      <c r="F57" s="35">
        <v>1660079.18</v>
      </c>
      <c r="G57" s="29">
        <v>4079455.45</v>
      </c>
      <c r="H57" s="35">
        <v>1002632194</v>
      </c>
      <c r="I57" s="31">
        <f t="shared" si="15"/>
        <v>2.9317338091041658E-3</v>
      </c>
      <c r="J57" s="35">
        <v>997767588</v>
      </c>
      <c r="K57" s="31">
        <f t="shared" si="16"/>
        <v>2.9566568450320407E-3</v>
      </c>
      <c r="L57" s="31">
        <f t="shared" si="17"/>
        <v>-4.8518350289478134E-3</v>
      </c>
      <c r="M57" s="32">
        <f t="shared" si="18"/>
        <v>1.6637934524688126E-3</v>
      </c>
      <c r="N57" s="33">
        <f t="shared" si="19"/>
        <v>4.0885828514205056E-3</v>
      </c>
      <c r="O57" s="34">
        <f t="shared" si="20"/>
        <v>1.1221570559345748</v>
      </c>
      <c r="P57" s="34">
        <f t="shared" si="21"/>
        <v>4.5880320954946232E-3</v>
      </c>
      <c r="Q57" s="46">
        <v>1.1222000000000001</v>
      </c>
      <c r="R57" s="46">
        <v>1.1222000000000001</v>
      </c>
      <c r="S57" s="37">
        <v>267</v>
      </c>
      <c r="T57" s="37">
        <v>897131258</v>
      </c>
      <c r="U57" s="37">
        <v>889151463</v>
      </c>
    </row>
    <row r="58" spans="1:21" ht="15.75">
      <c r="A58" s="26">
        <v>48</v>
      </c>
      <c r="B58" s="27" t="s">
        <v>110</v>
      </c>
      <c r="C58" s="27" t="s">
        <v>111</v>
      </c>
      <c r="D58" s="35">
        <v>709287948.16999996</v>
      </c>
      <c r="E58" s="35">
        <v>5580952.1799999997</v>
      </c>
      <c r="F58" s="35">
        <v>1746062.16</v>
      </c>
      <c r="G58" s="29">
        <v>3834890.02</v>
      </c>
      <c r="H58" s="35">
        <v>866963193</v>
      </c>
      <c r="I58" s="31">
        <f t="shared" si="15"/>
        <v>2.5350326065502341E-3</v>
      </c>
      <c r="J58" s="35">
        <v>870654968</v>
      </c>
      <c r="K58" s="31">
        <f t="shared" si="16"/>
        <v>2.5799875660005426E-3</v>
      </c>
      <c r="L58" s="31">
        <f t="shared" si="17"/>
        <v>4.2582834309552973E-3</v>
      </c>
      <c r="M58" s="32">
        <f t="shared" si="18"/>
        <v>2.0054582172900435E-3</v>
      </c>
      <c r="N58" s="33">
        <f t="shared" si="19"/>
        <v>4.4046036156081521E-3</v>
      </c>
      <c r="O58" s="34">
        <f t="shared" si="20"/>
        <v>1.0459764585338565</v>
      </c>
      <c r="P58" s="34">
        <f t="shared" si="21"/>
        <v>4.6071116910992348E-3</v>
      </c>
      <c r="Q58" s="46">
        <v>1.046</v>
      </c>
      <c r="R58" s="46">
        <v>1.046</v>
      </c>
      <c r="S58" s="37">
        <v>36</v>
      </c>
      <c r="T58" s="37">
        <v>832539240</v>
      </c>
      <c r="U58" s="37">
        <v>832384860</v>
      </c>
    </row>
    <row r="59" spans="1:21" ht="15.75">
      <c r="A59" s="26">
        <v>49</v>
      </c>
      <c r="B59" s="27" t="s">
        <v>112</v>
      </c>
      <c r="C59" s="36" t="s">
        <v>113</v>
      </c>
      <c r="D59" s="30">
        <v>213158666.94999999</v>
      </c>
      <c r="E59" s="30">
        <v>4531875.33</v>
      </c>
      <c r="F59" s="35">
        <v>357600.35</v>
      </c>
      <c r="G59" s="29">
        <v>4174274.98</v>
      </c>
      <c r="H59" s="35">
        <v>244932260.91999999</v>
      </c>
      <c r="I59" s="31">
        <f t="shared" si="15"/>
        <v>7.1619103653027818E-4</v>
      </c>
      <c r="J59" s="35">
        <v>247579611.72999999</v>
      </c>
      <c r="K59" s="31">
        <f t="shared" si="16"/>
        <v>7.3364575329528477E-4</v>
      </c>
      <c r="L59" s="31">
        <f t="shared" si="17"/>
        <v>1.0808501910104372E-2</v>
      </c>
      <c r="M59" s="32">
        <f t="shared" si="18"/>
        <v>1.4443852928809986E-3</v>
      </c>
      <c r="N59" s="33">
        <f t="shared" si="19"/>
        <v>1.6860334139922193E-2</v>
      </c>
      <c r="O59" s="34">
        <f t="shared" si="20"/>
        <v>1118.7005184130858</v>
      </c>
      <c r="P59" s="34">
        <f t="shared" si="21"/>
        <v>18.861664542948805</v>
      </c>
      <c r="Q59" s="47">
        <v>1118.7</v>
      </c>
      <c r="R59" s="47">
        <v>1118.7</v>
      </c>
      <c r="S59" s="37">
        <v>123</v>
      </c>
      <c r="T59" s="37">
        <v>221455</v>
      </c>
      <c r="U59" s="37">
        <v>221310</v>
      </c>
    </row>
    <row r="60" spans="1:21" ht="15.75">
      <c r="A60" s="26">
        <v>50</v>
      </c>
      <c r="B60" s="27" t="s">
        <v>114</v>
      </c>
      <c r="C60" s="36" t="s">
        <v>115</v>
      </c>
      <c r="D60" s="35">
        <v>1126369724.6099999</v>
      </c>
      <c r="E60" s="35">
        <v>10352544.699999999</v>
      </c>
      <c r="F60" s="35">
        <v>1746706.39</v>
      </c>
      <c r="G60" s="29">
        <v>8605838.3000000007</v>
      </c>
      <c r="H60" s="35">
        <v>1343700992.6099999</v>
      </c>
      <c r="I60" s="31">
        <f t="shared" si="15"/>
        <v>3.9290316558113266E-3</v>
      </c>
      <c r="J60" s="35">
        <v>1342453275.6300001</v>
      </c>
      <c r="K60" s="31">
        <f t="shared" si="16"/>
        <v>3.9780543227338474E-3</v>
      </c>
      <c r="L60" s="31">
        <f t="shared" si="17"/>
        <v>-9.2856743193753233E-4</v>
      </c>
      <c r="M60" s="32">
        <f t="shared" si="18"/>
        <v>1.3011301187970865E-3</v>
      </c>
      <c r="N60" s="33">
        <f t="shared" si="19"/>
        <v>6.4105309705928988E-3</v>
      </c>
      <c r="O60" s="34">
        <f t="shared" si="20"/>
        <v>1.0172356455293832</v>
      </c>
      <c r="P60" s="34">
        <f t="shared" si="21"/>
        <v>6.5210206100571695E-3</v>
      </c>
      <c r="Q60" s="29">
        <v>1.0165999999999999</v>
      </c>
      <c r="R60" s="29">
        <v>1.0165999999999999</v>
      </c>
      <c r="S60" s="37">
        <v>701</v>
      </c>
      <c r="T60" s="37">
        <v>1329400446.78</v>
      </c>
      <c r="U60" s="37">
        <v>1319707268.9400001</v>
      </c>
    </row>
    <row r="61" spans="1:21" ht="15.75">
      <c r="A61" s="26">
        <v>51</v>
      </c>
      <c r="B61" s="27" t="s">
        <v>116</v>
      </c>
      <c r="C61" s="27" t="s">
        <v>117</v>
      </c>
      <c r="D61" s="35">
        <v>442163412.60000002</v>
      </c>
      <c r="E61" s="35">
        <v>2866680.68</v>
      </c>
      <c r="F61" s="35">
        <v>786460.37</v>
      </c>
      <c r="G61" s="29">
        <v>2080220.31</v>
      </c>
      <c r="H61" s="35">
        <v>419801302.66000003</v>
      </c>
      <c r="I61" s="31">
        <f t="shared" si="15"/>
        <v>1.227514615508439E-3</v>
      </c>
      <c r="J61" s="35">
        <v>421931522.37</v>
      </c>
      <c r="K61" s="31">
        <f t="shared" si="16"/>
        <v>1.2502979037940548E-3</v>
      </c>
      <c r="L61" s="31">
        <f t="shared" si="17"/>
        <v>5.0743523102529725E-3</v>
      </c>
      <c r="M61" s="32">
        <f t="shared" si="18"/>
        <v>1.8639526281004847E-3</v>
      </c>
      <c r="N61" s="33">
        <f t="shared" si="19"/>
        <v>4.9302320393493004E-3</v>
      </c>
      <c r="O61" s="34">
        <f t="shared" si="20"/>
        <v>2.1510600272553484</v>
      </c>
      <c r="P61" s="34">
        <f t="shared" si="21"/>
        <v>1.0605225064937896E-2</v>
      </c>
      <c r="Q61" s="46">
        <v>2.1404999999999998</v>
      </c>
      <c r="R61" s="46">
        <v>2.1404999999999998</v>
      </c>
      <c r="S61" s="37">
        <v>1406</v>
      </c>
      <c r="T61" s="37">
        <v>196127116.4571</v>
      </c>
      <c r="U61" s="37">
        <v>196150510.4571</v>
      </c>
    </row>
    <row r="62" spans="1:21" ht="15.75">
      <c r="A62" s="26">
        <v>52</v>
      </c>
      <c r="B62" s="27" t="s">
        <v>118</v>
      </c>
      <c r="C62" s="27" t="s">
        <v>49</v>
      </c>
      <c r="D62" s="35">
        <v>2023508658.3</v>
      </c>
      <c r="E62" s="35">
        <v>17000857.559999999</v>
      </c>
      <c r="F62" s="35">
        <v>3084506.5</v>
      </c>
      <c r="G62" s="29">
        <v>13916351.060000001</v>
      </c>
      <c r="H62" s="35">
        <v>1727277877.7</v>
      </c>
      <c r="I62" s="31">
        <f t="shared" si="15"/>
        <v>5.0506247276663656E-3</v>
      </c>
      <c r="J62" s="35">
        <v>2014148905.03</v>
      </c>
      <c r="K62" s="31">
        <f t="shared" si="16"/>
        <v>5.9684712337746719E-3</v>
      </c>
      <c r="L62" s="31">
        <f t="shared" si="17"/>
        <v>0.16608273111908908</v>
      </c>
      <c r="M62" s="32">
        <f t="shared" si="18"/>
        <v>1.5314192969035016E-3</v>
      </c>
      <c r="N62" s="33">
        <f t="shared" si="19"/>
        <v>6.9092960432300919E-3</v>
      </c>
      <c r="O62" s="34">
        <f t="shared" si="20"/>
        <v>101.49752195742846</v>
      </c>
      <c r="P62" s="34">
        <f t="shared" si="21"/>
        <v>0.70127642685811975</v>
      </c>
      <c r="Q62" s="46">
        <v>101.5</v>
      </c>
      <c r="R62" s="46">
        <v>101.5</v>
      </c>
      <c r="S62" s="37">
        <v>113</v>
      </c>
      <c r="T62" s="37">
        <v>15995752.93</v>
      </c>
      <c r="U62" s="37">
        <v>19844316.059999999</v>
      </c>
    </row>
    <row r="63" spans="1:21" ht="15.75">
      <c r="A63" s="26">
        <v>53</v>
      </c>
      <c r="B63" s="36" t="s">
        <v>119</v>
      </c>
      <c r="C63" s="27" t="s">
        <v>70</v>
      </c>
      <c r="D63" s="35">
        <v>2836552865.4299998</v>
      </c>
      <c r="E63" s="35">
        <v>20618293.489999998</v>
      </c>
      <c r="F63" s="35">
        <v>4463942.6500000004</v>
      </c>
      <c r="G63" s="29">
        <v>16154350.85</v>
      </c>
      <c r="H63" s="35">
        <v>2791825730.4699998</v>
      </c>
      <c r="I63" s="31">
        <f t="shared" si="15"/>
        <v>8.1634022247901537E-3</v>
      </c>
      <c r="J63" s="35">
        <v>2810399267.29</v>
      </c>
      <c r="K63" s="31">
        <f t="shared" si="16"/>
        <v>8.3279777082777007E-3</v>
      </c>
      <c r="L63" s="31">
        <f t="shared" si="17"/>
        <v>6.6528281537377131E-3</v>
      </c>
      <c r="M63" s="32">
        <f t="shared" si="18"/>
        <v>1.5883660026372239E-3</v>
      </c>
      <c r="N63" s="33">
        <f t="shared" si="19"/>
        <v>5.7480625753141652E-3</v>
      </c>
      <c r="O63" s="34">
        <f t="shared" si="20"/>
        <v>3759.132816213455</v>
      </c>
      <c r="P63" s="34">
        <f t="shared" si="21"/>
        <v>21.607730656511904</v>
      </c>
      <c r="Q63" s="46">
        <v>3759.13</v>
      </c>
      <c r="R63" s="46">
        <v>3759.13</v>
      </c>
      <c r="S63" s="37">
        <v>1041</v>
      </c>
      <c r="T63" s="37">
        <v>746915.32</v>
      </c>
      <c r="U63" s="37">
        <v>747619.04</v>
      </c>
    </row>
    <row r="64" spans="1:21" ht="15.75">
      <c r="A64" s="26">
        <v>54</v>
      </c>
      <c r="B64" s="27" t="s">
        <v>120</v>
      </c>
      <c r="C64" s="27" t="s">
        <v>72</v>
      </c>
      <c r="D64" s="35">
        <v>317437278.13</v>
      </c>
      <c r="E64" s="35">
        <v>3174379.84</v>
      </c>
      <c r="F64" s="35">
        <v>664935.38</v>
      </c>
      <c r="G64" s="29">
        <v>2509444.46</v>
      </c>
      <c r="H64" s="35">
        <v>359734631.93000001</v>
      </c>
      <c r="I64" s="31">
        <f t="shared" si="15"/>
        <v>1.0518774372557441E-3</v>
      </c>
      <c r="J64" s="35">
        <v>369330263.88</v>
      </c>
      <c r="K64" s="31">
        <f t="shared" si="16"/>
        <v>1.0944260626536725E-3</v>
      </c>
      <c r="L64" s="31">
        <f t="shared" si="17"/>
        <v>2.6674195638375961E-2</v>
      </c>
      <c r="M64" s="32">
        <f t="shared" si="18"/>
        <v>1.8003815149468655E-3</v>
      </c>
      <c r="N64" s="33">
        <f t="shared" si="19"/>
        <v>6.794581179557356E-3</v>
      </c>
      <c r="O64" s="34">
        <f t="shared" si="20"/>
        <v>109.03671867997555</v>
      </c>
      <c r="P64" s="34">
        <f t="shared" si="21"/>
        <v>0.74085883662365193</v>
      </c>
      <c r="Q64" s="46">
        <v>107.11</v>
      </c>
      <c r="R64" s="46">
        <v>107.11</v>
      </c>
      <c r="S64" s="37">
        <f>105+4+1</f>
        <v>110</v>
      </c>
      <c r="T64" s="37">
        <v>3386693</v>
      </c>
      <c r="U64" s="37">
        <v>3387210</v>
      </c>
    </row>
    <row r="65" spans="1:21" ht="15.75">
      <c r="A65" s="26">
        <v>55</v>
      </c>
      <c r="B65" s="36" t="s">
        <v>121</v>
      </c>
      <c r="C65" s="36" t="s">
        <v>76</v>
      </c>
      <c r="D65" s="35">
        <v>305423426.77999997</v>
      </c>
      <c r="E65" s="35">
        <v>2614650.87</v>
      </c>
      <c r="F65" s="35">
        <v>1327029.8899999999</v>
      </c>
      <c r="G65" s="44">
        <v>4355289.88</v>
      </c>
      <c r="H65" s="35">
        <v>331544999.63</v>
      </c>
      <c r="I65" s="31">
        <f t="shared" si="15"/>
        <v>9.6944990443295013E-4</v>
      </c>
      <c r="J65" s="35">
        <v>338705767.92000002</v>
      </c>
      <c r="K65" s="31">
        <f t="shared" si="16"/>
        <v>1.0036773485294873E-3</v>
      </c>
      <c r="L65" s="31">
        <f t="shared" si="17"/>
        <v>2.159817912497956E-2</v>
      </c>
      <c r="M65" s="32">
        <f t="shared" si="18"/>
        <v>3.9179429926727294E-3</v>
      </c>
      <c r="N65" s="33">
        <f t="shared" si="19"/>
        <v>1.2858623302301394E-2</v>
      </c>
      <c r="O65" s="34">
        <f t="shared" si="20"/>
        <v>1.3859025267354437</v>
      </c>
      <c r="P65" s="34">
        <f t="shared" si="21"/>
        <v>1.7820798524998755E-2</v>
      </c>
      <c r="Q65" s="46">
        <v>1.3776999999999999</v>
      </c>
      <c r="R65" s="46">
        <v>1.3776999999999999</v>
      </c>
      <c r="S65" s="37">
        <v>274</v>
      </c>
      <c r="T65" s="37">
        <v>244400899.13</v>
      </c>
      <c r="U65" s="37">
        <v>244393643.41</v>
      </c>
    </row>
    <row r="66" spans="1:21" ht="15.75">
      <c r="A66" s="26">
        <v>56</v>
      </c>
      <c r="B66" s="27" t="s">
        <v>122</v>
      </c>
      <c r="C66" s="27" t="s">
        <v>123</v>
      </c>
      <c r="D66" s="35">
        <f>260023561.64+40458537.66</f>
        <v>300482099.29999995</v>
      </c>
      <c r="E66" s="35">
        <v>25157641.09</v>
      </c>
      <c r="F66" s="35">
        <v>17435698.34</v>
      </c>
      <c r="G66" s="29">
        <v>7721942.7800000003</v>
      </c>
      <c r="H66" s="35">
        <v>400050806</v>
      </c>
      <c r="I66" s="31">
        <f t="shared" si="15"/>
        <v>1.1697634290302587E-3</v>
      </c>
      <c r="J66" s="35">
        <v>449530640.36000001</v>
      </c>
      <c r="K66" s="31">
        <f t="shared" si="16"/>
        <v>1.3320815998204489E-3</v>
      </c>
      <c r="L66" s="31">
        <f t="shared" si="17"/>
        <v>0.12368387619246544</v>
      </c>
      <c r="M66" s="32">
        <f t="shared" si="18"/>
        <v>3.8786451410824582E-2</v>
      </c>
      <c r="N66" s="33">
        <f t="shared" si="19"/>
        <v>1.7177789647032728E-2</v>
      </c>
      <c r="O66" s="34">
        <f t="shared" si="20"/>
        <v>1039.4297874768786</v>
      </c>
      <c r="P66" s="34">
        <f t="shared" si="21"/>
        <v>17.855106242137754</v>
      </c>
      <c r="Q66" s="46">
        <v>1000</v>
      </c>
      <c r="R66" s="46">
        <v>1000</v>
      </c>
      <c r="S66" s="37">
        <v>139</v>
      </c>
      <c r="T66" s="37">
        <v>393695.12</v>
      </c>
      <c r="U66" s="37">
        <v>432478.12</v>
      </c>
    </row>
    <row r="67" spans="1:21" ht="15.75">
      <c r="A67" s="26">
        <v>57</v>
      </c>
      <c r="B67" s="27" t="s">
        <v>124</v>
      </c>
      <c r="C67" s="27" t="s">
        <v>78</v>
      </c>
      <c r="D67" s="35">
        <v>257446394.22999999</v>
      </c>
      <c r="E67" s="35">
        <v>3510260.73</v>
      </c>
      <c r="F67" s="35">
        <v>681712.24</v>
      </c>
      <c r="G67" s="29">
        <v>2828548.49</v>
      </c>
      <c r="H67" s="35">
        <v>359763399.63999999</v>
      </c>
      <c r="I67" s="31">
        <f t="shared" si="15"/>
        <v>1.0519615551092521E-3</v>
      </c>
      <c r="J67" s="35">
        <v>360886092.01999998</v>
      </c>
      <c r="K67" s="31">
        <f t="shared" si="16"/>
        <v>1.0694036838644991E-3</v>
      </c>
      <c r="L67" s="31">
        <f t="shared" si="17"/>
        <v>3.1206409021135167E-3</v>
      </c>
      <c r="M67" s="32">
        <f t="shared" si="18"/>
        <v>1.8889956002023488E-3</v>
      </c>
      <c r="N67" s="33">
        <f t="shared" si="19"/>
        <v>7.8377874696352792E-3</v>
      </c>
      <c r="O67" s="34">
        <f t="shared" si="20"/>
        <v>1121.4852157132068</v>
      </c>
      <c r="P67" s="34">
        <f t="shared" si="21"/>
        <v>8.7899627710981907</v>
      </c>
      <c r="Q67" s="35">
        <v>1116.99</v>
      </c>
      <c r="R67" s="46">
        <v>1121.49</v>
      </c>
      <c r="S67" s="37">
        <v>280</v>
      </c>
      <c r="T67" s="37">
        <v>324198</v>
      </c>
      <c r="U67" s="37">
        <v>321793</v>
      </c>
    </row>
    <row r="68" spans="1:21" ht="15.75">
      <c r="A68" s="26">
        <v>58</v>
      </c>
      <c r="B68" s="27" t="s">
        <v>125</v>
      </c>
      <c r="C68" s="36" t="s">
        <v>81</v>
      </c>
      <c r="D68" s="35">
        <v>20116262.280000001</v>
      </c>
      <c r="E68" s="35">
        <v>6411616.9100000001</v>
      </c>
      <c r="F68" s="35">
        <v>1136743.5900000001</v>
      </c>
      <c r="G68" s="29">
        <v>5274873.32</v>
      </c>
      <c r="H68" s="35">
        <v>682457590.10000002</v>
      </c>
      <c r="I68" s="31">
        <f t="shared" si="15"/>
        <v>1.9955313644914961E-3</v>
      </c>
      <c r="J68" s="35">
        <v>688402463.41999996</v>
      </c>
      <c r="K68" s="31">
        <f t="shared" si="16"/>
        <v>2.0399238059912424E-3</v>
      </c>
      <c r="L68" s="31">
        <f t="shared" si="17"/>
        <v>8.710978390802036E-3</v>
      </c>
      <c r="M68" s="32">
        <f t="shared" si="18"/>
        <v>1.6512776324951405E-3</v>
      </c>
      <c r="N68" s="33">
        <f t="shared" si="19"/>
        <v>7.6624846660110759E-3</v>
      </c>
      <c r="O68" s="34">
        <f t="shared" si="20"/>
        <v>1.086220026429529</v>
      </c>
      <c r="P68" s="34">
        <f t="shared" si="21"/>
        <v>8.3231442964304108E-3</v>
      </c>
      <c r="Q68" s="46">
        <v>1.0900000000000001</v>
      </c>
      <c r="R68" s="46">
        <v>1.0900000000000001</v>
      </c>
      <c r="S68" s="37">
        <v>36</v>
      </c>
      <c r="T68" s="37">
        <v>633142129.33000004</v>
      </c>
      <c r="U68" s="37">
        <v>633759686.5</v>
      </c>
    </row>
    <row r="69" spans="1:21" ht="15.75">
      <c r="A69" s="26">
        <v>59</v>
      </c>
      <c r="B69" s="27" t="s">
        <v>126</v>
      </c>
      <c r="C69" s="27" t="s">
        <v>37</v>
      </c>
      <c r="D69" s="35">
        <v>65592586859.199997</v>
      </c>
      <c r="E69" s="35">
        <v>669578769.63999999</v>
      </c>
      <c r="F69" s="35">
        <v>70297285.239999995</v>
      </c>
      <c r="G69" s="29">
        <v>599281484.40999997</v>
      </c>
      <c r="H69" s="35">
        <v>65838132904.919998</v>
      </c>
      <c r="I69" s="31">
        <f t="shared" si="15"/>
        <v>0.19251314821200269</v>
      </c>
      <c r="J69" s="35">
        <v>65592586859.18</v>
      </c>
      <c r="K69" s="31">
        <f t="shared" si="16"/>
        <v>0.1943686818984475</v>
      </c>
      <c r="L69" s="31">
        <f t="shared" si="17"/>
        <v>-3.7295414512225409E-3</v>
      </c>
      <c r="M69" s="32">
        <f t="shared" si="18"/>
        <v>1.0717260685406487E-3</v>
      </c>
      <c r="N69" s="33">
        <f t="shared" si="19"/>
        <v>9.1364209448941344E-3</v>
      </c>
      <c r="O69" s="34">
        <f t="shared" si="20"/>
        <v>1500.0820303521932</v>
      </c>
      <c r="P69" s="34">
        <f t="shared" si="21"/>
        <v>13.705380881169098</v>
      </c>
      <c r="Q69" s="29">
        <v>1500.08</v>
      </c>
      <c r="R69" s="29">
        <v>1500.08</v>
      </c>
      <c r="S69" s="37">
        <v>2437</v>
      </c>
      <c r="T69" s="37">
        <v>44312395</v>
      </c>
      <c r="U69" s="37">
        <v>43726000</v>
      </c>
    </row>
    <row r="70" spans="1:21" ht="15.75">
      <c r="A70" s="26">
        <v>60</v>
      </c>
      <c r="B70" s="27" t="s">
        <v>127</v>
      </c>
      <c r="C70" s="27" t="s">
        <v>87</v>
      </c>
      <c r="D70" s="35">
        <v>22904963.23</v>
      </c>
      <c r="E70" s="35">
        <v>176852.75</v>
      </c>
      <c r="F70" s="35">
        <v>243865.12</v>
      </c>
      <c r="G70" s="29">
        <v>67003.399999999994</v>
      </c>
      <c r="H70" s="35">
        <v>21220870.73</v>
      </c>
      <c r="I70" s="31">
        <f t="shared" si="15"/>
        <v>6.2050614921477375E-5</v>
      </c>
      <c r="J70" s="35">
        <v>21155828.399999999</v>
      </c>
      <c r="K70" s="31">
        <f t="shared" si="16"/>
        <v>6.2690475821693296E-5</v>
      </c>
      <c r="L70" s="31">
        <f t="shared" si="17"/>
        <v>-3.0650170215707232E-3</v>
      </c>
      <c r="M70" s="32">
        <f t="shared" si="18"/>
        <v>1.1527089149579225E-2</v>
      </c>
      <c r="N70" s="33">
        <f t="shared" si="19"/>
        <v>3.1671366742604132E-3</v>
      </c>
      <c r="O70" s="34">
        <f t="shared" si="20"/>
        <v>0.63120214638468475</v>
      </c>
      <c r="P70" s="34">
        <f t="shared" si="21"/>
        <v>1.9991034666868249E-3</v>
      </c>
      <c r="Q70" s="29">
        <v>0.63070000000000004</v>
      </c>
      <c r="R70" s="29">
        <v>0.63070000000000004</v>
      </c>
      <c r="S70" s="37">
        <v>750</v>
      </c>
      <c r="T70" s="37">
        <v>33766724.43</v>
      </c>
      <c r="U70" s="37">
        <v>33516724.43</v>
      </c>
    </row>
    <row r="71" spans="1:21" ht="15.75">
      <c r="A71" s="26">
        <v>61</v>
      </c>
      <c r="B71" s="36" t="s">
        <v>128</v>
      </c>
      <c r="C71" s="36" t="s">
        <v>129</v>
      </c>
      <c r="D71" s="35">
        <v>794972617.08000004</v>
      </c>
      <c r="E71" s="35">
        <v>25717841.949999999</v>
      </c>
      <c r="F71" s="35">
        <v>2277234.9500000002</v>
      </c>
      <c r="G71" s="29">
        <v>23440607</v>
      </c>
      <c r="H71" s="35">
        <v>726298086.03999996</v>
      </c>
      <c r="I71" s="31">
        <f t="shared" si="15"/>
        <v>2.1237226044340586E-3</v>
      </c>
      <c r="J71" s="35">
        <v>791128231.94000006</v>
      </c>
      <c r="K71" s="31">
        <f t="shared" si="16"/>
        <v>2.3443282086885119E-3</v>
      </c>
      <c r="L71" s="31">
        <f t="shared" si="17"/>
        <v>8.926107220449106E-2</v>
      </c>
      <c r="M71" s="32">
        <f t="shared" si="18"/>
        <v>2.8784650301453378E-3</v>
      </c>
      <c r="N71" s="33">
        <f t="shared" si="19"/>
        <v>2.9629339535158644E-2</v>
      </c>
      <c r="O71" s="34">
        <f t="shared" si="20"/>
        <v>197.94411235548404</v>
      </c>
      <c r="P71" s="34">
        <f t="shared" si="21"/>
        <v>5.864953313966228</v>
      </c>
      <c r="Q71" s="29">
        <v>197.94409999999999</v>
      </c>
      <c r="R71" s="29">
        <v>198.90600000000001</v>
      </c>
      <c r="S71" s="37">
        <v>473</v>
      </c>
      <c r="T71" s="37">
        <v>3742850.13</v>
      </c>
      <c r="U71" s="37">
        <v>3996725.25</v>
      </c>
    </row>
    <row r="72" spans="1:21" ht="15.75">
      <c r="A72" s="26">
        <v>62</v>
      </c>
      <c r="B72" s="27" t="s">
        <v>130</v>
      </c>
      <c r="C72" s="36" t="s">
        <v>43</v>
      </c>
      <c r="D72" s="35">
        <v>1432360074.3800001</v>
      </c>
      <c r="E72" s="35">
        <v>11008461.470000001</v>
      </c>
      <c r="F72" s="35">
        <v>1722165.12</v>
      </c>
      <c r="G72" s="29">
        <v>9286296.3499999996</v>
      </c>
      <c r="H72" s="35">
        <v>1523792441.73</v>
      </c>
      <c r="I72" s="31">
        <f t="shared" si="15"/>
        <v>4.455625748116792E-3</v>
      </c>
      <c r="J72" s="35">
        <v>1420976315.6800001</v>
      </c>
      <c r="K72" s="31">
        <f t="shared" si="16"/>
        <v>4.2107394556734007E-3</v>
      </c>
      <c r="L72" s="31">
        <f t="shared" si="17"/>
        <v>-6.7473839109787298E-2</v>
      </c>
      <c r="M72" s="32">
        <f t="shared" si="18"/>
        <v>1.2119590601169647E-3</v>
      </c>
      <c r="N72" s="33">
        <f t="shared" si="19"/>
        <v>6.5351520975605393E-3</v>
      </c>
      <c r="O72" s="34">
        <f t="shared" si="20"/>
        <v>3.4938708399066924</v>
      </c>
      <c r="P72" s="34">
        <f t="shared" si="21"/>
        <v>2.2832977348021824E-2</v>
      </c>
      <c r="Q72" s="29">
        <v>3.52</v>
      </c>
      <c r="R72" s="29">
        <v>3.52</v>
      </c>
      <c r="S72" s="37">
        <v>805</v>
      </c>
      <c r="T72" s="37">
        <v>433378286</v>
      </c>
      <c r="U72" s="37">
        <v>406705451</v>
      </c>
    </row>
    <row r="73" spans="1:21" ht="15.75">
      <c r="A73" s="26">
        <v>63</v>
      </c>
      <c r="B73" s="36" t="s">
        <v>131</v>
      </c>
      <c r="C73" s="27" t="s">
        <v>132</v>
      </c>
      <c r="D73" s="35">
        <v>12215280721.42</v>
      </c>
      <c r="E73" s="35">
        <v>189779461.83000001</v>
      </c>
      <c r="F73" s="35">
        <v>20777004.91</v>
      </c>
      <c r="G73" s="29">
        <v>169002456.91999999</v>
      </c>
      <c r="H73" s="35">
        <v>15411722158.5</v>
      </c>
      <c r="I73" s="31">
        <f t="shared" si="15"/>
        <v>4.5064448537540457E-2</v>
      </c>
      <c r="J73" s="35">
        <v>15514489926</v>
      </c>
      <c r="K73" s="31">
        <f t="shared" si="16"/>
        <v>4.5973654975940685E-2</v>
      </c>
      <c r="L73" s="31">
        <f t="shared" si="17"/>
        <v>6.6681559947095641E-3</v>
      </c>
      <c r="M73" s="32">
        <f t="shared" si="18"/>
        <v>1.339200000070953E-3</v>
      </c>
      <c r="N73" s="33">
        <f t="shared" si="19"/>
        <v>1.0893200983473956E-2</v>
      </c>
      <c r="O73" s="34">
        <f t="shared" si="20"/>
        <v>1176.3320264002698</v>
      </c>
      <c r="P73" s="34">
        <f t="shared" si="21"/>
        <v>12.814021186875332</v>
      </c>
      <c r="Q73" s="29">
        <v>1176.33</v>
      </c>
      <c r="R73" s="29">
        <v>1176.33</v>
      </c>
      <c r="S73" s="37">
        <v>7399</v>
      </c>
      <c r="T73" s="37">
        <v>13226529.369999999</v>
      </c>
      <c r="U73" s="37">
        <v>13188869.789999999</v>
      </c>
    </row>
    <row r="74" spans="1:21" ht="15.75">
      <c r="A74" s="26">
        <v>64</v>
      </c>
      <c r="B74" s="27" t="s">
        <v>133</v>
      </c>
      <c r="C74" s="27" t="s">
        <v>29</v>
      </c>
      <c r="D74" s="35">
        <v>1515140420.1900001</v>
      </c>
      <c r="E74" s="35">
        <v>13766211.33</v>
      </c>
      <c r="F74" s="35">
        <v>1826259.5</v>
      </c>
      <c r="G74" s="29">
        <v>11939951.83</v>
      </c>
      <c r="H74" s="35">
        <v>1444768218.05</v>
      </c>
      <c r="I74" s="31">
        <f t="shared" si="15"/>
        <v>4.2245559802724271E-3</v>
      </c>
      <c r="J74" s="35">
        <v>1523333104.23</v>
      </c>
      <c r="K74" s="31">
        <f t="shared" si="16"/>
        <v>4.5140504703240934E-3</v>
      </c>
      <c r="L74" s="31">
        <f t="shared" si="17"/>
        <v>5.4378885968324318E-2</v>
      </c>
      <c r="M74" s="32">
        <f t="shared" si="18"/>
        <v>1.1988576201284093E-3</v>
      </c>
      <c r="N74" s="33">
        <f t="shared" si="19"/>
        <v>7.8380439556161897E-3</v>
      </c>
      <c r="O74" s="34">
        <f t="shared" si="20"/>
        <v>329.00465877377286</v>
      </c>
      <c r="P74" s="34">
        <f t="shared" si="21"/>
        <v>2.5787529770713378</v>
      </c>
      <c r="Q74" s="46">
        <v>329.00470000000001</v>
      </c>
      <c r="R74" s="46">
        <v>329.00470000000001</v>
      </c>
      <c r="S74" s="37">
        <v>98</v>
      </c>
      <c r="T74" s="37">
        <v>4630139.2712000003</v>
      </c>
      <c r="U74" s="37">
        <v>4630126.2417000001</v>
      </c>
    </row>
    <row r="75" spans="1:21" ht="15.75">
      <c r="A75" s="26">
        <v>65</v>
      </c>
      <c r="B75" s="36" t="s">
        <v>134</v>
      </c>
      <c r="C75" s="36" t="s">
        <v>47</v>
      </c>
      <c r="D75" s="35">
        <v>53135906.18</v>
      </c>
      <c r="E75" s="35">
        <v>382369.36</v>
      </c>
      <c r="F75" s="35">
        <v>133602.45000000001</v>
      </c>
      <c r="G75" s="29">
        <v>248766.91</v>
      </c>
      <c r="H75" s="35">
        <v>54238392.100000001</v>
      </c>
      <c r="I75" s="31">
        <f t="shared" si="15"/>
        <v>1.5859507486652507E-4</v>
      </c>
      <c r="J75" s="35">
        <v>53286213.640000001</v>
      </c>
      <c r="K75" s="31">
        <f t="shared" si="16"/>
        <v>1.5790154961873315E-4</v>
      </c>
      <c r="L75" s="31">
        <f t="shared" si="17"/>
        <v>-1.7555433026931504E-2</v>
      </c>
      <c r="M75" s="32">
        <f t="shared" si="18"/>
        <v>2.5072610882547219E-3</v>
      </c>
      <c r="N75" s="33">
        <f t="shared" si="19"/>
        <v>4.6685041590806492E-3</v>
      </c>
      <c r="O75" s="34">
        <f t="shared" si="20"/>
        <v>11.689661984838995</v>
      </c>
      <c r="P75" s="34">
        <f t="shared" si="21"/>
        <v>5.4573235594467799E-2</v>
      </c>
      <c r="Q75" s="46">
        <v>11.49</v>
      </c>
      <c r="R75" s="46">
        <v>11.71</v>
      </c>
      <c r="S75" s="37">
        <v>51</v>
      </c>
      <c r="T75" s="37">
        <v>4671687</v>
      </c>
      <c r="U75" s="37">
        <v>4558405</v>
      </c>
    </row>
    <row r="76" spans="1:21" ht="15.75">
      <c r="A76" s="26">
        <v>66</v>
      </c>
      <c r="B76" s="27" t="s">
        <v>135</v>
      </c>
      <c r="C76" s="27" t="s">
        <v>136</v>
      </c>
      <c r="D76" s="35">
        <v>5208149024.6700001</v>
      </c>
      <c r="E76" s="35">
        <v>64806600.789999999</v>
      </c>
      <c r="F76" s="35">
        <v>8326321.6500000004</v>
      </c>
      <c r="G76" s="29">
        <v>56480279.140000001</v>
      </c>
      <c r="H76" s="35">
        <v>6521468363</v>
      </c>
      <c r="I76" s="31">
        <f t="shared" si="15"/>
        <v>1.9069015935479026E-2</v>
      </c>
      <c r="J76" s="35">
        <v>6598172644</v>
      </c>
      <c r="K76" s="31">
        <f t="shared" si="16"/>
        <v>1.9552180835709566E-2</v>
      </c>
      <c r="L76" s="31">
        <f t="shared" si="17"/>
        <v>1.1761811409710584E-2</v>
      </c>
      <c r="M76" s="32">
        <f t="shared" si="18"/>
        <v>1.2619132749688627E-3</v>
      </c>
      <c r="N76" s="33">
        <f t="shared" si="19"/>
        <v>8.5599880735706315E-3</v>
      </c>
      <c r="O76" s="34">
        <f t="shared" si="20"/>
        <v>1.0199999999690823</v>
      </c>
      <c r="P76" s="34">
        <f t="shared" si="21"/>
        <v>8.7311878347773892E-3</v>
      </c>
      <c r="Q76" s="46">
        <v>1.02</v>
      </c>
      <c r="R76" s="46">
        <v>1.02</v>
      </c>
      <c r="S76" s="37">
        <v>2869</v>
      </c>
      <c r="T76" s="37">
        <v>6456899369</v>
      </c>
      <c r="U76" s="37">
        <v>6468796710</v>
      </c>
    </row>
    <row r="77" spans="1:21" ht="15.75">
      <c r="A77" s="26">
        <v>67</v>
      </c>
      <c r="B77" s="36" t="s">
        <v>137</v>
      </c>
      <c r="C77" s="27" t="s">
        <v>51</v>
      </c>
      <c r="D77" s="35">
        <v>40623769799.389999</v>
      </c>
      <c r="E77" s="35">
        <v>405633495.75999999</v>
      </c>
      <c r="F77" s="35">
        <v>46966904.979999997</v>
      </c>
      <c r="G77" s="29">
        <v>358666590.77999997</v>
      </c>
      <c r="H77" s="35">
        <v>42681785104.75</v>
      </c>
      <c r="I77" s="31">
        <f t="shared" si="15"/>
        <v>0.12480312638406478</v>
      </c>
      <c r="J77" s="35">
        <v>40570329801.300003</v>
      </c>
      <c r="K77" s="31">
        <f t="shared" si="16"/>
        <v>0.12022092594996285</v>
      </c>
      <c r="L77" s="31">
        <f t="shared" si="17"/>
        <v>-4.9469704658979125E-2</v>
      </c>
      <c r="M77" s="32">
        <f t="shared" si="18"/>
        <v>1.1576663342405223E-3</v>
      </c>
      <c r="N77" s="33">
        <f t="shared" si="19"/>
        <v>8.8406131410967027E-3</v>
      </c>
      <c r="O77" s="34">
        <f t="shared" si="20"/>
        <v>4632.2926915840171</v>
      </c>
      <c r="P77" s="34">
        <f t="shared" si="21"/>
        <v>40.952307642623879</v>
      </c>
      <c r="Q77" s="46">
        <v>4632.29</v>
      </c>
      <c r="R77" s="46">
        <v>4632.29</v>
      </c>
      <c r="S77" s="37">
        <v>488</v>
      </c>
      <c r="T77" s="37">
        <v>9280968.0299999993</v>
      </c>
      <c r="U77" s="37">
        <v>8758153.3599999994</v>
      </c>
    </row>
    <row r="78" spans="1:21" ht="15.75">
      <c r="A78" s="26">
        <v>68</v>
      </c>
      <c r="B78" s="27" t="s">
        <v>138</v>
      </c>
      <c r="C78" s="27" t="s">
        <v>51</v>
      </c>
      <c r="D78" s="35">
        <v>43844654202.370003</v>
      </c>
      <c r="E78" s="35">
        <v>276482155.52999997</v>
      </c>
      <c r="F78" s="35">
        <v>71374527.909999996</v>
      </c>
      <c r="G78" s="29">
        <v>205107627.62</v>
      </c>
      <c r="H78" s="35">
        <v>45223628783.550003</v>
      </c>
      <c r="I78" s="31">
        <f t="shared" si="15"/>
        <v>0.13223557179644069</v>
      </c>
      <c r="J78" s="35">
        <v>43698928208.330002</v>
      </c>
      <c r="K78" s="31">
        <f t="shared" si="16"/>
        <v>0.12949181428784057</v>
      </c>
      <c r="L78" s="31">
        <f t="shared" si="17"/>
        <v>-3.3714688896761151E-2</v>
      </c>
      <c r="M78" s="32">
        <f t="shared" si="18"/>
        <v>1.6333244506531032E-3</v>
      </c>
      <c r="N78" s="33">
        <f t="shared" si="19"/>
        <v>4.693653506607099E-3</v>
      </c>
      <c r="O78" s="34">
        <f t="shared" si="20"/>
        <v>246.82376220341652</v>
      </c>
      <c r="P78" s="34">
        <f t="shared" si="21"/>
        <v>1.1585052169800227</v>
      </c>
      <c r="Q78" s="46">
        <v>246.82</v>
      </c>
      <c r="R78" s="46">
        <v>246.82</v>
      </c>
      <c r="S78" s="37">
        <v>6656</v>
      </c>
      <c r="T78" s="37">
        <v>183850103.12</v>
      </c>
      <c r="U78" s="37">
        <v>177045061.69999999</v>
      </c>
    </row>
    <row r="79" spans="1:21" ht="15.75">
      <c r="A79" s="26">
        <v>69</v>
      </c>
      <c r="B79" s="36" t="s">
        <v>139</v>
      </c>
      <c r="C79" s="27" t="s">
        <v>51</v>
      </c>
      <c r="D79" s="35">
        <v>246172382.66999999</v>
      </c>
      <c r="E79" s="35">
        <v>1868070.96</v>
      </c>
      <c r="F79" s="35">
        <v>278465.90000000002</v>
      </c>
      <c r="G79" s="29">
        <v>2275677.75</v>
      </c>
      <c r="H79" s="35">
        <v>244744428.50999999</v>
      </c>
      <c r="I79" s="31">
        <f t="shared" si="15"/>
        <v>7.1564180758058166E-4</v>
      </c>
      <c r="J79" s="35">
        <v>247729788.75999999</v>
      </c>
      <c r="K79" s="31">
        <f t="shared" si="16"/>
        <v>7.340907686967232E-4</v>
      </c>
      <c r="L79" s="31">
        <f t="shared" si="17"/>
        <v>1.2197868070684278E-2</v>
      </c>
      <c r="M79" s="32">
        <f t="shared" si="18"/>
        <v>1.1240711155240887E-3</v>
      </c>
      <c r="N79" s="33">
        <f t="shared" si="19"/>
        <v>9.1861288115200022E-3</v>
      </c>
      <c r="O79" s="34">
        <f t="shared" si="20"/>
        <v>4388.7654163643883</v>
      </c>
      <c r="P79" s="34">
        <f t="shared" si="21"/>
        <v>40.315764438267486</v>
      </c>
      <c r="Q79" s="46">
        <v>4378.7299999999996</v>
      </c>
      <c r="R79" s="46">
        <v>4395.6400000000003</v>
      </c>
      <c r="S79" s="37">
        <v>15</v>
      </c>
      <c r="T79" s="37">
        <v>56332.12</v>
      </c>
      <c r="U79" s="37">
        <v>56446.35</v>
      </c>
    </row>
    <row r="80" spans="1:21" ht="15.75">
      <c r="A80" s="26">
        <v>70</v>
      </c>
      <c r="B80" s="27" t="s">
        <v>140</v>
      </c>
      <c r="C80" s="27" t="s">
        <v>51</v>
      </c>
      <c r="D80" s="35">
        <v>19729256417.48</v>
      </c>
      <c r="E80" s="35">
        <v>166893794.72</v>
      </c>
      <c r="F80" s="35">
        <v>25611399</v>
      </c>
      <c r="G80" s="29">
        <v>141282395.72</v>
      </c>
      <c r="H80" s="35">
        <v>20967901458.490002</v>
      </c>
      <c r="I80" s="31">
        <f t="shared" si="15"/>
        <v>6.1310923367198088E-2</v>
      </c>
      <c r="J80" s="35">
        <v>19704412141.459999</v>
      </c>
      <c r="K80" s="31">
        <f t="shared" si="16"/>
        <v>5.8389534532945916E-2</v>
      </c>
      <c r="L80" s="31">
        <f t="shared" si="17"/>
        <v>-6.0258262827652211E-2</v>
      </c>
      <c r="M80" s="32">
        <f t="shared" si="18"/>
        <v>1.2997799079786363E-3</v>
      </c>
      <c r="N80" s="33">
        <f t="shared" si="19"/>
        <v>7.1700893538827323E-3</v>
      </c>
      <c r="O80" s="34">
        <f t="shared" si="20"/>
        <v>116.62295007650094</v>
      </c>
      <c r="P80" s="34">
        <f t="shared" si="21"/>
        <v>0.83619697276191685</v>
      </c>
      <c r="Q80" s="29">
        <v>116.62</v>
      </c>
      <c r="R80" s="29">
        <v>116.62</v>
      </c>
      <c r="S80" s="37">
        <v>3905</v>
      </c>
      <c r="T80" s="37">
        <v>205855435.44999999</v>
      </c>
      <c r="U80" s="37">
        <v>168958272.18000001</v>
      </c>
    </row>
    <row r="81" spans="1:21" ht="15.75">
      <c r="A81" s="26">
        <v>71</v>
      </c>
      <c r="B81" s="27" t="s">
        <v>141</v>
      </c>
      <c r="C81" s="27" t="s">
        <v>51</v>
      </c>
      <c r="D81" s="35">
        <v>14761335388.719999</v>
      </c>
      <c r="E81" s="35">
        <v>98804003.579999998</v>
      </c>
      <c r="F81" s="35">
        <v>27665073.960000001</v>
      </c>
      <c r="G81" s="29">
        <v>71138929.620000005</v>
      </c>
      <c r="H81" s="35">
        <v>15226075886.209999</v>
      </c>
      <c r="I81" s="31">
        <f t="shared" si="15"/>
        <v>4.4521611935779838E-2</v>
      </c>
      <c r="J81" s="35">
        <v>14977614855.959999</v>
      </c>
      <c r="K81" s="31">
        <f t="shared" si="16"/>
        <v>4.4382748065502117E-2</v>
      </c>
      <c r="L81" s="31">
        <f t="shared" si="17"/>
        <v>-1.6318126358152923E-2</v>
      </c>
      <c r="M81" s="32">
        <f t="shared" si="18"/>
        <v>1.8470947628214194E-3</v>
      </c>
      <c r="N81" s="33">
        <f t="shared" si="19"/>
        <v>4.7496834645665825E-3</v>
      </c>
      <c r="O81" s="34">
        <f t="shared" si="20"/>
        <v>335.8267280799904</v>
      </c>
      <c r="P81" s="34">
        <f t="shared" si="21"/>
        <v>1.5950706573210283</v>
      </c>
      <c r="Q81" s="46">
        <v>335.83</v>
      </c>
      <c r="R81" s="46">
        <v>335.83</v>
      </c>
      <c r="S81" s="37">
        <v>9941</v>
      </c>
      <c r="T81" s="37">
        <v>46243683.240000002</v>
      </c>
      <c r="U81" s="37">
        <v>44599234.079999998</v>
      </c>
    </row>
    <row r="82" spans="1:21" ht="15.75">
      <c r="A82" s="26">
        <v>72</v>
      </c>
      <c r="B82" s="27" t="s">
        <v>142</v>
      </c>
      <c r="C82" s="27" t="s">
        <v>54</v>
      </c>
      <c r="D82" s="35">
        <v>32634003.5</v>
      </c>
      <c r="E82" s="35">
        <v>870618</v>
      </c>
      <c r="F82" s="35">
        <v>89231.73</v>
      </c>
      <c r="G82" s="29">
        <v>781386.27</v>
      </c>
      <c r="H82" s="35">
        <v>55140649.859999999</v>
      </c>
      <c r="I82" s="31">
        <f t="shared" si="15"/>
        <v>1.6123331009909391E-4</v>
      </c>
      <c r="J82" s="35">
        <v>55681275.850000001</v>
      </c>
      <c r="K82" s="31">
        <f t="shared" si="16"/>
        <v>1.6499877061753159E-4</v>
      </c>
      <c r="L82" s="31">
        <f t="shared" si="17"/>
        <v>9.8044907227722335E-3</v>
      </c>
      <c r="M82" s="32">
        <f t="shared" si="18"/>
        <v>1.6025446370945538E-3</v>
      </c>
      <c r="N82" s="33">
        <f t="shared" si="19"/>
        <v>1.403319622389723E-2</v>
      </c>
      <c r="O82" s="34">
        <f t="shared" si="20"/>
        <v>107.69817722303829</v>
      </c>
      <c r="P82" s="34">
        <f t="shared" si="21"/>
        <v>1.5113496539269555</v>
      </c>
      <c r="Q82" s="46">
        <v>103.413</v>
      </c>
      <c r="R82" s="46">
        <v>103.413</v>
      </c>
      <c r="S82" s="37">
        <v>25</v>
      </c>
      <c r="T82" s="37">
        <v>538435.71</v>
      </c>
      <c r="U82" s="37">
        <v>517012.24</v>
      </c>
    </row>
    <row r="83" spans="1:21" ht="15.75">
      <c r="A83" s="26">
        <v>73</v>
      </c>
      <c r="B83" s="27" t="s">
        <v>143</v>
      </c>
      <c r="C83" s="27" t="s">
        <v>56</v>
      </c>
      <c r="D83" s="35">
        <v>90739720946</v>
      </c>
      <c r="E83" s="35">
        <v>689318215</v>
      </c>
      <c r="F83" s="35">
        <v>150097601</v>
      </c>
      <c r="G83" s="29">
        <v>539220613</v>
      </c>
      <c r="H83" s="35">
        <v>101985245065</v>
      </c>
      <c r="I83" s="31">
        <f t="shared" si="15"/>
        <v>0.29820864797289193</v>
      </c>
      <c r="J83" s="35">
        <v>102151807243</v>
      </c>
      <c r="K83" s="31">
        <f t="shared" si="16"/>
        <v>0.30270359926485157</v>
      </c>
      <c r="L83" s="31">
        <f t="shared" si="17"/>
        <v>1.6331987817830127E-3</v>
      </c>
      <c r="M83" s="32">
        <f t="shared" si="18"/>
        <v>1.4693582526929352E-3</v>
      </c>
      <c r="N83" s="33">
        <f t="shared" si="19"/>
        <v>5.278620394030771E-3</v>
      </c>
      <c r="O83" s="34">
        <f t="shared" si="20"/>
        <v>1.9949063368779405</v>
      </c>
      <c r="P83" s="34">
        <f t="shared" si="21"/>
        <v>1.0530353274025116E-2</v>
      </c>
      <c r="Q83" s="46">
        <v>1.99</v>
      </c>
      <c r="R83" s="46">
        <v>1.99</v>
      </c>
      <c r="S83" s="37">
        <v>2526</v>
      </c>
      <c r="T83" s="37">
        <v>51407845421</v>
      </c>
      <c r="U83" s="37">
        <v>51206317487</v>
      </c>
    </row>
    <row r="84" spans="1:21" ht="15.75">
      <c r="A84" s="26">
        <v>74</v>
      </c>
      <c r="B84" s="27" t="s">
        <v>144</v>
      </c>
      <c r="C84" s="27" t="s">
        <v>58</v>
      </c>
      <c r="D84" s="35">
        <v>10848890086.209999</v>
      </c>
      <c r="E84" s="35">
        <v>3145292.11</v>
      </c>
      <c r="F84" s="35">
        <v>560798.27</v>
      </c>
      <c r="G84" s="35">
        <v>26575785.940000001</v>
      </c>
      <c r="H84" s="35">
        <v>9730579088.8600006</v>
      </c>
      <c r="I84" s="31">
        <f t="shared" si="15"/>
        <v>2.8452574999773918E-2</v>
      </c>
      <c r="J84" s="35">
        <v>9720591487.8400002</v>
      </c>
      <c r="K84" s="31">
        <f t="shared" si="16"/>
        <v>2.8804757446462898E-2</v>
      </c>
      <c r="L84" s="31">
        <f t="shared" si="17"/>
        <v>-1.0264138371204143E-3</v>
      </c>
      <c r="M84" s="32">
        <f t="shared" si="18"/>
        <v>5.7691784569028757E-5</v>
      </c>
      <c r="N84" s="33">
        <f t="shared" si="19"/>
        <v>2.7339679867470052E-3</v>
      </c>
      <c r="O84" s="34">
        <f t="shared" si="20"/>
        <v>1</v>
      </c>
      <c r="P84" s="34">
        <f t="shared" si="21"/>
        <v>2.7339679867470052E-3</v>
      </c>
      <c r="Q84" s="46">
        <v>1</v>
      </c>
      <c r="R84" s="46">
        <v>1</v>
      </c>
      <c r="S84" s="29">
        <v>4425</v>
      </c>
      <c r="T84" s="37">
        <v>9730579088.8600006</v>
      </c>
      <c r="U84" s="37">
        <v>9720591487.8400002</v>
      </c>
    </row>
    <row r="85" spans="1:21" ht="15.75">
      <c r="A85" s="26">
        <v>75</v>
      </c>
      <c r="B85" s="36" t="s">
        <v>145</v>
      </c>
      <c r="C85" s="36" t="s">
        <v>106</v>
      </c>
      <c r="D85" s="35">
        <v>3477520678.5999999</v>
      </c>
      <c r="E85" s="35">
        <v>27527206.460000001</v>
      </c>
      <c r="F85" s="35">
        <v>5444520.0199999996</v>
      </c>
      <c r="G85" s="35">
        <v>22082686.440000001</v>
      </c>
      <c r="H85" s="35">
        <v>3486486653.7800002</v>
      </c>
      <c r="I85" s="31">
        <f t="shared" si="15"/>
        <v>1.0194616589258729E-2</v>
      </c>
      <c r="J85" s="35">
        <v>3478185670.5300002</v>
      </c>
      <c r="K85" s="31">
        <f t="shared" si="16"/>
        <v>1.0306810518548216E-2</v>
      </c>
      <c r="L85" s="31">
        <f t="shared" si="17"/>
        <v>-2.3809020582368184E-3</v>
      </c>
      <c r="M85" s="32">
        <f t="shared" si="18"/>
        <v>1.5653333478227954E-3</v>
      </c>
      <c r="N85" s="33">
        <f t="shared" si="19"/>
        <v>6.3489096131648078E-3</v>
      </c>
      <c r="O85" s="34">
        <f t="shared" si="20"/>
        <v>23.833572505769666</v>
      </c>
      <c r="P85" s="34">
        <f t="shared" si="21"/>
        <v>0.15131719759794149</v>
      </c>
      <c r="Q85" s="46">
        <v>23.8338</v>
      </c>
      <c r="R85" s="46">
        <v>23.8338</v>
      </c>
      <c r="S85" s="29">
        <v>1343</v>
      </c>
      <c r="T85" s="37">
        <v>147035689.31</v>
      </c>
      <c r="U85" s="37">
        <v>145936395.80000001</v>
      </c>
    </row>
    <row r="86" spans="1:21" ht="15.75">
      <c r="A86" s="84" t="s">
        <v>59</v>
      </c>
      <c r="B86" s="85"/>
      <c r="C86" s="85"/>
      <c r="D86" s="85"/>
      <c r="E86" s="85"/>
      <c r="F86" s="85"/>
      <c r="G86" s="86"/>
      <c r="H86" s="71">
        <f>SUM(H56:H85)</f>
        <v>341992915893.80994</v>
      </c>
      <c r="I86" s="43">
        <f>(H86/$H$165)</f>
        <v>0.23125059315262442</v>
      </c>
      <c r="J86" s="71">
        <f>SUM(J56:J85)</f>
        <v>337464792262.4201</v>
      </c>
      <c r="K86" s="43">
        <f>(J86/$J$165)</f>
        <v>0.21633171293063524</v>
      </c>
      <c r="L86" s="31">
        <f t="shared" si="17"/>
        <v>-1.3240401835679634E-2</v>
      </c>
      <c r="M86" s="59"/>
      <c r="N86" s="59"/>
      <c r="O86" s="34"/>
      <c r="P86" s="34"/>
      <c r="Q86" s="35"/>
      <c r="R86" s="35"/>
      <c r="S86" s="22">
        <f>SUM(S56:S85)</f>
        <v>49070</v>
      </c>
      <c r="T86" s="37"/>
      <c r="U86" s="37"/>
    </row>
    <row r="87" spans="1:21" ht="5.25" customHeight="1">
      <c r="A87" s="87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pans="1:21">
      <c r="A88" s="83" t="s">
        <v>2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</row>
    <row r="89" spans="1:21">
      <c r="A89" s="90" t="s">
        <v>146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1:21" ht="15.75">
      <c r="A90" s="48">
        <v>76</v>
      </c>
      <c r="B90" s="27" t="s">
        <v>147</v>
      </c>
      <c r="C90" s="27" t="s">
        <v>29</v>
      </c>
      <c r="D90" s="42">
        <f>1726478.56*460.97</f>
        <v>795854821.80320013</v>
      </c>
      <c r="E90" s="47">
        <f>11325.26*460.97</f>
        <v>5220605.1022000005</v>
      </c>
      <c r="F90" s="47">
        <f>3100.81*460.97</f>
        <v>1429380.3857</v>
      </c>
      <c r="G90" s="49">
        <f>8224.45*460.97</f>
        <v>3791224.7165000006</v>
      </c>
      <c r="H90" s="30">
        <v>991500926.13</v>
      </c>
      <c r="I90" s="73">
        <f>(H90/$H$109)</f>
        <v>3.079938220318722E-3</v>
      </c>
      <c r="J90" s="30">
        <f>1731712.78*460.97</f>
        <v>798267640.19660008</v>
      </c>
      <c r="K90" s="73">
        <f>(J90/$J$109)</f>
        <v>2.4853655699768043E-3</v>
      </c>
      <c r="L90" s="31">
        <f t="shared" ref="L90:L98" si="22">((J90-H90)/H90)</f>
        <v>-0.19488966761495921</v>
      </c>
      <c r="M90" s="32">
        <f t="shared" ref="M90:M98" si="23">(F90/J90)</f>
        <v>1.7906029428275049E-3</v>
      </c>
      <c r="N90" s="33">
        <f t="shared" ref="N90:N98" si="24">G90/J90</f>
        <v>4.7493152992726662E-3</v>
      </c>
      <c r="O90" s="34">
        <f t="shared" ref="O90:O98" si="25">J90/U90</f>
        <v>49181.03511999717</v>
      </c>
      <c r="P90" s="34">
        <f t="shared" ref="P90:P98" si="26">G90/U90</f>
        <v>233.57624252946886</v>
      </c>
      <c r="Q90" s="35">
        <f>106.6903*460.97</f>
        <v>49181.027590999998</v>
      </c>
      <c r="R90" s="35">
        <f>106.6903*460.97</f>
        <v>49181.027590999998</v>
      </c>
      <c r="S90" s="37">
        <v>214</v>
      </c>
      <c r="T90" s="37">
        <v>16650.705900000001</v>
      </c>
      <c r="U90" s="37">
        <v>16231.2086</v>
      </c>
    </row>
    <row r="91" spans="1:21" ht="15.75">
      <c r="A91" s="26">
        <v>77</v>
      </c>
      <c r="B91" s="27" t="s">
        <v>148</v>
      </c>
      <c r="C91" s="36" t="s">
        <v>33</v>
      </c>
      <c r="D91" s="35">
        <f>9878515.8*460.97</f>
        <v>4553699428.3260002</v>
      </c>
      <c r="E91" s="30">
        <f>64595.35*460.97</f>
        <v>29776518.489500001</v>
      </c>
      <c r="F91" s="30">
        <f>17523.46*460.97</f>
        <v>8077789.3562000003</v>
      </c>
      <c r="G91" s="50">
        <f>47071.89*460.97</f>
        <v>21698729.133300003</v>
      </c>
      <c r="H91" s="30">
        <f>11161855*461.5</f>
        <v>5151196082.5</v>
      </c>
      <c r="I91" s="73">
        <f t="shared" ref="I91:I98" si="27">(H91/$H$109)</f>
        <v>1.6001362456385285E-2</v>
      </c>
      <c r="J91" s="30">
        <f>11218155*460.97</f>
        <v>5171232910.3500004</v>
      </c>
      <c r="K91" s="73">
        <f t="shared" ref="K91:K98" si="28">(J91/$J$109)</f>
        <v>1.6100369829033158E-2</v>
      </c>
      <c r="L91" s="31">
        <f t="shared" si="22"/>
        <v>3.8897427954782929E-3</v>
      </c>
      <c r="M91" s="32">
        <f t="shared" si="23"/>
        <v>1.5620625673294761E-3</v>
      </c>
      <c r="N91" s="33">
        <f t="shared" si="24"/>
        <v>4.1960456064299347E-3</v>
      </c>
      <c r="O91" s="34">
        <f t="shared" si="25"/>
        <v>523.4331732519172</v>
      </c>
      <c r="P91" s="34">
        <f t="shared" si="26"/>
        <v>2.1963494668833863</v>
      </c>
      <c r="Q91" s="35">
        <f>1.1355*460.97</f>
        <v>523.43143499999996</v>
      </c>
      <c r="R91" s="35">
        <f>1.1355*460.97</f>
        <v>523.43143499999996</v>
      </c>
      <c r="S91" s="37">
        <f>324</f>
        <v>324</v>
      </c>
      <c r="T91" s="37">
        <v>9871294</v>
      </c>
      <c r="U91" s="37">
        <v>9879452</v>
      </c>
    </row>
    <row r="92" spans="1:21" ht="15.75">
      <c r="A92" s="48">
        <v>78</v>
      </c>
      <c r="B92" s="27" t="s">
        <v>149</v>
      </c>
      <c r="C92" s="36" t="s">
        <v>81</v>
      </c>
      <c r="D92" s="35">
        <v>970066872.17999995</v>
      </c>
      <c r="E92" s="30">
        <v>6128822.0300000003</v>
      </c>
      <c r="F92" s="30">
        <v>1660930.23</v>
      </c>
      <c r="G92" s="50">
        <v>4467891.8</v>
      </c>
      <c r="H92" s="30">
        <v>968460015.97000003</v>
      </c>
      <c r="I92" s="73">
        <f t="shared" si="27"/>
        <v>3.0083653372658531E-3</v>
      </c>
      <c r="J92" s="30">
        <v>1007284225.5</v>
      </c>
      <c r="K92" s="73">
        <f t="shared" si="28"/>
        <v>3.1361280442507833E-3</v>
      </c>
      <c r="L92" s="31">
        <f t="shared" si="22"/>
        <v>4.0088603442356908E-2</v>
      </c>
      <c r="M92" s="32">
        <f t="shared" si="23"/>
        <v>1.6489191312169516E-3</v>
      </c>
      <c r="N92" s="33">
        <f t="shared" si="24"/>
        <v>4.4355820203400972E-3</v>
      </c>
      <c r="O92" s="34">
        <f t="shared" si="25"/>
        <v>48767.136327413536</v>
      </c>
      <c r="P92" s="34">
        <f t="shared" si="26"/>
        <v>216.31063307734988</v>
      </c>
      <c r="Q92" s="30">
        <v>105.79</v>
      </c>
      <c r="R92" s="30">
        <v>105.79</v>
      </c>
      <c r="S92" s="37">
        <v>40</v>
      </c>
      <c r="T92" s="37">
        <v>20712.09</v>
      </c>
      <c r="U92" s="37">
        <v>20654.98</v>
      </c>
    </row>
    <row r="93" spans="1:21" ht="15.75">
      <c r="A93" s="26">
        <v>79</v>
      </c>
      <c r="B93" s="27" t="s">
        <v>150</v>
      </c>
      <c r="C93" s="27" t="s">
        <v>151</v>
      </c>
      <c r="D93" s="28">
        <v>13316727248.01</v>
      </c>
      <c r="E93" s="28">
        <v>69885010.030000001</v>
      </c>
      <c r="F93" s="28">
        <v>19548772.550000001</v>
      </c>
      <c r="G93" s="50">
        <v>50336237.479999997</v>
      </c>
      <c r="H93" s="30">
        <v>13077252885.469999</v>
      </c>
      <c r="I93" s="73">
        <f t="shared" si="27"/>
        <v>4.0622383617876151E-2</v>
      </c>
      <c r="J93" s="30">
        <v>13316727248.01</v>
      </c>
      <c r="K93" s="73">
        <f t="shared" si="28"/>
        <v>4.1460950864580695E-2</v>
      </c>
      <c r="L93" s="31">
        <f t="shared" si="22"/>
        <v>1.8312283522946813E-2</v>
      </c>
      <c r="M93" s="32">
        <f t="shared" si="23"/>
        <v>1.4679862541242101E-3</v>
      </c>
      <c r="N93" s="33">
        <f t="shared" si="24"/>
        <v>3.7799255434567865E-3</v>
      </c>
      <c r="O93" s="34">
        <f t="shared" si="25"/>
        <v>56084.752792702639</v>
      </c>
      <c r="P93" s="34">
        <f t="shared" si="26"/>
        <v>211.99618967959606</v>
      </c>
      <c r="Q93" s="41">
        <v>121.53</v>
      </c>
      <c r="R93" s="41">
        <v>121.53</v>
      </c>
      <c r="S93" s="37">
        <v>1924</v>
      </c>
      <c r="T93" s="37">
        <v>234388.28</v>
      </c>
      <c r="U93" s="37">
        <v>237439.35</v>
      </c>
    </row>
    <row r="94" spans="1:21" ht="15.75">
      <c r="A94" s="48">
        <v>80</v>
      </c>
      <c r="B94" s="27" t="s">
        <v>152</v>
      </c>
      <c r="C94" s="27" t="s">
        <v>151</v>
      </c>
      <c r="D94" s="28">
        <v>6352512284.6499996</v>
      </c>
      <c r="E94" s="28">
        <v>32801766.079999998</v>
      </c>
      <c r="F94" s="28">
        <v>8733425.3100000005</v>
      </c>
      <c r="G94" s="50">
        <v>24068340.77</v>
      </c>
      <c r="H94" s="30">
        <v>5433403645.0200005</v>
      </c>
      <c r="I94" s="73">
        <f t="shared" si="27"/>
        <v>1.6877994877961433E-2</v>
      </c>
      <c r="J94" s="30">
        <v>6352512284.6499996</v>
      </c>
      <c r="K94" s="73">
        <f t="shared" si="28"/>
        <v>1.9778222891805305E-2</v>
      </c>
      <c r="L94" s="31">
        <f t="shared" si="22"/>
        <v>0.16915891026657121</v>
      </c>
      <c r="M94" s="32">
        <f t="shared" si="23"/>
        <v>1.3747986495206252E-3</v>
      </c>
      <c r="N94" s="33">
        <f t="shared" si="24"/>
        <v>3.7887909053175611E-3</v>
      </c>
      <c r="O94" s="34">
        <f t="shared" si="25"/>
        <v>46650.362029976022</v>
      </c>
      <c r="P94" s="34">
        <f t="shared" si="26"/>
        <v>176.74846738894482</v>
      </c>
      <c r="Q94" s="41">
        <v>105.62</v>
      </c>
      <c r="R94" s="41">
        <v>105.62</v>
      </c>
      <c r="S94" s="37">
        <v>74</v>
      </c>
      <c r="T94" s="37">
        <v>117379.67</v>
      </c>
      <c r="U94" s="37">
        <v>136172.84</v>
      </c>
    </row>
    <row r="95" spans="1:21" ht="15.75">
      <c r="A95" s="26">
        <v>81</v>
      </c>
      <c r="B95" s="39" t="s">
        <v>153</v>
      </c>
      <c r="C95" s="40" t="s">
        <v>154</v>
      </c>
      <c r="D95" s="28">
        <f>63013.63*460.97</f>
        <v>29047393.0211</v>
      </c>
      <c r="E95" s="28">
        <f>298.32*460.97</f>
        <v>137516.5704</v>
      </c>
      <c r="F95" s="28">
        <f>86.19*460.97</f>
        <v>39731.004300000001</v>
      </c>
      <c r="G95" s="50">
        <f>212.13*460.97</f>
        <v>97785.566100000011</v>
      </c>
      <c r="H95" s="30">
        <f>79676.66*461.5</f>
        <v>36770778.590000004</v>
      </c>
      <c r="I95" s="73">
        <f t="shared" si="27"/>
        <v>1.1422251193678609E-4</v>
      </c>
      <c r="J95" s="30">
        <f>79888.79*460.97</f>
        <v>36826335.526299998</v>
      </c>
      <c r="K95" s="73">
        <f t="shared" si="28"/>
        <v>1.1465691677410107E-4</v>
      </c>
      <c r="L95" s="31">
        <f t="shared" si="22"/>
        <v>1.5108991006000502E-3</v>
      </c>
      <c r="M95" s="32">
        <f t="shared" si="23"/>
        <v>1.0788747707907455E-3</v>
      </c>
      <c r="N95" s="33">
        <f t="shared" si="24"/>
        <v>2.6553162214623606E-3</v>
      </c>
      <c r="O95" s="34">
        <f t="shared" si="25"/>
        <v>46600.867480291046</v>
      </c>
      <c r="P95" s="34">
        <f t="shared" si="26"/>
        <v>123.74003935463462</v>
      </c>
      <c r="Q95" s="41">
        <f>101.09*460.97</f>
        <v>46599.457300000002</v>
      </c>
      <c r="R95" s="41">
        <f>101.09*460.97</f>
        <v>46599.457300000002</v>
      </c>
      <c r="S95" s="37">
        <v>790.25</v>
      </c>
      <c r="T95" s="37">
        <v>239.75</v>
      </c>
      <c r="U95" s="37">
        <v>790.25</v>
      </c>
    </row>
    <row r="96" spans="1:21" ht="15.75">
      <c r="A96" s="48">
        <v>82</v>
      </c>
      <c r="B96" s="27" t="s">
        <v>155</v>
      </c>
      <c r="C96" s="27" t="s">
        <v>156</v>
      </c>
      <c r="D96" s="29">
        <f>13531071.99*460.97</f>
        <v>6237418255.2303009</v>
      </c>
      <c r="E96" s="29">
        <f>74868.29*460.97</f>
        <v>34512035.6413</v>
      </c>
      <c r="F96" s="29">
        <f>20437.06*460.97</f>
        <v>9420871.5482000019</v>
      </c>
      <c r="G96" s="29">
        <f>54431.23*460.97</f>
        <v>25091164.093100004</v>
      </c>
      <c r="H96" s="30">
        <f>13900572.79*461.5</f>
        <v>6415114342.585</v>
      </c>
      <c r="I96" s="73">
        <f t="shared" si="27"/>
        <v>1.9927521327248642E-2</v>
      </c>
      <c r="J96" s="30">
        <f>13459536.79*460.97</f>
        <v>6204442674.0862999</v>
      </c>
      <c r="K96" s="73">
        <f t="shared" si="28"/>
        <v>1.9317215713856493E-2</v>
      </c>
      <c r="L96" s="31">
        <f t="shared" si="22"/>
        <v>-3.2839892985260341E-2</v>
      </c>
      <c r="M96" s="32">
        <f t="shared" si="23"/>
        <v>1.5184073804964877E-3</v>
      </c>
      <c r="N96" s="33">
        <f t="shared" si="24"/>
        <v>4.0440641345429254E-3</v>
      </c>
      <c r="O96" s="34">
        <f t="shared" si="25"/>
        <v>576.5194253472506</v>
      </c>
      <c r="P96" s="34">
        <f t="shared" si="26"/>
        <v>2.3314815309141133</v>
      </c>
      <c r="Q96" s="41">
        <f>1.27*460.97</f>
        <v>585.43190000000004</v>
      </c>
      <c r="R96" s="41">
        <f>1.27*460.97</f>
        <v>585.43190000000004</v>
      </c>
      <c r="S96" s="37">
        <v>125</v>
      </c>
      <c r="T96" s="37">
        <v>11191253</v>
      </c>
      <c r="U96" s="37">
        <v>10761897</v>
      </c>
    </row>
    <row r="97" spans="1:21" ht="15.75">
      <c r="A97" s="26">
        <v>83</v>
      </c>
      <c r="B97" s="27" t="s">
        <v>157</v>
      </c>
      <c r="C97" s="27" t="s">
        <v>56</v>
      </c>
      <c r="D97" s="35">
        <f>144451804*460.97</f>
        <v>66587948089.880005</v>
      </c>
      <c r="E97" s="30">
        <f>1040129*460.97</f>
        <v>479468265.13000005</v>
      </c>
      <c r="F97" s="30">
        <f>244854*460.97</f>
        <v>112870348.38000001</v>
      </c>
      <c r="G97" s="50">
        <f>795275*460.97</f>
        <v>366597916.75</v>
      </c>
      <c r="H97" s="30">
        <f>160414141*461.5</f>
        <v>74031126071.5</v>
      </c>
      <c r="I97" s="73">
        <f t="shared" si="27"/>
        <v>0.22996579092549543</v>
      </c>
      <c r="J97" s="30">
        <f>159633097*460.97</f>
        <v>73586068724.090012</v>
      </c>
      <c r="K97" s="73">
        <f t="shared" si="28"/>
        <v>0.22910647059645048</v>
      </c>
      <c r="L97" s="31">
        <f t="shared" si="22"/>
        <v>-6.0117597965502721E-3</v>
      </c>
      <c r="M97" s="32">
        <f t="shared" si="23"/>
        <v>1.5338548496619093E-3</v>
      </c>
      <c r="N97" s="33">
        <f t="shared" si="24"/>
        <v>4.981892946673833E-3</v>
      </c>
      <c r="O97" s="34">
        <f t="shared" si="25"/>
        <v>58280.593975916694</v>
      </c>
      <c r="P97" s="34">
        <f t="shared" si="26"/>
        <v>290.34768005658088</v>
      </c>
      <c r="Q97" s="30">
        <f>126.43*460.97</f>
        <v>58280.43710000001</v>
      </c>
      <c r="R97" s="30">
        <f>126.43*460.97</f>
        <v>58280.43710000001</v>
      </c>
      <c r="S97" s="37">
        <v>1365</v>
      </c>
      <c r="T97" s="37">
        <v>1278504</v>
      </c>
      <c r="U97" s="37">
        <v>1262617</v>
      </c>
    </row>
    <row r="98" spans="1:21" ht="15.75">
      <c r="A98" s="48">
        <v>84</v>
      </c>
      <c r="B98" s="27" t="s">
        <v>158</v>
      </c>
      <c r="C98" s="27" t="s">
        <v>47</v>
      </c>
      <c r="D98" s="35">
        <v>787917645.92999995</v>
      </c>
      <c r="E98" s="35">
        <v>3381737.01</v>
      </c>
      <c r="F98" s="35">
        <v>834445.68</v>
      </c>
      <c r="G98" s="50">
        <v>2547291.33</v>
      </c>
      <c r="H98" s="30">
        <v>801674108.34000003</v>
      </c>
      <c r="I98" s="73">
        <f t="shared" si="27"/>
        <v>2.4902717299051347E-3</v>
      </c>
      <c r="J98" s="30">
        <v>797606035.10000002</v>
      </c>
      <c r="K98" s="73">
        <f t="shared" si="28"/>
        <v>2.4833056962637648E-3</v>
      </c>
      <c r="L98" s="31">
        <f t="shared" si="22"/>
        <v>-5.0744725290225896E-3</v>
      </c>
      <c r="M98" s="32">
        <f t="shared" si="23"/>
        <v>1.0461877710032388E-3</v>
      </c>
      <c r="N98" s="33">
        <f t="shared" si="24"/>
        <v>3.1936710830938395E-3</v>
      </c>
      <c r="O98" s="34">
        <f t="shared" si="25"/>
        <v>57919.253147919546</v>
      </c>
      <c r="P98" s="34">
        <f t="shared" si="26"/>
        <v>184.97504393290248</v>
      </c>
      <c r="Q98" s="30">
        <v>56554.01</v>
      </c>
      <c r="R98" s="30">
        <v>57976.95</v>
      </c>
      <c r="S98" s="37">
        <v>37</v>
      </c>
      <c r="T98" s="37">
        <v>14018</v>
      </c>
      <c r="U98" s="37">
        <v>13771</v>
      </c>
    </row>
    <row r="99" spans="1:21" ht="7.5" customHeight="1">
      <c r="A99" s="91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3"/>
    </row>
    <row r="100" spans="1:21">
      <c r="A100" s="90" t="s">
        <v>159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1:21" ht="15.75">
      <c r="A101" s="26">
        <v>85</v>
      </c>
      <c r="B101" s="27" t="s">
        <v>160</v>
      </c>
      <c r="C101" s="36" t="s">
        <v>113</v>
      </c>
      <c r="D101" s="35">
        <f>675859.06*460.97</f>
        <v>311550750.88820004</v>
      </c>
      <c r="E101" s="35">
        <f>7160.76*460.97</f>
        <v>3300895.5372000001</v>
      </c>
      <c r="F101" s="35">
        <f>1219.38*460.97</f>
        <v>562097.59860000003</v>
      </c>
      <c r="G101" s="29">
        <f>5941.38*460.97</f>
        <v>2738797.9386</v>
      </c>
      <c r="H101" s="35">
        <f>844323.99*461.5</f>
        <v>389655521.38499999</v>
      </c>
      <c r="I101" s="73">
        <f>(H101/$H$109)</f>
        <v>1.2104022310459529E-3</v>
      </c>
      <c r="J101" s="35">
        <f>838286.2*460.97</f>
        <v>386424789.61400002</v>
      </c>
      <c r="K101" s="73">
        <f>(J101/$J$109)</f>
        <v>1.2031138669928215E-3</v>
      </c>
      <c r="L101" s="73">
        <f t="shared" ref="L101:L109" si="29">((J101-H101)/H101)</f>
        <v>-8.2912511017849445E-3</v>
      </c>
      <c r="M101" s="32">
        <f t="shared" ref="M101:M108" si="30">(F101/J101)</f>
        <v>1.454610609121324E-3</v>
      </c>
      <c r="N101" s="33">
        <f t="shared" ref="N101:N108" si="31">G101/J101</f>
        <v>7.0875316807076146E-3</v>
      </c>
      <c r="O101" s="34">
        <f t="shared" ref="O101:O108" si="32">J101/U101</f>
        <v>44896.57135052864</v>
      </c>
      <c r="P101" s="34">
        <f t="shared" ref="P101:P108" si="33">G101/U101</f>
        <v>318.20587180202159</v>
      </c>
      <c r="Q101" s="35">
        <f>97.42*460.97</f>
        <v>44907.697400000005</v>
      </c>
      <c r="R101" s="35">
        <f>97.42*460.97</f>
        <v>44907.697400000005</v>
      </c>
      <c r="S101" s="37">
        <v>28</v>
      </c>
      <c r="T101" s="37">
        <v>8711</v>
      </c>
      <c r="U101" s="37">
        <v>8607</v>
      </c>
    </row>
    <row r="102" spans="1:21" ht="15.75">
      <c r="A102" s="26">
        <v>86</v>
      </c>
      <c r="B102" s="27" t="s">
        <v>161</v>
      </c>
      <c r="C102" s="36" t="s">
        <v>35</v>
      </c>
      <c r="D102" s="35">
        <f>4834173.78*460.97</f>
        <v>2228409087.3666</v>
      </c>
      <c r="E102" s="35">
        <f>32807.23*460.97</f>
        <v>15123148.813100003</v>
      </c>
      <c r="F102" s="35">
        <f>6236.81*460.97</f>
        <v>2874982.3057000004</v>
      </c>
      <c r="G102" s="29">
        <f>26570.42*460.97</f>
        <v>12248166.5074</v>
      </c>
      <c r="H102" s="35">
        <f>6174642.49*461.5</f>
        <v>2849597509.1350002</v>
      </c>
      <c r="I102" s="73">
        <f t="shared" ref="I102:I108" si="34">(H102/$H$109)</f>
        <v>8.8518165234262019E-3</v>
      </c>
      <c r="J102" s="35">
        <f>5938652.26*460.97</f>
        <v>2737540532.2922001</v>
      </c>
      <c r="K102" s="73">
        <f t="shared" ref="K102:K108" si="35">(J102/$J$109)</f>
        <v>8.523192777424058E-3</v>
      </c>
      <c r="L102" s="73">
        <f t="shared" si="29"/>
        <v>-3.9323790985771608E-2</v>
      </c>
      <c r="M102" s="32">
        <f t="shared" si="30"/>
        <v>1.0502062971439248E-3</v>
      </c>
      <c r="N102" s="33">
        <f t="shared" si="31"/>
        <v>4.4741498300828273E-3</v>
      </c>
      <c r="O102" s="34">
        <f t="shared" si="32"/>
        <v>57759.539725889415</v>
      </c>
      <c r="P102" s="34">
        <f t="shared" si="33"/>
        <v>258.42483485025048</v>
      </c>
      <c r="Q102" s="35">
        <f>124.05*460.97</f>
        <v>57183.328500000003</v>
      </c>
      <c r="R102" s="35">
        <f>126.55*460.97</f>
        <v>58335.753499999999</v>
      </c>
      <c r="S102" s="37">
        <v>349</v>
      </c>
      <c r="T102" s="37">
        <v>49500.1</v>
      </c>
      <c r="U102" s="37">
        <v>47395.47</v>
      </c>
    </row>
    <row r="103" spans="1:21" ht="15.75">
      <c r="A103" s="26">
        <v>87</v>
      </c>
      <c r="B103" s="27" t="s">
        <v>162</v>
      </c>
      <c r="C103" s="27" t="s">
        <v>72</v>
      </c>
      <c r="D103" s="35">
        <f>11445471.68*460.97</f>
        <v>5276019080.3296003</v>
      </c>
      <c r="E103" s="35">
        <f>74489.33*460.97</f>
        <v>34337346.450100005</v>
      </c>
      <c r="F103" s="35">
        <f>20659.32*460.97</f>
        <v>9523326.7403999995</v>
      </c>
      <c r="G103" s="29">
        <f>53830.01*460.97</f>
        <v>24814019.709700003</v>
      </c>
      <c r="H103" s="35">
        <f>13226922.93*461.5</f>
        <v>6104224932.1949997</v>
      </c>
      <c r="I103" s="73">
        <f t="shared" si="34"/>
        <v>1.8961793356534702E-2</v>
      </c>
      <c r="J103" s="35">
        <f>13367906.9*460.97</f>
        <v>6162204043.6930008</v>
      </c>
      <c r="K103" s="73">
        <f t="shared" si="35"/>
        <v>1.9185707893150362E-2</v>
      </c>
      <c r="L103" s="73">
        <f t="shared" si="29"/>
        <v>9.4981938152715762E-3</v>
      </c>
      <c r="M103" s="32">
        <f t="shared" si="30"/>
        <v>1.5454416427750552E-3</v>
      </c>
      <c r="N103" s="33">
        <f t="shared" si="31"/>
        <v>4.0268091633702202E-3</v>
      </c>
      <c r="O103" s="34">
        <f t="shared" si="32"/>
        <v>54032.145025235215</v>
      </c>
      <c r="P103" s="34">
        <f t="shared" si="33"/>
        <v>217.57713670416587</v>
      </c>
      <c r="Q103" s="35">
        <f>114.15*460.97</f>
        <v>52619.725500000008</v>
      </c>
      <c r="R103" s="35">
        <f>114.15*460.97</f>
        <v>52619.725500000008</v>
      </c>
      <c r="S103" s="37">
        <f>459+35+24</f>
        <v>518</v>
      </c>
      <c r="T103" s="37">
        <v>115600</v>
      </c>
      <c r="U103" s="37">
        <v>114047</v>
      </c>
    </row>
    <row r="104" spans="1:21" ht="15.75">
      <c r="A104" s="26">
        <v>88</v>
      </c>
      <c r="B104" s="27" t="s">
        <v>163</v>
      </c>
      <c r="C104" s="36" t="s">
        <v>70</v>
      </c>
      <c r="D104" s="35">
        <f>3651207.42*460.97</f>
        <v>1683097084.3974001</v>
      </c>
      <c r="E104" s="35">
        <f>21631.08*460.97</f>
        <v>9971278.9476000015</v>
      </c>
      <c r="F104" s="35">
        <f>4777.53*460.97</f>
        <v>2202298.0041</v>
      </c>
      <c r="G104" s="29">
        <f>17454.91*460.97</f>
        <v>8046189.8627000004</v>
      </c>
      <c r="H104" s="35">
        <f>3856431.53*461.5</f>
        <v>1779743151.0949998</v>
      </c>
      <c r="I104" s="73">
        <f t="shared" si="34"/>
        <v>5.5284859640053075E-3</v>
      </c>
      <c r="J104" s="35">
        <f>3693653.64*460.97</f>
        <v>1702663518.4308002</v>
      </c>
      <c r="K104" s="73">
        <f t="shared" si="35"/>
        <v>5.3011559943996591E-3</v>
      </c>
      <c r="L104" s="73">
        <f t="shared" si="29"/>
        <v>-4.3309413842540029E-2</v>
      </c>
      <c r="M104" s="32">
        <f t="shared" si="30"/>
        <v>1.2934428795007427E-3</v>
      </c>
      <c r="N104" s="33">
        <f t="shared" si="31"/>
        <v>4.7256488293796811E-3</v>
      </c>
      <c r="O104" s="34">
        <f t="shared" si="32"/>
        <v>526.16568543614187</v>
      </c>
      <c r="P104" s="34">
        <f t="shared" si="33"/>
        <v>2.4864742554410615</v>
      </c>
      <c r="Q104" s="35">
        <f>1.14*460.97</f>
        <v>525.50580000000002</v>
      </c>
      <c r="R104" s="35">
        <f>1.14*460.97</f>
        <v>525.50580000000002</v>
      </c>
      <c r="S104" s="37">
        <v>133</v>
      </c>
      <c r="T104" s="37">
        <v>3392888.76</v>
      </c>
      <c r="U104" s="37">
        <v>3235983.58</v>
      </c>
    </row>
    <row r="105" spans="1:21" ht="15.75">
      <c r="A105" s="26">
        <v>89</v>
      </c>
      <c r="B105" s="36" t="s">
        <v>164</v>
      </c>
      <c r="C105" s="36" t="s">
        <v>49</v>
      </c>
      <c r="D105" s="35">
        <f>8174220.62*460.97</f>
        <v>3768070479.2014003</v>
      </c>
      <c r="E105" s="35">
        <f>56801.32*460.97</f>
        <v>26183704.4804</v>
      </c>
      <c r="F105" s="35">
        <f>14539.61*460.97</f>
        <v>6702324.0217000004</v>
      </c>
      <c r="G105" s="29">
        <f>42272.95*460.97</f>
        <v>19486561.761500001</v>
      </c>
      <c r="H105" s="35">
        <f>9083700.88*461.5</f>
        <v>4192127956.1200004</v>
      </c>
      <c r="I105" s="73">
        <f t="shared" si="34"/>
        <v>1.3022171514167314E-2</v>
      </c>
      <c r="J105" s="35">
        <f>8831650.69*460.97</f>
        <v>4071126018.5693002</v>
      </c>
      <c r="K105" s="73">
        <f t="shared" si="35"/>
        <v>1.267524314914849E-2</v>
      </c>
      <c r="L105" s="73">
        <f t="shared" si="29"/>
        <v>-2.886408497480426E-2</v>
      </c>
      <c r="M105" s="32">
        <f t="shared" si="30"/>
        <v>1.6463071865447613E-3</v>
      </c>
      <c r="N105" s="33">
        <f t="shared" si="31"/>
        <v>4.7865287570607032E-3</v>
      </c>
      <c r="O105" s="34">
        <f t="shared" si="32"/>
        <v>477.69539102345243</v>
      </c>
      <c r="P105" s="34">
        <f t="shared" si="33"/>
        <v>2.286502726249112</v>
      </c>
      <c r="Q105" s="35">
        <f>0.99315*460.97</f>
        <v>457.81235550000002</v>
      </c>
      <c r="R105" s="35">
        <f>0.99315*460.97</f>
        <v>457.81235550000002</v>
      </c>
      <c r="S105" s="37">
        <v>325</v>
      </c>
      <c r="T105" s="37">
        <v>8585367.0299999993</v>
      </c>
      <c r="U105" s="37">
        <v>8522431.0199999996</v>
      </c>
    </row>
    <row r="106" spans="1:21" ht="15.75">
      <c r="A106" s="26">
        <v>90</v>
      </c>
      <c r="B106" s="27" t="s">
        <v>165</v>
      </c>
      <c r="C106" s="36" t="s">
        <v>95</v>
      </c>
      <c r="D106" s="35">
        <f>(174337.6+45222)*460.97</f>
        <v>101210388.81200001</v>
      </c>
      <c r="E106" s="35">
        <f>1230.93*460.97</f>
        <v>567421.80210000009</v>
      </c>
      <c r="F106" s="35">
        <f>82.94*460.97</f>
        <v>38232.851800000004</v>
      </c>
      <c r="G106" s="29">
        <f>1147.99*460.97</f>
        <v>529188.95030000003</v>
      </c>
      <c r="H106" s="35">
        <f>221304.34*461.5</f>
        <v>102131952.91</v>
      </c>
      <c r="I106" s="73">
        <f t="shared" si="34"/>
        <v>3.1725649164149908E-4</v>
      </c>
      <c r="J106" s="35">
        <f>226179.72*460.97</f>
        <v>104262065.5284</v>
      </c>
      <c r="K106" s="73">
        <f t="shared" si="35"/>
        <v>3.2461462155115238E-4</v>
      </c>
      <c r="L106" s="73">
        <f t="shared" si="29"/>
        <v>2.0856475938309828E-2</v>
      </c>
      <c r="M106" s="32">
        <f t="shared" si="30"/>
        <v>3.666995431774343E-4</v>
      </c>
      <c r="N106" s="33">
        <f t="shared" si="31"/>
        <v>5.0755655723687338E-3</v>
      </c>
      <c r="O106" s="34">
        <f t="shared" si="32"/>
        <v>408.09466515998986</v>
      </c>
      <c r="P106" s="34">
        <f t="shared" si="33"/>
        <v>2.0713112327533909</v>
      </c>
      <c r="Q106" s="35">
        <f>0.8853*460.97</f>
        <v>408.09674100000001</v>
      </c>
      <c r="R106" s="35">
        <f>0.8853*460.97</f>
        <v>408.09674100000001</v>
      </c>
      <c r="S106" s="37">
        <v>3</v>
      </c>
      <c r="T106" s="37">
        <v>255485</v>
      </c>
      <c r="U106" s="37">
        <v>255485</v>
      </c>
    </row>
    <row r="107" spans="1:21" ht="15.75">
      <c r="A107" s="26">
        <v>91</v>
      </c>
      <c r="B107" s="27" t="s">
        <v>166</v>
      </c>
      <c r="C107" s="27" t="s">
        <v>51</v>
      </c>
      <c r="D107" s="35">
        <f>420178633.79*460.97</f>
        <v>193689744818.17633</v>
      </c>
      <c r="E107" s="35">
        <f>2859860.17*460.97</f>
        <v>1318309742.5649002</v>
      </c>
      <c r="F107" s="35">
        <f>689460.28*460.97</f>
        <v>317820505.27160001</v>
      </c>
      <c r="G107" s="29">
        <f>2170399.89*460.97</f>
        <v>1000489237.2933002</v>
      </c>
      <c r="H107" s="35">
        <f>424551369.56*461.5</f>
        <v>195930457051.94</v>
      </c>
      <c r="I107" s="73">
        <f t="shared" si="34"/>
        <v>0.60862646447963531</v>
      </c>
      <c r="J107" s="35">
        <f>422640526.48*460.97</f>
        <v>194824603491.48563</v>
      </c>
      <c r="K107" s="73">
        <f t="shared" si="35"/>
        <v>0.60657646298034595</v>
      </c>
      <c r="L107" s="73">
        <f t="shared" si="29"/>
        <v>-5.6441125953236608E-3</v>
      </c>
      <c r="M107" s="32">
        <f t="shared" si="30"/>
        <v>1.6313160636587136E-3</v>
      </c>
      <c r="N107" s="33">
        <f t="shared" si="31"/>
        <v>5.1353331117495347E-3</v>
      </c>
      <c r="O107" s="34">
        <f t="shared" si="32"/>
        <v>636.07977339640638</v>
      </c>
      <c r="P107" s="34">
        <f t="shared" si="33"/>
        <v>3.2664815220367069</v>
      </c>
      <c r="Q107" s="35">
        <f>1.3799*460.97</f>
        <v>636.09250299999997</v>
      </c>
      <c r="R107" s="35">
        <f>1.3799*460.97</f>
        <v>636.09250299999997</v>
      </c>
      <c r="S107" s="37">
        <v>4632</v>
      </c>
      <c r="T107" s="37">
        <v>309312737.08999997</v>
      </c>
      <c r="U107" s="37">
        <v>306289575.05000001</v>
      </c>
    </row>
    <row r="108" spans="1:21" ht="15.75">
      <c r="A108" s="26">
        <v>92</v>
      </c>
      <c r="B108" s="36" t="s">
        <v>167</v>
      </c>
      <c r="C108" s="36" t="s">
        <v>58</v>
      </c>
      <c r="D108" s="35">
        <f>9032952.55*460.97</f>
        <v>4163920136.9735007</v>
      </c>
      <c r="E108" s="35">
        <f>38614.56*460.97</f>
        <v>17800153.723200001</v>
      </c>
      <c r="F108" s="35">
        <f>15009.28*460.97</f>
        <v>6918827.8016000008</v>
      </c>
      <c r="G108" s="29">
        <f>23605.28*460.97</f>
        <v>10881325.921600001</v>
      </c>
      <c r="H108" s="35">
        <f>7947790.69*461.5</f>
        <v>3667905403.4350004</v>
      </c>
      <c r="I108" s="73">
        <f t="shared" si="34"/>
        <v>1.1393758435150298E-2</v>
      </c>
      <c r="J108" s="35">
        <f>8519904.24*460.97</f>
        <v>3927420257.5128002</v>
      </c>
      <c r="K108" s="73">
        <f t="shared" si="35"/>
        <v>1.2227822593995866E-2</v>
      </c>
      <c r="L108" s="73">
        <f t="shared" si="29"/>
        <v>7.0752875424421699E-2</v>
      </c>
      <c r="M108" s="32">
        <f t="shared" si="30"/>
        <v>1.7616723823647108E-3</v>
      </c>
      <c r="N108" s="33">
        <f t="shared" si="31"/>
        <v>2.7706039099800964E-3</v>
      </c>
      <c r="O108" s="34">
        <f t="shared" si="32"/>
        <v>456.41705743290834</v>
      </c>
      <c r="P108" s="34">
        <f t="shared" si="33"/>
        <v>1.264550883905226</v>
      </c>
      <c r="Q108" s="35">
        <f>1.08*460.97</f>
        <v>497.84760000000006</v>
      </c>
      <c r="R108" s="35">
        <f>1.08*460.97</f>
        <v>497.84760000000006</v>
      </c>
      <c r="S108" s="37">
        <v>400</v>
      </c>
      <c r="T108" s="37">
        <v>8073238.46</v>
      </c>
      <c r="U108" s="37">
        <v>8604893.6899999995</v>
      </c>
    </row>
    <row r="109" spans="1:21" ht="15.75">
      <c r="A109" s="84" t="s">
        <v>59</v>
      </c>
      <c r="B109" s="85"/>
      <c r="C109" s="85"/>
      <c r="D109" s="85"/>
      <c r="E109" s="85"/>
      <c r="F109" s="85"/>
      <c r="G109" s="86"/>
      <c r="H109" s="71">
        <f>SUM(H90:H108)</f>
        <v>321922342334.32001</v>
      </c>
      <c r="I109" s="74">
        <f>(H109/$H$165)</f>
        <v>0.2176791657199387</v>
      </c>
      <c r="J109" s="71">
        <f>SUM(J90:J108)</f>
        <v>321187212794.63538</v>
      </c>
      <c r="K109" s="74">
        <f>(J109/$J$165)</f>
        <v>0.20589697505761848</v>
      </c>
      <c r="L109" s="73">
        <f t="shared" si="29"/>
        <v>-2.2835617259556063E-3</v>
      </c>
      <c r="M109" s="59"/>
      <c r="N109" s="59"/>
      <c r="O109" s="34"/>
      <c r="P109" s="34"/>
      <c r="Q109" s="35"/>
      <c r="R109" s="35"/>
      <c r="S109" s="72">
        <f>SUM(S90:S108)</f>
        <v>11281.25</v>
      </c>
      <c r="T109" s="29"/>
      <c r="U109" s="37"/>
    </row>
    <row r="110" spans="1:21" ht="8.25" customHeight="1">
      <c r="A110" s="91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3"/>
    </row>
    <row r="111" spans="1:21">
      <c r="A111" s="83" t="s">
        <v>168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</row>
    <row r="112" spans="1:21" ht="15.75">
      <c r="A112" s="26">
        <v>93</v>
      </c>
      <c r="B112" s="27" t="s">
        <v>169</v>
      </c>
      <c r="C112" s="27" t="s">
        <v>49</v>
      </c>
      <c r="D112" s="35">
        <v>7790722908</v>
      </c>
      <c r="E112" s="35">
        <v>84016097</v>
      </c>
      <c r="F112" s="28">
        <v>17784480</v>
      </c>
      <c r="G112" s="52">
        <v>66231617</v>
      </c>
      <c r="H112" s="35">
        <v>7591439098</v>
      </c>
      <c r="I112" s="73">
        <f>(H112/$H$116)</f>
        <v>0.16375848080915187</v>
      </c>
      <c r="J112" s="35">
        <v>7657670715</v>
      </c>
      <c r="K112" s="73">
        <f>(J112/$J$116)</f>
        <v>0.1645734675089702</v>
      </c>
      <c r="L112" s="73">
        <f>((J112-H112)/H112)</f>
        <v>8.724514040750064E-3</v>
      </c>
      <c r="M112" s="32">
        <f>(F112/J112)</f>
        <v>2.3224398987492898E-3</v>
      </c>
      <c r="N112" s="33">
        <f>G112/J112</f>
        <v>8.6490552368965364E-3</v>
      </c>
      <c r="O112" s="34">
        <f>J112/U112</f>
        <v>103.27270013486176</v>
      </c>
      <c r="P112" s="34">
        <f>G112/U112</f>
        <v>0.89321128792987192</v>
      </c>
      <c r="Q112" s="35">
        <v>103.27</v>
      </c>
      <c r="R112" s="35">
        <v>103.27</v>
      </c>
      <c r="S112" s="37">
        <v>56</v>
      </c>
      <c r="T112" s="37">
        <v>74150000</v>
      </c>
      <c r="U112" s="37">
        <v>74150000</v>
      </c>
    </row>
    <row r="113" spans="1:21" ht="15.75">
      <c r="A113" s="26">
        <v>94</v>
      </c>
      <c r="B113" s="27" t="s">
        <v>170</v>
      </c>
      <c r="C113" s="27" t="s">
        <v>136</v>
      </c>
      <c r="D113" s="35">
        <v>2156016204.4299998</v>
      </c>
      <c r="E113" s="35">
        <v>22675353.59</v>
      </c>
      <c r="F113" s="28">
        <v>4307553.1900000004</v>
      </c>
      <c r="G113" s="52">
        <v>18367800.399999999</v>
      </c>
      <c r="H113" s="35">
        <v>2297008766.2199998</v>
      </c>
      <c r="I113" s="73">
        <f t="shared" ref="I113:I115" si="36">(H113/$H$116)</f>
        <v>4.9549849653748944E-2</v>
      </c>
      <c r="J113" s="35">
        <v>2315376566.6199999</v>
      </c>
      <c r="K113" s="73">
        <f t="shared" ref="K113:K115" si="37">(J113/$J$116)</f>
        <v>4.9760503466316455E-2</v>
      </c>
      <c r="L113" s="73">
        <f t="shared" ref="L113:L115" si="38">((J113-H113)/H113)</f>
        <v>7.9963997831085723E-3</v>
      </c>
      <c r="M113" s="32">
        <f>(F113/J113)</f>
        <v>1.8604114994081465E-3</v>
      </c>
      <c r="N113" s="33">
        <f>G113/J113</f>
        <v>7.9329646264898589E-3</v>
      </c>
      <c r="O113" s="34">
        <f>J113/U113</f>
        <v>115.76882833099999</v>
      </c>
      <c r="P113" s="34">
        <f>G113/U113</f>
        <v>0.91839001999999992</v>
      </c>
      <c r="Q113" s="68">
        <v>68.599999999999994</v>
      </c>
      <c r="R113" s="68">
        <v>68.599999999999994</v>
      </c>
      <c r="S113" s="69">
        <v>2702</v>
      </c>
      <c r="T113" s="69">
        <v>20000000</v>
      </c>
      <c r="U113" s="69">
        <v>20000000</v>
      </c>
    </row>
    <row r="114" spans="1:21" ht="15.75">
      <c r="A114" s="26">
        <v>95</v>
      </c>
      <c r="B114" s="27" t="s">
        <v>171</v>
      </c>
      <c r="C114" s="27" t="s">
        <v>136</v>
      </c>
      <c r="D114" s="35">
        <v>10367680677.889999</v>
      </c>
      <c r="E114" s="35">
        <v>53736422.049999997</v>
      </c>
      <c r="F114" s="53" t="s">
        <v>172</v>
      </c>
      <c r="G114" s="52">
        <v>36696322.100000001</v>
      </c>
      <c r="H114" s="35">
        <v>10033266520</v>
      </c>
      <c r="I114" s="73">
        <f t="shared" si="36"/>
        <v>0.21643228137091827</v>
      </c>
      <c r="J114" s="35">
        <v>10069962842.110001</v>
      </c>
      <c r="K114" s="73">
        <f t="shared" si="37"/>
        <v>0.21641681449768729</v>
      </c>
      <c r="L114" s="73">
        <f t="shared" si="38"/>
        <v>3.6574650974188026E-3</v>
      </c>
      <c r="M114" s="32">
        <f>(F114/J114)</f>
        <v>1.6921710851546218E-3</v>
      </c>
      <c r="N114" s="33">
        <f>G114/J114</f>
        <v>3.6441367932903783E-3</v>
      </c>
      <c r="O114" s="34">
        <f>J114/U114</f>
        <v>53.527453843935461</v>
      </c>
      <c r="P114" s="34">
        <f>G114/U114</f>
        <v>0.19506136400383772</v>
      </c>
      <c r="Q114" s="52">
        <v>36.6</v>
      </c>
      <c r="R114" s="52">
        <v>36.6</v>
      </c>
      <c r="S114" s="37">
        <v>5252</v>
      </c>
      <c r="T114" s="37">
        <v>188127066</v>
      </c>
      <c r="U114" s="37">
        <v>188127066</v>
      </c>
    </row>
    <row r="115" spans="1:21" ht="15.75">
      <c r="A115" s="26">
        <v>96</v>
      </c>
      <c r="B115" s="27" t="s">
        <v>173</v>
      </c>
      <c r="C115" s="36" t="s">
        <v>174</v>
      </c>
      <c r="D115" s="35">
        <v>26596923206.27</v>
      </c>
      <c r="E115" s="35">
        <v>143943948.96000001</v>
      </c>
      <c r="F115" s="54">
        <v>54210156.170000002</v>
      </c>
      <c r="G115" s="52">
        <v>89733792.790000007</v>
      </c>
      <c r="H115" s="35">
        <v>26435818126.400002</v>
      </c>
      <c r="I115" s="73">
        <f t="shared" si="36"/>
        <v>0.57025938816618083</v>
      </c>
      <c r="J115" s="35">
        <v>26487398640.869999</v>
      </c>
      <c r="K115" s="73">
        <f t="shared" si="37"/>
        <v>0.56924921452702604</v>
      </c>
      <c r="L115" s="73">
        <f t="shared" si="38"/>
        <v>1.9511601352139268E-3</v>
      </c>
      <c r="M115" s="32">
        <f>(F115/J115)</f>
        <v>2.0466394946898957E-3</v>
      </c>
      <c r="N115" s="33">
        <f>G115/J115</f>
        <v>3.3877918328884499E-3</v>
      </c>
      <c r="O115" s="34">
        <f>J115/U115</f>
        <v>9.9268078583778738</v>
      </c>
      <c r="P115" s="34">
        <f>G115/U115</f>
        <v>3.3629958589265443E-2</v>
      </c>
      <c r="Q115" s="52">
        <v>9.93</v>
      </c>
      <c r="R115" s="52">
        <v>9.93</v>
      </c>
      <c r="S115" s="37">
        <v>28836</v>
      </c>
      <c r="T115" s="37">
        <v>2668269500</v>
      </c>
      <c r="U115" s="37">
        <v>2668269500</v>
      </c>
    </row>
    <row r="116" spans="1:21" ht="15.75">
      <c r="A116" s="84" t="s">
        <v>59</v>
      </c>
      <c r="B116" s="85"/>
      <c r="C116" s="85"/>
      <c r="D116" s="85"/>
      <c r="E116" s="85"/>
      <c r="F116" s="85"/>
      <c r="G116" s="86"/>
      <c r="H116" s="71">
        <f t="shared" ref="H116" si="39">SUM(H112:H115)</f>
        <v>46357532510.620003</v>
      </c>
      <c r="I116" s="74">
        <f>(H116/$H$165)</f>
        <v>3.1346283481209915E-2</v>
      </c>
      <c r="J116" s="71">
        <f>SUM(J112:J115)</f>
        <v>46530408764.599998</v>
      </c>
      <c r="K116" s="74">
        <f>(J116/$J$165)</f>
        <v>2.9828305832808225E-2</v>
      </c>
      <c r="L116" s="73">
        <f>((J116-H116)/H116)</f>
        <v>3.7291944721257902E-3</v>
      </c>
      <c r="M116" s="33"/>
      <c r="N116" s="33"/>
      <c r="O116" s="34"/>
      <c r="P116" s="34"/>
      <c r="Q116" s="35"/>
      <c r="R116" s="35"/>
      <c r="S116" s="22">
        <f>SUM(S112:S115)</f>
        <v>36846</v>
      </c>
      <c r="T116" s="37"/>
      <c r="U116" s="37"/>
    </row>
    <row r="117" spans="1:21" ht="5.25" customHeight="1">
      <c r="A117" s="91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3"/>
    </row>
    <row r="118" spans="1:21">
      <c r="A118" s="83" t="s">
        <v>3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</row>
    <row r="119" spans="1:21" ht="15.75">
      <c r="A119" s="26">
        <v>97</v>
      </c>
      <c r="B119" s="27" t="s">
        <v>175</v>
      </c>
      <c r="C119" s="27" t="s">
        <v>63</v>
      </c>
      <c r="D119" s="30">
        <v>187981166.62</v>
      </c>
      <c r="E119" s="30">
        <v>1214637.4099999999</v>
      </c>
      <c r="F119" s="35">
        <v>408610.24</v>
      </c>
      <c r="G119" s="29">
        <v>806027.17</v>
      </c>
      <c r="H119" s="35">
        <v>170801823.94999999</v>
      </c>
      <c r="I119" s="73">
        <f>(H119/$H$143)</f>
        <v>5.5789289595329456E-3</v>
      </c>
      <c r="J119" s="35">
        <v>175223368.62</v>
      </c>
      <c r="K119" s="73">
        <f>(J119/$J$143)</f>
        <v>5.5692263468527696E-3</v>
      </c>
      <c r="L119" s="73">
        <f>((J119-H119)/H119)</f>
        <v>2.5886987432255797E-2</v>
      </c>
      <c r="M119" s="32">
        <f t="shared" ref="M119:M142" si="40">(F119/J119)</f>
        <v>2.3319391883518509E-3</v>
      </c>
      <c r="N119" s="33">
        <f t="shared" ref="N119:N142" si="41">G119/J119</f>
        <v>4.5999981415035989E-3</v>
      </c>
      <c r="O119" s="34">
        <f t="shared" ref="O119:O142" si="42">J119/U119</f>
        <v>3.9921834791719504</v>
      </c>
      <c r="P119" s="34">
        <f t="shared" ref="P119:P142" si="43">G119/U119</f>
        <v>1.8364036584732343E-2</v>
      </c>
      <c r="Q119" s="35">
        <v>3.9525999999999999</v>
      </c>
      <c r="R119" s="35">
        <v>4.0185000000000004</v>
      </c>
      <c r="S119" s="37">
        <v>11818</v>
      </c>
      <c r="T119" s="37">
        <v>43891612.079999998</v>
      </c>
      <c r="U119" s="37">
        <v>43891612.079999998</v>
      </c>
    </row>
    <row r="120" spans="1:21" ht="15.75">
      <c r="A120" s="26">
        <v>98</v>
      </c>
      <c r="B120" s="27" t="s">
        <v>176</v>
      </c>
      <c r="C120" s="36" t="s">
        <v>33</v>
      </c>
      <c r="D120" s="30">
        <v>4643612447.5600004</v>
      </c>
      <c r="E120" s="30">
        <v>19449449.079999998</v>
      </c>
      <c r="F120" s="35">
        <v>15588644.630000001</v>
      </c>
      <c r="G120" s="29">
        <v>142930427.59999999</v>
      </c>
      <c r="H120" s="35">
        <v>4891811553</v>
      </c>
      <c r="I120" s="73">
        <f t="shared" ref="I120:I142" si="44">(H120/$H$143)</f>
        <v>0.15978207086124935</v>
      </c>
      <c r="J120" s="35">
        <v>5037051534</v>
      </c>
      <c r="K120" s="73">
        <f t="shared" ref="K120:K142" si="45">(J120/$J$143)</f>
        <v>0.1600955416765458</v>
      </c>
      <c r="L120" s="73">
        <f t="shared" ref="L120:L143" si="46">((J120-H120)/H120)</f>
        <v>2.9690428469373215E-2</v>
      </c>
      <c r="M120" s="32">
        <f t="shared" si="40"/>
        <v>3.0947955415538144E-3</v>
      </c>
      <c r="N120" s="33">
        <f t="shared" si="41"/>
        <v>2.8375812047032354E-2</v>
      </c>
      <c r="O120" s="34">
        <f t="shared" si="42"/>
        <v>557.57430251898802</v>
      </c>
      <c r="P120" s="34">
        <f t="shared" si="43"/>
        <v>15.821623610533962</v>
      </c>
      <c r="Q120" s="35">
        <v>554.78639999999996</v>
      </c>
      <c r="R120" s="35">
        <v>571.51369999999997</v>
      </c>
      <c r="S120" s="37">
        <v>1889</v>
      </c>
      <c r="T120" s="37">
        <v>9030457</v>
      </c>
      <c r="U120" s="37">
        <v>9033866</v>
      </c>
    </row>
    <row r="121" spans="1:21" ht="15.75">
      <c r="A121" s="26">
        <v>99</v>
      </c>
      <c r="B121" s="27" t="s">
        <v>177</v>
      </c>
      <c r="C121" s="27" t="s">
        <v>117</v>
      </c>
      <c r="D121" s="55">
        <v>1132717198.1800001</v>
      </c>
      <c r="E121" s="55">
        <v>4343185.8899999997</v>
      </c>
      <c r="F121" s="55">
        <v>1545652.59</v>
      </c>
      <c r="G121" s="29">
        <v>26026096.100000001</v>
      </c>
      <c r="H121" s="35">
        <v>1034940715.36</v>
      </c>
      <c r="I121" s="73">
        <f t="shared" si="44"/>
        <v>3.3804444207878426E-2</v>
      </c>
      <c r="J121" s="35">
        <v>1061016811.46</v>
      </c>
      <c r="K121" s="73">
        <f t="shared" si="45"/>
        <v>3.3722915084753662E-2</v>
      </c>
      <c r="L121" s="73">
        <f t="shared" si="46"/>
        <v>2.5195738956824747E-2</v>
      </c>
      <c r="M121" s="32">
        <f t="shared" si="40"/>
        <v>1.4567654096574799E-3</v>
      </c>
      <c r="N121" s="33">
        <f t="shared" si="41"/>
        <v>2.4529390881363217E-2</v>
      </c>
      <c r="O121" s="34">
        <f t="shared" si="42"/>
        <v>2.4370630171677723</v>
      </c>
      <c r="P121" s="34">
        <f t="shared" si="43"/>
        <v>5.977967135062269E-2</v>
      </c>
      <c r="Q121" s="42">
        <v>2.4174000000000002</v>
      </c>
      <c r="R121" s="42">
        <v>2.4687000000000001</v>
      </c>
      <c r="S121" s="37">
        <v>2767</v>
      </c>
      <c r="T121" s="37">
        <v>435346309.31349999</v>
      </c>
      <c r="U121" s="37">
        <v>435366998.71350002</v>
      </c>
    </row>
    <row r="122" spans="1:21" ht="15.75">
      <c r="A122" s="26">
        <v>100</v>
      </c>
      <c r="B122" s="27" t="s">
        <v>178</v>
      </c>
      <c r="C122" s="27" t="s">
        <v>70</v>
      </c>
      <c r="D122" s="30">
        <v>2380000980.8000002</v>
      </c>
      <c r="E122" s="30">
        <v>14344560.300000001</v>
      </c>
      <c r="F122" s="35">
        <v>5816853.3099999996</v>
      </c>
      <c r="G122" s="29">
        <v>8884838.9700000007</v>
      </c>
      <c r="H122" s="35">
        <v>2291996089.1500001</v>
      </c>
      <c r="I122" s="73">
        <f t="shared" si="44"/>
        <v>7.4863857195332909E-2</v>
      </c>
      <c r="J122" s="35">
        <v>2348035738.7600002</v>
      </c>
      <c r="K122" s="73">
        <f t="shared" si="45"/>
        <v>7.4628987004656408E-2</v>
      </c>
      <c r="L122" s="73">
        <f t="shared" si="46"/>
        <v>2.4450150624289572E-2</v>
      </c>
      <c r="M122" s="32">
        <f t="shared" si="40"/>
        <v>2.477327416264918E-3</v>
      </c>
      <c r="N122" s="33">
        <f t="shared" si="41"/>
        <v>3.7839453732898E-3</v>
      </c>
      <c r="O122" s="34">
        <f t="shared" si="42"/>
        <v>4422.3370402739392</v>
      </c>
      <c r="P122" s="34">
        <f t="shared" si="43"/>
        <v>16.733881782672679</v>
      </c>
      <c r="Q122" s="35">
        <v>4422.34</v>
      </c>
      <c r="R122" s="35">
        <v>4452.13</v>
      </c>
      <c r="S122" s="37">
        <v>819</v>
      </c>
      <c r="T122" s="37">
        <v>531485.23</v>
      </c>
      <c r="U122" s="37">
        <v>530949.06999999995</v>
      </c>
    </row>
    <row r="123" spans="1:21" ht="15.75">
      <c r="A123" s="26">
        <v>101</v>
      </c>
      <c r="B123" s="27" t="s">
        <v>179</v>
      </c>
      <c r="C123" s="36" t="s">
        <v>72</v>
      </c>
      <c r="D123" s="30">
        <v>223064218.06999999</v>
      </c>
      <c r="E123" s="30">
        <v>2013966.99</v>
      </c>
      <c r="F123" s="35">
        <v>613021.49</v>
      </c>
      <c r="G123" s="29">
        <v>10285152.560000001</v>
      </c>
      <c r="H123" s="35">
        <v>331105706.62</v>
      </c>
      <c r="I123" s="73">
        <f t="shared" si="44"/>
        <v>1.0814961881611322E-2</v>
      </c>
      <c r="J123" s="35">
        <v>325160248.08999997</v>
      </c>
      <c r="K123" s="73">
        <f t="shared" si="45"/>
        <v>1.0334757486252982E-2</v>
      </c>
      <c r="L123" s="73">
        <f t="shared" si="46"/>
        <v>-1.7956375897874372E-2</v>
      </c>
      <c r="M123" s="32">
        <f t="shared" si="40"/>
        <v>1.8852903871272846E-3</v>
      </c>
      <c r="N123" s="33">
        <f t="shared" si="41"/>
        <v>3.1631026918005081E-2</v>
      </c>
      <c r="O123" s="34">
        <f t="shared" si="42"/>
        <v>134.86323440494689</v>
      </c>
      <c r="P123" s="34">
        <f t="shared" si="43"/>
        <v>4.265862597712105</v>
      </c>
      <c r="Q123" s="35">
        <v>145.80000000000001</v>
      </c>
      <c r="R123" s="35">
        <v>146.76</v>
      </c>
      <c r="S123" s="37">
        <f>543+27+3</f>
        <v>573</v>
      </c>
      <c r="T123" s="37">
        <v>2444572</v>
      </c>
      <c r="U123" s="37">
        <v>2411037</v>
      </c>
    </row>
    <row r="124" spans="1:21" ht="15.75">
      <c r="A124" s="26">
        <v>102</v>
      </c>
      <c r="B124" s="27" t="s">
        <v>180</v>
      </c>
      <c r="C124" s="36" t="s">
        <v>74</v>
      </c>
      <c r="D124" s="35">
        <v>3810010.4</v>
      </c>
      <c r="E124" s="35">
        <v>48625.77</v>
      </c>
      <c r="F124" s="35">
        <v>8413.9699999999993</v>
      </c>
      <c r="G124" s="29">
        <v>40238.800000000003</v>
      </c>
      <c r="H124" s="35">
        <v>3561409.94</v>
      </c>
      <c r="I124" s="73">
        <f t="shared" si="44"/>
        <v>1.1632693721614377E-4</v>
      </c>
      <c r="J124" s="35">
        <v>3561409.94</v>
      </c>
      <c r="K124" s="73">
        <f t="shared" si="45"/>
        <v>1.1319436571731024E-4</v>
      </c>
      <c r="L124" s="73">
        <f t="shared" si="46"/>
        <v>0</v>
      </c>
      <c r="M124" s="32">
        <f t="shared" si="40"/>
        <v>2.3625390341893635E-3</v>
      </c>
      <c r="N124" s="33">
        <f t="shared" si="41"/>
        <v>1.1298558907262442E-2</v>
      </c>
      <c r="O124" s="34">
        <f t="shared" si="42"/>
        <v>103.76463900705087</v>
      </c>
      <c r="P124" s="34">
        <f t="shared" si="43"/>
        <v>1.1723908863119865</v>
      </c>
      <c r="Q124" s="35">
        <v>97.94</v>
      </c>
      <c r="R124" s="35">
        <v>97.7</v>
      </c>
      <c r="S124" s="37">
        <v>87</v>
      </c>
      <c r="T124" s="37">
        <v>34322</v>
      </c>
      <c r="U124" s="37">
        <v>34322</v>
      </c>
    </row>
    <row r="125" spans="1:21" ht="15.75">
      <c r="A125" s="26">
        <v>103</v>
      </c>
      <c r="B125" s="27" t="s">
        <v>181</v>
      </c>
      <c r="C125" s="36" t="s">
        <v>76</v>
      </c>
      <c r="D125" s="30">
        <v>117582674.29000001</v>
      </c>
      <c r="E125" s="30">
        <v>611350.67000000004</v>
      </c>
      <c r="F125" s="35">
        <v>322284.69</v>
      </c>
      <c r="G125" s="29">
        <v>2882468</v>
      </c>
      <c r="H125" s="35">
        <v>123796224.59</v>
      </c>
      <c r="I125" s="73">
        <f t="shared" si="44"/>
        <v>4.0435770911215474E-3</v>
      </c>
      <c r="J125" s="35">
        <v>126758692.59999999</v>
      </c>
      <c r="K125" s="73">
        <f t="shared" si="45"/>
        <v>4.0288453308502045E-3</v>
      </c>
      <c r="L125" s="73">
        <f t="shared" si="46"/>
        <v>2.3930196739128121E-2</v>
      </c>
      <c r="M125" s="32">
        <f t="shared" si="40"/>
        <v>2.5425056332586378E-3</v>
      </c>
      <c r="N125" s="33">
        <f t="shared" si="41"/>
        <v>2.2739805380416176E-2</v>
      </c>
      <c r="O125" s="34">
        <f t="shared" si="42"/>
        <v>1.2418009720304612</v>
      </c>
      <c r="P125" s="34">
        <f t="shared" si="43"/>
        <v>2.823831242518432E-2</v>
      </c>
      <c r="Q125" s="35">
        <v>1.2342</v>
      </c>
      <c r="R125" s="35">
        <v>1.2473000000000001</v>
      </c>
      <c r="S125" s="37">
        <v>216</v>
      </c>
      <c r="T125" s="37">
        <v>102011941.90000001</v>
      </c>
      <c r="U125" s="37">
        <v>102076496.52</v>
      </c>
    </row>
    <row r="126" spans="1:21" ht="15.75">
      <c r="A126" s="26">
        <v>104</v>
      </c>
      <c r="B126" s="39" t="s">
        <v>182</v>
      </c>
      <c r="C126" s="40" t="s">
        <v>183</v>
      </c>
      <c r="D126" s="30">
        <v>21715413.780000001</v>
      </c>
      <c r="E126" s="30">
        <v>766991.62</v>
      </c>
      <c r="F126" s="35">
        <v>333126.63</v>
      </c>
      <c r="G126" s="29">
        <v>433864.99</v>
      </c>
      <c r="H126" s="35">
        <v>164971063.40000001</v>
      </c>
      <c r="I126" s="73">
        <f t="shared" si="44"/>
        <v>5.3884778382497231E-3</v>
      </c>
      <c r="J126" s="35">
        <v>166540832.58000001</v>
      </c>
      <c r="K126" s="73">
        <f t="shared" si="45"/>
        <v>5.2932642485761855E-3</v>
      </c>
      <c r="L126" s="73">
        <f t="shared" si="46"/>
        <v>9.5154213572221369E-3</v>
      </c>
      <c r="M126" s="32">
        <f t="shared" si="40"/>
        <v>2.0002699928858489E-3</v>
      </c>
      <c r="N126" s="33">
        <f t="shared" si="41"/>
        <v>2.6051568451934295E-3</v>
      </c>
      <c r="O126" s="34">
        <f t="shared" si="42"/>
        <v>106.9657328439165</v>
      </c>
      <c r="P126" s="34">
        <f t="shared" si="43"/>
        <v>0.27866251111946072</v>
      </c>
      <c r="Q126" s="35">
        <v>105.41</v>
      </c>
      <c r="R126" s="35">
        <v>106.97</v>
      </c>
      <c r="S126" s="37">
        <v>46</v>
      </c>
      <c r="T126" s="37">
        <v>1580398</v>
      </c>
      <c r="U126" s="37">
        <v>1556955</v>
      </c>
    </row>
    <row r="127" spans="1:21" ht="15.75">
      <c r="A127" s="26">
        <v>105</v>
      </c>
      <c r="B127" s="27" t="s">
        <v>184</v>
      </c>
      <c r="C127" s="36" t="s">
        <v>81</v>
      </c>
      <c r="D127" s="30">
        <v>192999894.69999999</v>
      </c>
      <c r="E127" s="30">
        <v>890472.04</v>
      </c>
      <c r="F127" s="35">
        <v>402006.52</v>
      </c>
      <c r="G127" s="29">
        <v>488465.52</v>
      </c>
      <c r="H127" s="35">
        <v>224428197.75999999</v>
      </c>
      <c r="I127" s="73">
        <f t="shared" si="44"/>
        <v>7.3305363073030054E-3</v>
      </c>
      <c r="J127" s="35">
        <v>233077996.47999999</v>
      </c>
      <c r="K127" s="73">
        <f t="shared" si="45"/>
        <v>7.4080536693888902E-3</v>
      </c>
      <c r="L127" s="73">
        <f t="shared" si="46"/>
        <v>3.8541497041516853E-2</v>
      </c>
      <c r="M127" s="32">
        <f t="shared" si="40"/>
        <v>1.7247725056470334E-3</v>
      </c>
      <c r="N127" s="33">
        <f t="shared" si="41"/>
        <v>2.0957170019346482E-3</v>
      </c>
      <c r="O127" s="34">
        <f t="shared" si="42"/>
        <v>1.1603273914916443</v>
      </c>
      <c r="P127" s="34">
        <f t="shared" si="43"/>
        <v>2.4317178421595195E-3</v>
      </c>
      <c r="Q127" s="35">
        <v>1.1599999999999999</v>
      </c>
      <c r="R127" s="35">
        <v>1.1599999999999999</v>
      </c>
      <c r="S127" s="37">
        <v>75</v>
      </c>
      <c r="T127" s="37">
        <v>200683786.15000001</v>
      </c>
      <c r="U127" s="37">
        <v>200872614.22</v>
      </c>
    </row>
    <row r="128" spans="1:21" ht="15.75">
      <c r="A128" s="26">
        <v>106</v>
      </c>
      <c r="B128" s="36" t="s">
        <v>185</v>
      </c>
      <c r="C128" s="36" t="s">
        <v>85</v>
      </c>
      <c r="D128" s="30">
        <v>5161257371.8100004</v>
      </c>
      <c r="E128" s="30">
        <v>30476991.629999999</v>
      </c>
      <c r="F128" s="35">
        <v>9923945.7799999993</v>
      </c>
      <c r="G128" s="29">
        <v>117295759.59999999</v>
      </c>
      <c r="H128" s="35">
        <v>5043379827.4899998</v>
      </c>
      <c r="I128" s="73">
        <f t="shared" si="44"/>
        <v>0.16473277113097384</v>
      </c>
      <c r="J128" s="35">
        <v>5161257371.8100004</v>
      </c>
      <c r="K128" s="73">
        <f t="shared" si="45"/>
        <v>0.16404324813723203</v>
      </c>
      <c r="L128" s="73">
        <f t="shared" si="46"/>
        <v>2.3372727883290558E-2</v>
      </c>
      <c r="M128" s="32">
        <f t="shared" si="40"/>
        <v>1.9227767702891694E-3</v>
      </c>
      <c r="N128" s="33">
        <f t="shared" si="41"/>
        <v>2.2726198511364988E-2</v>
      </c>
      <c r="O128" s="34">
        <f t="shared" si="42"/>
        <v>211.91704479066598</v>
      </c>
      <c r="P128" s="34">
        <f t="shared" si="43"/>
        <v>4.8160688278545001</v>
      </c>
      <c r="Q128" s="35">
        <v>211.92</v>
      </c>
      <c r="R128" s="35">
        <v>213.43</v>
      </c>
      <c r="S128" s="37">
        <v>5452</v>
      </c>
      <c r="T128" s="37">
        <v>24423740.07</v>
      </c>
      <c r="U128" s="37">
        <v>24355083.739999998</v>
      </c>
    </row>
    <row r="129" spans="1:21" ht="15.75">
      <c r="A129" s="26">
        <v>107</v>
      </c>
      <c r="B129" s="42" t="s">
        <v>186</v>
      </c>
      <c r="C129" s="27" t="s">
        <v>87</v>
      </c>
      <c r="D129" s="30">
        <v>1995616644.5899999</v>
      </c>
      <c r="E129" s="30">
        <v>9163641.1199999992</v>
      </c>
      <c r="F129" s="35">
        <v>5990114.0199999996</v>
      </c>
      <c r="G129" s="29">
        <v>3173527.1</v>
      </c>
      <c r="H129" s="35">
        <v>1912032107.2602</v>
      </c>
      <c r="I129" s="73">
        <f t="shared" si="44"/>
        <v>6.2453029177682473E-2</v>
      </c>
      <c r="J129" s="35">
        <v>1949633352.0799999</v>
      </c>
      <c r="K129" s="73">
        <f t="shared" si="45"/>
        <v>6.1966331983115928E-2</v>
      </c>
      <c r="L129" s="73">
        <f t="shared" si="46"/>
        <v>1.9665592788438942E-2</v>
      </c>
      <c r="M129" s="32">
        <f t="shared" si="40"/>
        <v>3.0724310361275589E-3</v>
      </c>
      <c r="N129" s="33">
        <f t="shared" si="41"/>
        <v>1.6277558529732106E-3</v>
      </c>
      <c r="O129" s="34">
        <f t="shared" si="42"/>
        <v>1.3497730274947541</v>
      </c>
      <c r="P129" s="34">
        <f t="shared" si="43"/>
        <v>2.1971009456899565E-3</v>
      </c>
      <c r="Q129" s="35">
        <v>1.3362000000000001</v>
      </c>
      <c r="R129" s="35">
        <v>1.3612</v>
      </c>
      <c r="S129" s="37">
        <v>10323</v>
      </c>
      <c r="T129" s="37">
        <v>1440656319</v>
      </c>
      <c r="U129" s="37">
        <v>1444415699.8</v>
      </c>
    </row>
    <row r="130" spans="1:21" ht="15.75">
      <c r="A130" s="26">
        <v>108</v>
      </c>
      <c r="B130" s="36" t="s">
        <v>187</v>
      </c>
      <c r="C130" s="36" t="s">
        <v>129</v>
      </c>
      <c r="D130" s="30">
        <v>171655759.81999999</v>
      </c>
      <c r="E130" s="30">
        <v>3204529.48</v>
      </c>
      <c r="F130" s="35">
        <v>546972.28</v>
      </c>
      <c r="G130" s="29">
        <v>2657557.2000000002</v>
      </c>
      <c r="H130" s="35">
        <v>160018129.28</v>
      </c>
      <c r="I130" s="73">
        <f t="shared" si="44"/>
        <v>5.2266993106104874E-3</v>
      </c>
      <c r="J130" s="35">
        <v>166201419.06</v>
      </c>
      <c r="K130" s="73">
        <f t="shared" si="45"/>
        <v>5.2824764710499954E-3</v>
      </c>
      <c r="L130" s="73">
        <f t="shared" si="46"/>
        <v>3.8641182769862718E-2</v>
      </c>
      <c r="M130" s="32">
        <f t="shared" si="40"/>
        <v>3.2910205165127908E-3</v>
      </c>
      <c r="N130" s="33">
        <f t="shared" si="41"/>
        <v>1.5989978996753338E-2</v>
      </c>
      <c r="O130" s="34">
        <f t="shared" si="42"/>
        <v>150.31699934811638</v>
      </c>
      <c r="P130" s="34">
        <f t="shared" si="43"/>
        <v>2.4035656624313662</v>
      </c>
      <c r="Q130" s="35">
        <v>150.31700000000001</v>
      </c>
      <c r="R130" s="35">
        <v>155.2501</v>
      </c>
      <c r="S130" s="37">
        <v>132</v>
      </c>
      <c r="T130" s="37">
        <v>1105672.81</v>
      </c>
      <c r="U130" s="37">
        <v>1105672.81</v>
      </c>
    </row>
    <row r="131" spans="1:21" ht="15.75">
      <c r="A131" s="26">
        <v>109</v>
      </c>
      <c r="B131" s="27" t="s">
        <v>188</v>
      </c>
      <c r="C131" s="36" t="s">
        <v>39</v>
      </c>
      <c r="D131" s="30">
        <v>1212470232</v>
      </c>
      <c r="E131" s="30">
        <v>12939671.51</v>
      </c>
      <c r="F131" s="35">
        <v>2220457.94</v>
      </c>
      <c r="G131" s="29">
        <v>10719213.57</v>
      </c>
      <c r="H131" s="35">
        <v>1178259471.76</v>
      </c>
      <c r="I131" s="73">
        <f t="shared" si="44"/>
        <v>3.8485689068344729E-2</v>
      </c>
      <c r="J131" s="35">
        <v>1193357764.7</v>
      </c>
      <c r="K131" s="73">
        <f t="shared" si="45"/>
        <v>3.7929184655738801E-2</v>
      </c>
      <c r="L131" s="73">
        <f t="shared" si="46"/>
        <v>1.2814064560369969E-2</v>
      </c>
      <c r="M131" s="32">
        <f t="shared" si="40"/>
        <v>1.8606808500200307E-3</v>
      </c>
      <c r="N131" s="33">
        <f t="shared" si="41"/>
        <v>8.982397305383704E-3</v>
      </c>
      <c r="O131" s="34">
        <f t="shared" si="42"/>
        <v>1599.7825118305518</v>
      </c>
      <c r="P131" s="34">
        <f t="shared" si="43"/>
        <v>14.36988212346672</v>
      </c>
      <c r="Q131" s="35"/>
      <c r="R131" s="35"/>
      <c r="S131" s="37">
        <v>830</v>
      </c>
      <c r="T131" s="37">
        <v>745950</v>
      </c>
      <c r="U131" s="37">
        <v>745950</v>
      </c>
    </row>
    <row r="132" spans="1:21" ht="15.75">
      <c r="A132" s="26">
        <v>110</v>
      </c>
      <c r="B132" s="27" t="s">
        <v>189</v>
      </c>
      <c r="C132" s="36" t="s">
        <v>89</v>
      </c>
      <c r="D132" s="30">
        <v>43152044.600000001</v>
      </c>
      <c r="E132" s="30">
        <v>1546870.3</v>
      </c>
      <c r="F132" s="35">
        <v>256156.76</v>
      </c>
      <c r="G132" s="29">
        <v>1290713.54</v>
      </c>
      <c r="H132" s="35">
        <v>169525183.03999999</v>
      </c>
      <c r="I132" s="73">
        <f t="shared" si="44"/>
        <v>5.5372298208527385E-3</v>
      </c>
      <c r="J132" s="35">
        <v>171237745.38</v>
      </c>
      <c r="K132" s="73">
        <f t="shared" si="45"/>
        <v>5.4425489628277309E-3</v>
      </c>
      <c r="L132" s="73">
        <f t="shared" si="46"/>
        <v>1.0102111729299352E-2</v>
      </c>
      <c r="M132" s="32">
        <f t="shared" si="40"/>
        <v>1.4959129450785112E-3</v>
      </c>
      <c r="N132" s="33">
        <f t="shared" si="41"/>
        <v>7.5375527582177051E-3</v>
      </c>
      <c r="O132" s="34">
        <f t="shared" si="42"/>
        <v>163.80148553947873</v>
      </c>
      <c r="P132" s="34">
        <f t="shared" si="43"/>
        <v>1.2346623391282554</v>
      </c>
      <c r="Q132" s="35">
        <v>115.72</v>
      </c>
      <c r="R132" s="35">
        <v>111.86</v>
      </c>
      <c r="S132" s="37">
        <v>38</v>
      </c>
      <c r="T132" s="37">
        <v>1045398</v>
      </c>
      <c r="U132" s="37">
        <v>1045398</v>
      </c>
    </row>
    <row r="133" spans="1:21" ht="15.75">
      <c r="A133" s="26">
        <v>111</v>
      </c>
      <c r="B133" s="27" t="s">
        <v>190</v>
      </c>
      <c r="C133" s="36" t="s">
        <v>95</v>
      </c>
      <c r="D133" s="30">
        <f>6495625.75+3537591.82+8533928.45</f>
        <v>18567146.02</v>
      </c>
      <c r="E133" s="30">
        <v>75726.38</v>
      </c>
      <c r="F133" s="35">
        <v>7834.61</v>
      </c>
      <c r="G133" s="29">
        <v>532958.27</v>
      </c>
      <c r="H133" s="56">
        <v>19833305.420000002</v>
      </c>
      <c r="I133" s="73">
        <f t="shared" si="44"/>
        <v>6.4781862050425582E-4</v>
      </c>
      <c r="J133" s="35">
        <v>20417722.75</v>
      </c>
      <c r="K133" s="73">
        <f t="shared" si="45"/>
        <v>6.4894837017222034E-4</v>
      </c>
      <c r="L133" s="73">
        <f t="shared" si="46"/>
        <v>2.946646147094921E-2</v>
      </c>
      <c r="M133" s="32">
        <f t="shared" si="40"/>
        <v>3.8371615169473293E-4</v>
      </c>
      <c r="N133" s="33">
        <f t="shared" si="41"/>
        <v>2.6102728327036376E-2</v>
      </c>
      <c r="O133" s="34">
        <f t="shared" si="42"/>
        <v>1.275300952360376</v>
      </c>
      <c r="P133" s="34">
        <f t="shared" si="43"/>
        <v>3.3288834294673657E-2</v>
      </c>
      <c r="Q133" s="35">
        <v>1.2753000000000001</v>
      </c>
      <c r="R133" s="35">
        <v>1.2753000000000001</v>
      </c>
      <c r="S133" s="37">
        <v>9</v>
      </c>
      <c r="T133" s="37">
        <v>15960121.15</v>
      </c>
      <c r="U133" s="37">
        <v>16010121.15</v>
      </c>
    </row>
    <row r="134" spans="1:21" ht="15.75">
      <c r="A134" s="26">
        <v>112</v>
      </c>
      <c r="B134" s="36" t="s">
        <v>191</v>
      </c>
      <c r="C134" s="36" t="s">
        <v>47</v>
      </c>
      <c r="D134" s="30">
        <v>155822743.80000001</v>
      </c>
      <c r="E134" s="30">
        <v>575658.55000000005</v>
      </c>
      <c r="F134" s="35">
        <v>235409.22</v>
      </c>
      <c r="G134" s="29">
        <v>340249.33</v>
      </c>
      <c r="H134" s="35">
        <v>163266117.16</v>
      </c>
      <c r="I134" s="73">
        <f t="shared" si="44"/>
        <v>5.3327888898953577E-3</v>
      </c>
      <c r="J134" s="35">
        <v>166678936.06</v>
      </c>
      <c r="K134" s="73">
        <f t="shared" si="45"/>
        <v>5.2976536718903552E-3</v>
      </c>
      <c r="L134" s="73">
        <f t="shared" si="46"/>
        <v>2.0903411922606453E-2</v>
      </c>
      <c r="M134" s="32">
        <f t="shared" si="40"/>
        <v>1.4123513478347313E-3</v>
      </c>
      <c r="N134" s="33">
        <f t="shared" si="41"/>
        <v>2.0413457035598024E-3</v>
      </c>
      <c r="O134" s="34">
        <f t="shared" si="42"/>
        <v>1.69237268774095</v>
      </c>
      <c r="P134" s="34">
        <f t="shared" si="43"/>
        <v>3.4547177149419433E-3</v>
      </c>
      <c r="Q134" s="35">
        <v>1.69</v>
      </c>
      <c r="R134" s="35">
        <v>1.73</v>
      </c>
      <c r="S134" s="37">
        <v>97</v>
      </c>
      <c r="T134" s="37">
        <v>98456078</v>
      </c>
      <c r="U134" s="37">
        <v>98488316</v>
      </c>
    </row>
    <row r="135" spans="1:21" ht="15.75">
      <c r="A135" s="26">
        <v>113</v>
      </c>
      <c r="B135" s="27" t="s">
        <v>192</v>
      </c>
      <c r="C135" s="27" t="s">
        <v>51</v>
      </c>
      <c r="D135" s="30">
        <v>1602703972.6099999</v>
      </c>
      <c r="E135" s="30">
        <v>7287802.3399999999</v>
      </c>
      <c r="F135" s="35">
        <v>2612573.17</v>
      </c>
      <c r="G135" s="29">
        <v>41126671.270000003</v>
      </c>
      <c r="H135" s="35">
        <v>1552381082.1099999</v>
      </c>
      <c r="I135" s="73">
        <f t="shared" si="44"/>
        <v>5.0705686712981798E-2</v>
      </c>
      <c r="J135" s="35">
        <v>1617788030.6199999</v>
      </c>
      <c r="K135" s="73">
        <f t="shared" si="45"/>
        <v>5.1419098917629052E-2</v>
      </c>
      <c r="L135" s="73">
        <f t="shared" si="46"/>
        <v>4.21333068688899E-2</v>
      </c>
      <c r="M135" s="32">
        <f t="shared" si="40"/>
        <v>1.614904499570787E-3</v>
      </c>
      <c r="N135" s="33">
        <f t="shared" si="41"/>
        <v>2.5421545030370047E-2</v>
      </c>
      <c r="O135" s="34">
        <f t="shared" si="42"/>
        <v>3871.5116486745419</v>
      </c>
      <c r="P135" s="34">
        <f t="shared" si="43"/>
        <v>98.419807712382038</v>
      </c>
      <c r="Q135" s="35">
        <v>3853.28</v>
      </c>
      <c r="R135" s="35">
        <v>3884.01</v>
      </c>
      <c r="S135" s="37">
        <v>1468</v>
      </c>
      <c r="T135" s="37">
        <v>411943.64</v>
      </c>
      <c r="U135" s="37">
        <v>417869.86</v>
      </c>
    </row>
    <row r="136" spans="1:21" ht="15.75">
      <c r="A136" s="26">
        <v>114</v>
      </c>
      <c r="B136" s="39" t="s">
        <v>193</v>
      </c>
      <c r="C136" s="40" t="s">
        <v>54</v>
      </c>
      <c r="D136" s="35">
        <v>56788648.939999998</v>
      </c>
      <c r="E136" s="30">
        <v>601835.96</v>
      </c>
      <c r="F136" s="35">
        <v>117210.69</v>
      </c>
      <c r="G136" s="29">
        <v>484625.27</v>
      </c>
      <c r="H136" s="35">
        <v>53570756.509999998</v>
      </c>
      <c r="I136" s="73">
        <f t="shared" si="44"/>
        <v>1.7497907104622994E-3</v>
      </c>
      <c r="J136" s="35">
        <v>57796141.329999998</v>
      </c>
      <c r="K136" s="73">
        <f t="shared" si="45"/>
        <v>1.8369684110999501E-3</v>
      </c>
      <c r="L136" s="73">
        <f t="shared" si="46"/>
        <v>7.88748394697628E-2</v>
      </c>
      <c r="M136" s="32">
        <f t="shared" si="40"/>
        <v>2.0280019963747984E-3</v>
      </c>
      <c r="N136" s="33">
        <f t="shared" si="41"/>
        <v>8.3850800217426906E-3</v>
      </c>
      <c r="O136" s="34">
        <f t="shared" si="42"/>
        <v>107.92852826228099</v>
      </c>
      <c r="P136" s="34">
        <f t="shared" si="43"/>
        <v>0.90498934610814374</v>
      </c>
      <c r="Q136" s="35">
        <v>107.7886</v>
      </c>
      <c r="R136" s="35">
        <v>108.1335</v>
      </c>
      <c r="S136" s="37">
        <v>18</v>
      </c>
      <c r="T136" s="37">
        <v>535698.1</v>
      </c>
      <c r="U136" s="37">
        <v>535503.84</v>
      </c>
    </row>
    <row r="137" spans="1:21" ht="15.75">
      <c r="A137" s="26">
        <v>115</v>
      </c>
      <c r="B137" s="27" t="s">
        <v>194</v>
      </c>
      <c r="C137" s="27" t="s">
        <v>56</v>
      </c>
      <c r="D137" s="30">
        <v>967783927</v>
      </c>
      <c r="E137" s="30">
        <v>27546870</v>
      </c>
      <c r="F137" s="30">
        <v>2093139</v>
      </c>
      <c r="G137" s="29">
        <v>72461924</v>
      </c>
      <c r="H137" s="35">
        <v>1174491811.55</v>
      </c>
      <c r="I137" s="73">
        <f t="shared" si="44"/>
        <v>3.8362625343560372E-2</v>
      </c>
      <c r="J137" s="35">
        <v>1233563187.1800001</v>
      </c>
      <c r="K137" s="73">
        <f t="shared" si="45"/>
        <v>3.9207057007614163E-2</v>
      </c>
      <c r="L137" s="73">
        <f t="shared" si="46"/>
        <v>5.0295263916776446E-2</v>
      </c>
      <c r="M137" s="32">
        <f t="shared" si="40"/>
        <v>1.6968234961559142E-3</v>
      </c>
      <c r="N137" s="33">
        <f t="shared" si="41"/>
        <v>5.8741963730007486E-2</v>
      </c>
      <c r="O137" s="34">
        <f t="shared" si="42"/>
        <v>1.575524041026491</v>
      </c>
      <c r="P137" s="34">
        <f t="shared" si="43"/>
        <v>9.2549376073732967E-2</v>
      </c>
      <c r="Q137" s="35">
        <v>1.58</v>
      </c>
      <c r="R137" s="35">
        <v>1.6</v>
      </c>
      <c r="S137" s="37">
        <v>1323</v>
      </c>
      <c r="T137" s="37">
        <v>783053166</v>
      </c>
      <c r="U137" s="37">
        <v>782954214</v>
      </c>
    </row>
    <row r="138" spans="1:21" ht="15.75">
      <c r="A138" s="26">
        <v>116</v>
      </c>
      <c r="B138" s="45" t="s">
        <v>195</v>
      </c>
      <c r="C138" s="27" t="s">
        <v>102</v>
      </c>
      <c r="D138" s="30">
        <v>4454163239.3699999</v>
      </c>
      <c r="E138" s="30">
        <v>10985574.380000001</v>
      </c>
      <c r="F138" s="35">
        <v>5253933.8499999996</v>
      </c>
      <c r="G138" s="29">
        <v>141630020.69999999</v>
      </c>
      <c r="H138" s="35">
        <v>4352503572.6300001</v>
      </c>
      <c r="I138" s="73">
        <f t="shared" si="44"/>
        <v>0.14216656278169751</v>
      </c>
      <c r="J138" s="35">
        <v>4483962223.3800001</v>
      </c>
      <c r="K138" s="73">
        <f t="shared" si="45"/>
        <v>0.1425163820865506</v>
      </c>
      <c r="L138" s="73">
        <f t="shared" si="46"/>
        <v>3.0202996633169013E-2</v>
      </c>
      <c r="M138" s="32">
        <f t="shared" si="40"/>
        <v>1.1717167960526654E-3</v>
      </c>
      <c r="N138" s="33">
        <f t="shared" si="41"/>
        <v>3.1585908543457712E-2</v>
      </c>
      <c r="O138" s="34">
        <f t="shared" si="42"/>
        <v>200.91250278105304</v>
      </c>
      <c r="P138" s="34">
        <f t="shared" si="43"/>
        <v>6.3460039380795346</v>
      </c>
      <c r="Q138" s="35">
        <v>198.0043</v>
      </c>
      <c r="R138" s="35">
        <v>202.78210000000001</v>
      </c>
      <c r="S138" s="37">
        <v>27</v>
      </c>
      <c r="T138" s="37">
        <v>22317985</v>
      </c>
      <c r="U138" s="37">
        <v>22317985</v>
      </c>
    </row>
    <row r="139" spans="1:21" ht="15.75">
      <c r="A139" s="26">
        <v>117</v>
      </c>
      <c r="B139" s="27" t="s">
        <v>196</v>
      </c>
      <c r="C139" s="36" t="s">
        <v>58</v>
      </c>
      <c r="D139" s="30">
        <v>2224921729.7800002</v>
      </c>
      <c r="E139" s="30">
        <v>7589595.4500000002</v>
      </c>
      <c r="F139" s="35">
        <v>5377736.75</v>
      </c>
      <c r="G139" s="29">
        <v>74821323</v>
      </c>
      <c r="H139" s="35">
        <v>2134409623.76</v>
      </c>
      <c r="I139" s="73">
        <f t="shared" si="44"/>
        <v>6.9716583734997548E-2</v>
      </c>
      <c r="J139" s="35">
        <v>2198142630.6900001</v>
      </c>
      <c r="K139" s="73">
        <f t="shared" si="45"/>
        <v>6.9864847077147837E-2</v>
      </c>
      <c r="L139" s="73">
        <f t="shared" si="46"/>
        <v>2.9859782405650553E-2</v>
      </c>
      <c r="M139" s="32">
        <f t="shared" si="40"/>
        <v>2.4464912671803836E-3</v>
      </c>
      <c r="N139" s="33">
        <f t="shared" si="41"/>
        <v>3.4038429515610404E-2</v>
      </c>
      <c r="O139" s="34">
        <f t="shared" si="42"/>
        <v>3.1296787052453063</v>
      </c>
      <c r="P139" s="34">
        <f t="shared" si="43"/>
        <v>0.10652934801499919</v>
      </c>
      <c r="Q139" s="35">
        <v>2.97</v>
      </c>
      <c r="R139" s="35">
        <v>3.03</v>
      </c>
      <c r="S139" s="37">
        <v>2135</v>
      </c>
      <c r="T139" s="37">
        <v>701801913.74000001</v>
      </c>
      <c r="U139" s="37">
        <v>702354087.34000003</v>
      </c>
    </row>
    <row r="140" spans="1:21" ht="15.75">
      <c r="A140" s="26">
        <v>118</v>
      </c>
      <c r="B140" s="27" t="s">
        <v>197</v>
      </c>
      <c r="C140" s="27" t="s">
        <v>56</v>
      </c>
      <c r="D140" s="30">
        <v>398494287.69999999</v>
      </c>
      <c r="E140" s="30">
        <v>3926251.01</v>
      </c>
      <c r="F140" s="35">
        <v>1151301</v>
      </c>
      <c r="G140" s="29">
        <v>37220318</v>
      </c>
      <c r="H140" s="35">
        <v>672459780</v>
      </c>
      <c r="I140" s="73">
        <f t="shared" si="44"/>
        <v>2.1964667905779434E-2</v>
      </c>
      <c r="J140" s="35">
        <v>707240537</v>
      </c>
      <c r="K140" s="73">
        <f t="shared" si="45"/>
        <v>2.2478637770996079E-2</v>
      </c>
      <c r="L140" s="73">
        <f t="shared" si="46"/>
        <v>5.1721691072735977E-2</v>
      </c>
      <c r="M140" s="32">
        <f t="shared" si="40"/>
        <v>1.6278775604176095E-3</v>
      </c>
      <c r="N140" s="33">
        <f t="shared" si="41"/>
        <v>5.2627523526695134E-2</v>
      </c>
      <c r="O140" s="34">
        <f t="shared" si="42"/>
        <v>1.2735416481710291</v>
      </c>
      <c r="P140" s="34">
        <f t="shared" si="43"/>
        <v>6.7023343051346926E-2</v>
      </c>
      <c r="Q140" s="35">
        <v>1.27</v>
      </c>
      <c r="R140" s="35">
        <v>1.29</v>
      </c>
      <c r="S140" s="37">
        <v>99</v>
      </c>
      <c r="T140" s="37">
        <v>554881114</v>
      </c>
      <c r="U140" s="37">
        <v>555333654</v>
      </c>
    </row>
    <row r="141" spans="1:21" ht="15.75">
      <c r="A141" s="26">
        <v>119</v>
      </c>
      <c r="B141" s="27" t="s">
        <v>198</v>
      </c>
      <c r="C141" s="27" t="s">
        <v>49</v>
      </c>
      <c r="D141" s="30">
        <v>209811678.52000001</v>
      </c>
      <c r="E141" s="30">
        <v>596147.43999999994</v>
      </c>
      <c r="F141" s="35">
        <v>356105.21</v>
      </c>
      <c r="G141" s="29">
        <v>240042.23</v>
      </c>
      <c r="H141" s="35">
        <v>198936647.28999999</v>
      </c>
      <c r="I141" s="73">
        <f t="shared" si="44"/>
        <v>6.4979014685666789E-3</v>
      </c>
      <c r="J141" s="35">
        <v>208274666.25999999</v>
      </c>
      <c r="K141" s="73">
        <f t="shared" si="45"/>
        <v>6.6197149835228383E-3</v>
      </c>
      <c r="L141" s="73">
        <f t="shared" si="46"/>
        <v>4.6939661933617975E-2</v>
      </c>
      <c r="M141" s="32">
        <f t="shared" si="40"/>
        <v>1.7097864872123024E-3</v>
      </c>
      <c r="N141" s="33">
        <f t="shared" si="41"/>
        <v>1.1525272579255652E-3</v>
      </c>
      <c r="O141" s="34">
        <f t="shared" si="42"/>
        <v>161.01772788117322</v>
      </c>
      <c r="P141" s="34">
        <f t="shared" si="43"/>
        <v>0.18557732039229338</v>
      </c>
      <c r="Q141" s="35">
        <v>157.66999999999999</v>
      </c>
      <c r="R141" s="35">
        <v>159.66</v>
      </c>
      <c r="S141" s="37">
        <v>728</v>
      </c>
      <c r="T141" s="37">
        <v>1293919.3400000001</v>
      </c>
      <c r="U141" s="37">
        <v>1293489.04</v>
      </c>
    </row>
    <row r="142" spans="1:21" ht="15.75">
      <c r="A142" s="26">
        <v>120</v>
      </c>
      <c r="B142" s="27" t="s">
        <v>199</v>
      </c>
      <c r="C142" s="27" t="s">
        <v>106</v>
      </c>
      <c r="D142" s="35">
        <v>2638548618.8800001</v>
      </c>
      <c r="E142" s="35">
        <v>13084027.439999999</v>
      </c>
      <c r="F142" s="35">
        <v>18799050.25</v>
      </c>
      <c r="G142" s="29">
        <v>47138811.939999998</v>
      </c>
      <c r="H142" s="35">
        <v>2593042097.2600002</v>
      </c>
      <c r="I142" s="73">
        <f t="shared" si="44"/>
        <v>8.4696974043595177E-2</v>
      </c>
      <c r="J142" s="35">
        <v>2650806181.77</v>
      </c>
      <c r="K142" s="73">
        <f t="shared" si="45"/>
        <v>8.4252116279818129E-2</v>
      </c>
      <c r="L142" s="73">
        <f t="shared" si="46"/>
        <v>2.2276570276679099E-2</v>
      </c>
      <c r="M142" s="32">
        <f t="shared" si="40"/>
        <v>7.0918237550839994E-3</v>
      </c>
      <c r="N142" s="33">
        <f t="shared" si="41"/>
        <v>1.7782821039192088E-2</v>
      </c>
      <c r="O142" s="34">
        <f t="shared" si="42"/>
        <v>14.601033953459972</v>
      </c>
      <c r="P142" s="34">
        <f t="shared" si="43"/>
        <v>0.25964757378154601</v>
      </c>
      <c r="Q142" s="35">
        <v>14.601100000000001</v>
      </c>
      <c r="R142" s="35">
        <v>14.7399</v>
      </c>
      <c r="S142" s="37">
        <v>6320</v>
      </c>
      <c r="T142" s="37">
        <v>181591463.68000001</v>
      </c>
      <c r="U142" s="37">
        <v>181549210.16</v>
      </c>
    </row>
    <row r="143" spans="1:21" ht="15.75">
      <c r="A143" s="100" t="s">
        <v>59</v>
      </c>
      <c r="B143" s="100"/>
      <c r="C143" s="100"/>
      <c r="D143" s="100"/>
      <c r="E143" s="100"/>
      <c r="F143" s="100"/>
      <c r="G143" s="100"/>
      <c r="H143" s="71">
        <f t="shared" ref="H143" si="47">SUM(H119:H142)</f>
        <v>30615522296.290199</v>
      </c>
      <c r="I143" s="74">
        <f t="shared" ref="I143" si="48">(H143/$H$165)</f>
        <v>2.0701767088335911E-2</v>
      </c>
      <c r="J143" s="71">
        <f>SUM(J119:J142)</f>
        <v>31462784542.600002</v>
      </c>
      <c r="K143" s="74">
        <f>(J143/$J$165)</f>
        <v>2.0169209439707611E-2</v>
      </c>
      <c r="L143" s="73">
        <f t="shared" si="46"/>
        <v>2.7674270525591165E-2</v>
      </c>
      <c r="M143" s="33"/>
      <c r="N143" s="33"/>
      <c r="O143" s="34"/>
      <c r="P143" s="34"/>
      <c r="Q143" s="35"/>
      <c r="R143" s="35"/>
      <c r="S143" s="22">
        <f>SUM(S119:S142)</f>
        <v>47289</v>
      </c>
      <c r="T143" s="37"/>
      <c r="U143" s="44"/>
    </row>
    <row r="144" spans="1:21" ht="6.75" customHeight="1">
      <c r="A144" s="91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3"/>
    </row>
    <row r="145" spans="1:21">
      <c r="A145" s="83" t="s">
        <v>4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</row>
    <row r="146" spans="1:21" ht="15.75">
      <c r="A146" s="26">
        <v>121</v>
      </c>
      <c r="B146" s="36" t="s">
        <v>200</v>
      </c>
      <c r="C146" s="36" t="s">
        <v>33</v>
      </c>
      <c r="D146" s="35">
        <v>427698444.89999998</v>
      </c>
      <c r="E146" s="35">
        <v>3074.44</v>
      </c>
      <c r="F146" s="28">
        <v>1356049.36</v>
      </c>
      <c r="G146" s="29">
        <v>9066384.4299999997</v>
      </c>
      <c r="H146" s="35">
        <v>592530614</v>
      </c>
      <c r="I146" s="73">
        <f>(H146/$H$149)</f>
        <v>0.19394848856061989</v>
      </c>
      <c r="J146" s="35">
        <v>631565544</v>
      </c>
      <c r="K146" s="73">
        <f>(J146/$J$149)</f>
        <v>0.19836048740533327</v>
      </c>
      <c r="L146" s="73">
        <f>((J146-H146)/H146)</f>
        <v>6.5878334515893894E-2</v>
      </c>
      <c r="M146" s="32">
        <f>(F146/J146)</f>
        <v>2.1471237195929108E-3</v>
      </c>
      <c r="N146" s="33">
        <f>G146/J146</f>
        <v>1.4355413331415053E-2</v>
      </c>
      <c r="O146" s="34">
        <f>J146/U146</f>
        <v>47.411214279751633</v>
      </c>
      <c r="P146" s="34">
        <f>G146/U146</f>
        <v>0.68060757753012235</v>
      </c>
      <c r="Q146" s="35">
        <v>47.174100000000003</v>
      </c>
      <c r="R146" s="35">
        <v>48.596499999999999</v>
      </c>
      <c r="S146" s="37">
        <v>216</v>
      </c>
      <c r="T146" s="37">
        <v>12736048</v>
      </c>
      <c r="U146" s="37">
        <v>13321016</v>
      </c>
    </row>
    <row r="147" spans="1:21" ht="15.75">
      <c r="A147" s="26">
        <v>122</v>
      </c>
      <c r="B147" s="36" t="s">
        <v>201</v>
      </c>
      <c r="C147" s="27" t="s">
        <v>51</v>
      </c>
      <c r="D147" s="35">
        <v>1940045958.76</v>
      </c>
      <c r="E147" s="35">
        <v>6269677.9900000002</v>
      </c>
      <c r="F147" s="35">
        <v>5905098.9900000002</v>
      </c>
      <c r="G147" s="29">
        <v>66452620.899999999</v>
      </c>
      <c r="H147" s="35">
        <v>1864309155.6500001</v>
      </c>
      <c r="I147" s="73">
        <f t="shared" ref="I147:I148" si="49">(H147/$H$149)</f>
        <v>0.6102299769916073</v>
      </c>
      <c r="J147" s="35">
        <v>1944545053.0599999</v>
      </c>
      <c r="K147" s="73">
        <f t="shared" ref="K147:K148" si="50">(J147/$J$149)</f>
        <v>0.61073772654483383</v>
      </c>
      <c r="L147" s="73">
        <f t="shared" ref="L147:L148" si="51">((J147-H147)/H147)</f>
        <v>4.3037871249430849E-2</v>
      </c>
      <c r="M147" s="32">
        <f>(F147/J147)</f>
        <v>3.0367509257281248E-3</v>
      </c>
      <c r="N147" s="33">
        <f>G147/J147</f>
        <v>3.4173865396138786E-2</v>
      </c>
      <c r="O147" s="34">
        <f>J147/U147</f>
        <v>1.5445539496342386</v>
      </c>
      <c r="P147" s="34">
        <f>G147/U147</f>
        <v>5.2783378771875007E-2</v>
      </c>
      <c r="Q147" s="35">
        <v>1.53</v>
      </c>
      <c r="R147" s="35">
        <v>1.55</v>
      </c>
      <c r="S147" s="37">
        <v>9305</v>
      </c>
      <c r="T147" s="37">
        <v>1252522404.5799999</v>
      </c>
      <c r="U147" s="37">
        <v>1258968683.8199999</v>
      </c>
    </row>
    <row r="148" spans="1:21" ht="15.75">
      <c r="A148" s="26">
        <v>123</v>
      </c>
      <c r="B148" s="36" t="s">
        <v>202</v>
      </c>
      <c r="C148" s="27" t="s">
        <v>106</v>
      </c>
      <c r="D148" s="35">
        <v>606432220.61000001</v>
      </c>
      <c r="E148" s="35">
        <v>3133422.63</v>
      </c>
      <c r="F148" s="28">
        <v>4489955.55</v>
      </c>
      <c r="G148" s="29">
        <v>7430272.2800000003</v>
      </c>
      <c r="H148" s="35">
        <v>598252942.84000003</v>
      </c>
      <c r="I148" s="73">
        <f t="shared" si="49"/>
        <v>0.19582153444777273</v>
      </c>
      <c r="J148" s="35">
        <v>607817574.63</v>
      </c>
      <c r="K148" s="73">
        <f t="shared" si="50"/>
        <v>0.19090178604983288</v>
      </c>
      <c r="L148" s="73">
        <f t="shared" si="51"/>
        <v>1.5987605083219756E-2</v>
      </c>
      <c r="M148" s="32">
        <f>(F148/J148)</f>
        <v>7.3870117242549197E-3</v>
      </c>
      <c r="N148" s="33">
        <f>G148/J148</f>
        <v>1.2224510429010002E-2</v>
      </c>
      <c r="O148" s="34">
        <f>J148/U148</f>
        <v>16.612429830368949</v>
      </c>
      <c r="P148" s="34">
        <f>G148/U148</f>
        <v>0.20307882171254207</v>
      </c>
      <c r="Q148" s="35">
        <v>16.6126</v>
      </c>
      <c r="R148" s="35">
        <v>16.7788</v>
      </c>
      <c r="S148" s="37">
        <v>1511</v>
      </c>
      <c r="T148" s="37">
        <v>36608951.969999999</v>
      </c>
      <c r="U148" s="37">
        <v>36588119.909999996</v>
      </c>
    </row>
    <row r="149" spans="1:21" ht="15.75">
      <c r="A149" s="100" t="s">
        <v>59</v>
      </c>
      <c r="B149" s="100"/>
      <c r="C149" s="100"/>
      <c r="D149" s="100"/>
      <c r="E149" s="100"/>
      <c r="F149" s="100"/>
      <c r="G149" s="100"/>
      <c r="H149" s="71">
        <f t="shared" ref="H149" si="52">SUM(H146:H148)</f>
        <v>3055092712.4900002</v>
      </c>
      <c r="I149" s="74">
        <f>(H149/$H$165)</f>
        <v>2.0658088780965895E-3</v>
      </c>
      <c r="J149" s="71">
        <f>SUM(J146:J148)</f>
        <v>3183928171.6900001</v>
      </c>
      <c r="K149" s="74">
        <f>(J149/$J$165)</f>
        <v>2.0410562850485133E-3</v>
      </c>
      <c r="L149" s="73">
        <f>((J149-H149)/H149)</f>
        <v>4.2170719950097586E-2</v>
      </c>
      <c r="M149" s="59"/>
      <c r="N149" s="59"/>
      <c r="O149" s="34"/>
      <c r="P149" s="34"/>
      <c r="Q149" s="35"/>
      <c r="R149" s="35"/>
      <c r="S149" s="22">
        <f>SUM(S146:S148)</f>
        <v>11032</v>
      </c>
      <c r="T149" s="37"/>
      <c r="U149" s="44"/>
    </row>
    <row r="150" spans="1:21" ht="7.5" customHeight="1">
      <c r="A150" s="91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3"/>
    </row>
    <row r="151" spans="1:21">
      <c r="A151" s="83" t="s">
        <v>203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</row>
    <row r="152" spans="1:21">
      <c r="A152" s="102" t="s">
        <v>204</v>
      </c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</row>
    <row r="153" spans="1:21" ht="15.75">
      <c r="A153" s="26">
        <v>124</v>
      </c>
      <c r="B153" s="36" t="s">
        <v>205</v>
      </c>
      <c r="C153" s="27" t="s">
        <v>132</v>
      </c>
      <c r="D153" s="57">
        <v>3228190416.7800002</v>
      </c>
      <c r="E153" s="30">
        <v>26383186.16</v>
      </c>
      <c r="F153" s="28">
        <v>6442916.0700000003</v>
      </c>
      <c r="G153" s="29">
        <v>62744048.890000001</v>
      </c>
      <c r="H153" s="30">
        <v>3633918024.3699999</v>
      </c>
      <c r="I153" s="73">
        <f>(H153/$H$164)</f>
        <v>0.15820363320878353</v>
      </c>
      <c r="J153" s="30">
        <v>3717340981.2600002</v>
      </c>
      <c r="K153" s="73">
        <f>(J153/$J$164)</f>
        <v>0.15985170674475077</v>
      </c>
      <c r="L153" s="73">
        <f>((J153-H153)/H153)</f>
        <v>2.2956752554830429E-2</v>
      </c>
      <c r="M153" s="32">
        <f>(F153/J153)</f>
        <v>1.7332055634606219E-3</v>
      </c>
      <c r="N153" s="33">
        <f>G153/J153</f>
        <v>1.6878744566696375E-2</v>
      </c>
      <c r="O153" s="34">
        <f>J153/U153</f>
        <v>1.8345865796737311</v>
      </c>
      <c r="P153" s="34">
        <f>G153/U153</f>
        <v>3.0965518263802075E-2</v>
      </c>
      <c r="Q153" s="30">
        <v>1.82</v>
      </c>
      <c r="R153" s="30">
        <v>1.85</v>
      </c>
      <c r="S153" s="50">
        <f>15246+35</f>
        <v>15281</v>
      </c>
      <c r="T153" s="50">
        <v>2024864597.9200001</v>
      </c>
      <c r="U153" s="37">
        <v>2026255409.5</v>
      </c>
    </row>
    <row r="154" spans="1:21" ht="15.75">
      <c r="A154" s="26">
        <v>125</v>
      </c>
      <c r="B154" s="27" t="s">
        <v>206</v>
      </c>
      <c r="C154" s="27" t="s">
        <v>51</v>
      </c>
      <c r="D154" s="35">
        <v>317540474.94</v>
      </c>
      <c r="E154" s="35">
        <v>2190644.59</v>
      </c>
      <c r="F154" s="35">
        <v>803459.6</v>
      </c>
      <c r="G154" s="29">
        <v>6735638.79</v>
      </c>
      <c r="H154" s="35">
        <v>307917886.47000003</v>
      </c>
      <c r="I154" s="73">
        <f>(H154/$H$164)</f>
        <v>1.3405290940201951E-2</v>
      </c>
      <c r="J154" s="35">
        <v>311068423.81999999</v>
      </c>
      <c r="K154" s="73">
        <f>(J154/$J$164)</f>
        <v>1.3376448034415223E-2</v>
      </c>
      <c r="L154" s="73">
        <f>((J154-H154)/H154)</f>
        <v>1.0231745177644677E-2</v>
      </c>
      <c r="M154" s="32">
        <f>(F154/J154)</f>
        <v>2.5829031122262753E-3</v>
      </c>
      <c r="N154" s="33">
        <f>G154/J154</f>
        <v>2.1653238561743518E-2</v>
      </c>
      <c r="O154" s="34">
        <f>J154/U154</f>
        <v>280.62915976288099</v>
      </c>
      <c r="P154" s="34">
        <f>G154/U154</f>
        <v>6.0765301437272976</v>
      </c>
      <c r="Q154" s="35">
        <v>278.75</v>
      </c>
      <c r="R154" s="35">
        <v>281.92</v>
      </c>
      <c r="S154" s="37">
        <v>527</v>
      </c>
      <c r="T154" s="37">
        <v>1123293.69</v>
      </c>
      <c r="U154" s="37">
        <v>1108467.93</v>
      </c>
    </row>
    <row r="155" spans="1:21" ht="6.75" customHeight="1">
      <c r="A155" s="103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5"/>
    </row>
    <row r="156" spans="1:21">
      <c r="A156" s="102" t="s">
        <v>159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</row>
    <row r="157" spans="1:21" ht="15.75">
      <c r="A157" s="26">
        <v>126</v>
      </c>
      <c r="B157" s="36" t="s">
        <v>207</v>
      </c>
      <c r="C157" s="27" t="s">
        <v>208</v>
      </c>
      <c r="D157" s="29">
        <v>313854285</v>
      </c>
      <c r="E157" s="35">
        <v>3360962</v>
      </c>
      <c r="F157" s="35">
        <v>758617</v>
      </c>
      <c r="G157" s="29">
        <v>2602345</v>
      </c>
      <c r="H157" s="35">
        <v>488003214</v>
      </c>
      <c r="I157" s="73">
        <f>(H157/$H$164)</f>
        <v>2.1245355826580065E-2</v>
      </c>
      <c r="J157" s="35">
        <v>501042638</v>
      </c>
      <c r="K157" s="73">
        <f>(J157/$J$164)</f>
        <v>2.154564815010454E-2</v>
      </c>
      <c r="L157" s="73">
        <f t="shared" ref="L157:L164" si="53">((J157-H157)/H157)</f>
        <v>2.6719955168164118E-2</v>
      </c>
      <c r="M157" s="32">
        <f t="shared" ref="M157:M163" si="54">(F157/J157)</f>
        <v>1.5140767321283344E-3</v>
      </c>
      <c r="N157" s="33">
        <f t="shared" ref="N157:N163" si="55">G157/J157</f>
        <v>5.1938593697089704E-3</v>
      </c>
      <c r="O157" s="34">
        <f t="shared" ref="O157:O163" si="56">J157/U157</f>
        <v>1049.9328142091388</v>
      </c>
      <c r="P157" s="34">
        <f t="shared" ref="P157:P163" si="57">G157/U157</f>
        <v>5.4532033846450441</v>
      </c>
      <c r="Q157" s="35">
        <v>1049.93</v>
      </c>
      <c r="R157" s="35">
        <v>1049.93</v>
      </c>
      <c r="S157" s="37">
        <v>23</v>
      </c>
      <c r="T157" s="37">
        <v>467213</v>
      </c>
      <c r="U157" s="37">
        <v>477214</v>
      </c>
    </row>
    <row r="158" spans="1:21" ht="15.75">
      <c r="A158" s="26">
        <v>127</v>
      </c>
      <c r="B158" s="36" t="s">
        <v>209</v>
      </c>
      <c r="C158" s="40" t="s">
        <v>72</v>
      </c>
      <c r="D158" s="35">
        <v>16968606.02</v>
      </c>
      <c r="E158" s="35">
        <v>447611.23</v>
      </c>
      <c r="F158" s="35">
        <v>221337.86</v>
      </c>
      <c r="G158" s="29">
        <v>226273.37</v>
      </c>
      <c r="H158" s="35">
        <v>52158168.079999998</v>
      </c>
      <c r="I158" s="73">
        <f t="shared" ref="I158:I163" si="58">(H158/$H$164)</f>
        <v>2.2707203730059251E-3</v>
      </c>
      <c r="J158" s="35">
        <v>52520881.689999998</v>
      </c>
      <c r="K158" s="73">
        <f t="shared" ref="K158:K163" si="59">(J158/$J$164)</f>
        <v>2.2584833138013455E-3</v>
      </c>
      <c r="L158" s="73">
        <f t="shared" si="53"/>
        <v>6.9541094588228382E-3</v>
      </c>
      <c r="M158" s="32">
        <f t="shared" si="54"/>
        <v>4.2142830218736185E-3</v>
      </c>
      <c r="N158" s="33">
        <f t="shared" si="55"/>
        <v>4.308255358993384E-3</v>
      </c>
      <c r="O158" s="34">
        <f t="shared" si="56"/>
        <v>103.07448378252668</v>
      </c>
      <c r="P158" s="34">
        <f t="shared" si="57"/>
        <v>0.4440711971315473</v>
      </c>
      <c r="Q158" s="35">
        <v>104.47</v>
      </c>
      <c r="R158" s="35">
        <v>104.47</v>
      </c>
      <c r="S158" s="37">
        <f>42+3+1</f>
        <v>46</v>
      </c>
      <c r="T158" s="37">
        <v>507503</v>
      </c>
      <c r="U158" s="37">
        <v>509543</v>
      </c>
    </row>
    <row r="159" spans="1:21" ht="15.75">
      <c r="A159" s="26">
        <v>128</v>
      </c>
      <c r="B159" s="36" t="s">
        <v>210</v>
      </c>
      <c r="C159" s="40" t="s">
        <v>183</v>
      </c>
      <c r="D159" s="35">
        <v>25800535.16</v>
      </c>
      <c r="E159" s="35">
        <v>426729.05</v>
      </c>
      <c r="F159" s="35">
        <v>125092.9</v>
      </c>
      <c r="G159" s="29">
        <v>301636.15000000002</v>
      </c>
      <c r="H159" s="35">
        <v>51239375.689999998</v>
      </c>
      <c r="I159" s="73">
        <f t="shared" si="58"/>
        <v>2.2307204904307583E-3</v>
      </c>
      <c r="J159" s="35">
        <v>51419644.299999997</v>
      </c>
      <c r="K159" s="73">
        <f t="shared" si="59"/>
        <v>2.2111283153736878E-3</v>
      </c>
      <c r="L159" s="73">
        <f t="shared" si="53"/>
        <v>3.5181656211158924E-3</v>
      </c>
      <c r="M159" s="32">
        <f t="shared" si="54"/>
        <v>2.4327842345653878E-3</v>
      </c>
      <c r="N159" s="33">
        <f t="shared" si="55"/>
        <v>5.8661656280652261E-3</v>
      </c>
      <c r="O159" s="34">
        <f t="shared" si="56"/>
        <v>101.57468378685367</v>
      </c>
      <c r="P159" s="34">
        <f t="shared" si="57"/>
        <v>0.59585391871203519</v>
      </c>
      <c r="Q159" s="35">
        <v>98.84</v>
      </c>
      <c r="R159" s="35">
        <v>101.57</v>
      </c>
      <c r="S159" s="37">
        <v>5</v>
      </c>
      <c r="T159" s="37">
        <v>520238</v>
      </c>
      <c r="U159" s="37">
        <v>506225</v>
      </c>
    </row>
    <row r="160" spans="1:21" ht="15.75">
      <c r="A160" s="26">
        <v>129</v>
      </c>
      <c r="B160" s="27" t="s">
        <v>211</v>
      </c>
      <c r="C160" s="27" t="s">
        <v>85</v>
      </c>
      <c r="D160" s="35">
        <v>7725921453.0600004</v>
      </c>
      <c r="E160" s="35">
        <v>69999519.569999993</v>
      </c>
      <c r="F160" s="35">
        <v>11300688.939999999</v>
      </c>
      <c r="G160" s="29">
        <v>58698830.630000003</v>
      </c>
      <c r="H160" s="35">
        <v>7252964430.3599997</v>
      </c>
      <c r="I160" s="73">
        <f t="shared" si="58"/>
        <v>0.31575982636976402</v>
      </c>
      <c r="J160" s="35">
        <v>7725921453.0600004</v>
      </c>
      <c r="K160" s="73">
        <f t="shared" si="59"/>
        <v>0.3322271851502091</v>
      </c>
      <c r="L160" s="73">
        <f t="shared" si="53"/>
        <v>6.5208788384548244E-2</v>
      </c>
      <c r="M160" s="32">
        <f t="shared" si="54"/>
        <v>1.4626978812377317E-3</v>
      </c>
      <c r="N160" s="33">
        <f t="shared" si="55"/>
        <v>7.5976478646118256E-3</v>
      </c>
      <c r="O160" s="34">
        <f t="shared" si="56"/>
        <v>119.53184339269416</v>
      </c>
      <c r="P160" s="34">
        <f t="shared" si="57"/>
        <v>0.9081608547056178</v>
      </c>
      <c r="Q160" s="35">
        <v>125.48</v>
      </c>
      <c r="R160" s="35">
        <v>125.48</v>
      </c>
      <c r="S160" s="37">
        <v>463</v>
      </c>
      <c r="T160" s="37">
        <v>61167121</v>
      </c>
      <c r="U160" s="37">
        <v>64634839</v>
      </c>
    </row>
    <row r="161" spans="1:21" ht="15.75">
      <c r="A161" s="26">
        <v>130</v>
      </c>
      <c r="B161" s="27" t="s">
        <v>212</v>
      </c>
      <c r="C161" s="27" t="s">
        <v>213</v>
      </c>
      <c r="D161" s="35">
        <v>345133953.98000002</v>
      </c>
      <c r="E161" s="35">
        <v>3222421.81</v>
      </c>
      <c r="F161" s="35">
        <v>698788.27</v>
      </c>
      <c r="G161" s="29">
        <v>2523633.54</v>
      </c>
      <c r="H161" s="35">
        <v>334760806.25999999</v>
      </c>
      <c r="I161" s="73">
        <f t="shared" si="58"/>
        <v>1.4573904928803463E-2</v>
      </c>
      <c r="J161" s="35">
        <v>369231843.69999999</v>
      </c>
      <c r="K161" s="73">
        <f t="shared" si="59"/>
        <v>1.5877569665387628E-2</v>
      </c>
      <c r="L161" s="73">
        <f t="shared" si="53"/>
        <v>0.10297214248321304</v>
      </c>
      <c r="M161" s="32">
        <f t="shared" si="54"/>
        <v>1.8925460572348789E-3</v>
      </c>
      <c r="N161" s="33">
        <f t="shared" si="55"/>
        <v>6.8348209480286496E-3</v>
      </c>
      <c r="O161" s="34">
        <f t="shared" si="56"/>
        <v>102.11732570266673</v>
      </c>
      <c r="P161" s="34">
        <f t="shared" si="57"/>
        <v>0.69795363686925105</v>
      </c>
      <c r="Q161" s="35">
        <v>102.12</v>
      </c>
      <c r="R161" s="35">
        <v>102.12</v>
      </c>
      <c r="S161" s="37">
        <f>345+8+4</f>
        <v>357</v>
      </c>
      <c r="T161" s="37">
        <v>3301400</v>
      </c>
      <c r="U161" s="37">
        <v>3615761</v>
      </c>
    </row>
    <row r="162" spans="1:21" ht="15.75">
      <c r="A162" s="26">
        <v>131</v>
      </c>
      <c r="B162" s="36" t="s">
        <v>214</v>
      </c>
      <c r="C162" s="36" t="s">
        <v>51</v>
      </c>
      <c r="D162" s="35">
        <v>8146328793.8500004</v>
      </c>
      <c r="E162" s="35">
        <v>55874783.789999999</v>
      </c>
      <c r="F162" s="35">
        <v>12636611.32</v>
      </c>
      <c r="G162" s="29">
        <v>43238172.469999999</v>
      </c>
      <c r="H162" s="35">
        <v>8592079755.6200008</v>
      </c>
      <c r="I162" s="73">
        <f t="shared" si="58"/>
        <v>0.37405858498813493</v>
      </c>
      <c r="J162" s="35">
        <v>8247928359.2200003</v>
      </c>
      <c r="K162" s="73">
        <f t="shared" si="59"/>
        <v>0.35467433091996292</v>
      </c>
      <c r="L162" s="73">
        <f t="shared" si="53"/>
        <v>-4.0054492764094084E-2</v>
      </c>
      <c r="M162" s="32">
        <f t="shared" si="54"/>
        <v>1.5320951843469982E-3</v>
      </c>
      <c r="N162" s="33">
        <f t="shared" si="55"/>
        <v>5.242306987507466E-3</v>
      </c>
      <c r="O162" s="34">
        <f t="shared" si="56"/>
        <v>122.22928171609161</v>
      </c>
      <c r="P162" s="34">
        <f t="shared" si="57"/>
        <v>0.64076341761828559</v>
      </c>
      <c r="Q162" s="35">
        <v>122.23</v>
      </c>
      <c r="R162" s="35">
        <v>122.23</v>
      </c>
      <c r="S162" s="37">
        <v>1034</v>
      </c>
      <c r="T162" s="37">
        <v>73119965.909999996</v>
      </c>
      <c r="U162" s="37">
        <v>67479152.650000006</v>
      </c>
    </row>
    <row r="163" spans="1:21" ht="15.75">
      <c r="A163" s="26">
        <v>132</v>
      </c>
      <c r="B163" s="27" t="s">
        <v>215</v>
      </c>
      <c r="C163" s="27" t="s">
        <v>56</v>
      </c>
      <c r="D163" s="35">
        <v>1755998133</v>
      </c>
      <c r="E163" s="35">
        <v>18698858</v>
      </c>
      <c r="F163" s="35">
        <v>3557857</v>
      </c>
      <c r="G163" s="29">
        <v>15141000</v>
      </c>
      <c r="H163" s="35">
        <v>2256835520</v>
      </c>
      <c r="I163" s="73">
        <f t="shared" si="58"/>
        <v>9.825196287429544E-2</v>
      </c>
      <c r="J163" s="35">
        <v>2278460345</v>
      </c>
      <c r="K163" s="73">
        <f t="shared" si="59"/>
        <v>9.7977499705994689E-2</v>
      </c>
      <c r="L163" s="73">
        <f t="shared" si="53"/>
        <v>9.5819233649778787E-3</v>
      </c>
      <c r="M163" s="32">
        <f t="shared" si="54"/>
        <v>1.5615180697823381E-3</v>
      </c>
      <c r="N163" s="33">
        <f t="shared" si="55"/>
        <v>6.6452769446816943E-3</v>
      </c>
      <c r="O163" s="34">
        <f t="shared" si="56"/>
        <v>1.1398282660373258</v>
      </c>
      <c r="P163" s="34">
        <f t="shared" si="57"/>
        <v>7.5744744971943537E-3</v>
      </c>
      <c r="Q163" s="29">
        <v>1.1399999999999999</v>
      </c>
      <c r="R163" s="29">
        <v>1.1399999999999999</v>
      </c>
      <c r="S163" s="37">
        <v>100</v>
      </c>
      <c r="T163" s="37">
        <v>1989089523</v>
      </c>
      <c r="U163" s="37">
        <v>1998950555</v>
      </c>
    </row>
    <row r="164" spans="1:21" ht="15.75">
      <c r="A164" s="100" t="s">
        <v>59</v>
      </c>
      <c r="B164" s="100"/>
      <c r="C164" s="100"/>
      <c r="D164" s="100"/>
      <c r="E164" s="100"/>
      <c r="F164" s="100"/>
      <c r="G164" s="100"/>
      <c r="H164" s="71">
        <f t="shared" ref="H164" si="60">SUM(H153:H163)</f>
        <v>22969877180.849998</v>
      </c>
      <c r="I164" s="74">
        <f>(H164/$H$165)</f>
        <v>1.5531894012576059E-2</v>
      </c>
      <c r="J164" s="71">
        <f>SUM(J153:J163)</f>
        <v>23254934570.050003</v>
      </c>
      <c r="K164" s="74">
        <f>(J164/$J$165)</f>
        <v>1.4907569456065559E-2</v>
      </c>
      <c r="L164" s="73">
        <f t="shared" si="53"/>
        <v>1.2410052825082457E-2</v>
      </c>
      <c r="M164" s="61"/>
      <c r="N164" s="61"/>
      <c r="O164" s="51"/>
      <c r="P164" s="51"/>
      <c r="Q164" s="35"/>
      <c r="R164" s="35"/>
      <c r="S164" s="22">
        <f>SUM(S153:S163)</f>
        <v>17836</v>
      </c>
      <c r="T164" s="37"/>
      <c r="U164" s="37"/>
    </row>
    <row r="165" spans="1:21">
      <c r="A165" s="101" t="s">
        <v>216</v>
      </c>
      <c r="B165" s="101"/>
      <c r="C165" s="101"/>
      <c r="D165" s="101"/>
      <c r="E165" s="101"/>
      <c r="F165" s="101"/>
      <c r="G165" s="101"/>
      <c r="H165" s="76">
        <f>SUM(H21,H53,H86,H109,H116,H143,H149,H164)</f>
        <v>1478884491630.6704</v>
      </c>
      <c r="I165" s="77"/>
      <c r="J165" s="76">
        <f>SUM(J21,J53,J86,J109,J116,J143,J149,J164)</f>
        <v>1559941386728.7458</v>
      </c>
      <c r="K165" s="77"/>
      <c r="L165" s="77"/>
      <c r="M165" s="78"/>
      <c r="N165" s="78"/>
      <c r="O165" s="79"/>
      <c r="P165" s="79"/>
      <c r="Q165" s="80"/>
      <c r="R165" s="80"/>
      <c r="S165" s="81">
        <f>SUM(S21,S53,S86,S109,S116,S143,S149,S164)</f>
        <v>426927.25</v>
      </c>
      <c r="T165" s="82"/>
      <c r="U165" s="82"/>
    </row>
    <row r="166" spans="1:21" ht="3.75" customHeight="1">
      <c r="A166" s="62"/>
      <c r="B166" s="62"/>
      <c r="C166" s="62"/>
      <c r="D166" s="63"/>
      <c r="E166" s="63"/>
      <c r="F166" s="63"/>
      <c r="G166" s="64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</row>
    <row r="167" spans="1:21" ht="15.75">
      <c r="A167" s="60" t="s">
        <v>217</v>
      </c>
      <c r="B167" s="58" t="s">
        <v>218</v>
      </c>
      <c r="C167" s="65"/>
      <c r="D167" s="63"/>
      <c r="E167" s="63"/>
      <c r="F167" s="63"/>
      <c r="G167" s="64"/>
      <c r="H167" s="66"/>
      <c r="I167" s="63"/>
      <c r="J167" s="66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7"/>
    </row>
  </sheetData>
  <sheetProtection algorithmName="SHA-512" hashValue="FEOmwdv/yO3e9cbK7tIXZ3q0KetmVxwW3q8ixHj6etPqzn+yPEl0gsLPyge/deY07VUNwoKsIh9g58z1UPCsLw==" saltValue="NzQku1VaG5MHIKMcBABbGw==" spinCount="100000" sheet="1" objects="1" scenarios="1"/>
  <mergeCells count="32">
    <mergeCell ref="A110:U110"/>
    <mergeCell ref="A164:G164"/>
    <mergeCell ref="A165:G165"/>
    <mergeCell ref="A117:U117"/>
    <mergeCell ref="A118:U118"/>
    <mergeCell ref="A145:U145"/>
    <mergeCell ref="A151:U151"/>
    <mergeCell ref="A152:U152"/>
    <mergeCell ref="A156:U156"/>
    <mergeCell ref="A111:U111"/>
    <mergeCell ref="A116:G116"/>
    <mergeCell ref="A144:U144"/>
    <mergeCell ref="A150:U150"/>
    <mergeCell ref="A149:G149"/>
    <mergeCell ref="A143:G143"/>
    <mergeCell ref="A155:U155"/>
    <mergeCell ref="A1:U1"/>
    <mergeCell ref="A3:U3"/>
    <mergeCell ref="A22:U22"/>
    <mergeCell ref="A23:U23"/>
    <mergeCell ref="A54:U54"/>
    <mergeCell ref="A4:U4"/>
    <mergeCell ref="A55:U55"/>
    <mergeCell ref="A21:G21"/>
    <mergeCell ref="A53:G53"/>
    <mergeCell ref="A86:G86"/>
    <mergeCell ref="A109:G109"/>
    <mergeCell ref="A87:U87"/>
    <mergeCell ref="A88:U88"/>
    <mergeCell ref="A89:U89"/>
    <mergeCell ref="A100:U100"/>
    <mergeCell ref="A99:U99"/>
  </mergeCells>
  <pageMargins left="0.7" right="0.7" top="0.75" bottom="0.75" header="0.3" footer="0.3"/>
  <ignoredErrors>
    <ignoredError sqref="I21 I53 I86 I143 I149 I164 I109 I116" formula="1"/>
    <ignoredError sqref="F1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K1" sqref="K1"/>
    </sheetView>
  </sheetViews>
  <sheetFormatPr defaultRowHeight="15"/>
  <cols>
    <col min="1" max="1" width="34" customWidth="1"/>
    <col min="2" max="2" width="18.7109375" customWidth="1"/>
    <col min="3" max="3" width="16.28515625" customWidth="1"/>
  </cols>
  <sheetData>
    <row r="1" spans="1:3">
      <c r="A1" s="6"/>
      <c r="B1" s="6"/>
      <c r="C1" s="6"/>
    </row>
    <row r="2" spans="1:3">
      <c r="A2" s="6"/>
      <c r="B2" s="6"/>
      <c r="C2" s="6"/>
    </row>
    <row r="3" spans="1:3">
      <c r="A3" s="6"/>
      <c r="B3" s="6"/>
      <c r="C3" s="6"/>
    </row>
    <row r="4" spans="1:3" ht="33" customHeight="1">
      <c r="A4" s="9" t="s">
        <v>5</v>
      </c>
      <c r="B4" s="16" t="s">
        <v>9</v>
      </c>
      <c r="C4" s="16" t="s">
        <v>11</v>
      </c>
    </row>
    <row r="5" spans="1:3" ht="19.5" customHeight="1">
      <c r="A5" s="17" t="s">
        <v>0</v>
      </c>
      <c r="B5" s="18">
        <f>16908516222.28/1000000000</f>
        <v>16.908516222279999</v>
      </c>
      <c r="C5" s="15">
        <f>17475775177.48/1000000000</f>
        <v>17.475775177479999</v>
      </c>
    </row>
    <row r="6" spans="1:3" ht="15.75">
      <c r="A6" s="9" t="s">
        <v>1</v>
      </c>
      <c r="B6" s="18">
        <f>695062692480.01/1000000000</f>
        <v>695.06269248001001</v>
      </c>
      <c r="C6" s="15">
        <f>779381550445.27/1000000000</f>
        <v>779.38155044527002</v>
      </c>
    </row>
    <row r="7" spans="1:3" ht="15.75">
      <c r="A7" s="9" t="s">
        <v>6</v>
      </c>
      <c r="B7" s="18">
        <f>353822145940.99/1000000000</f>
        <v>353.82214594098997</v>
      </c>
      <c r="C7" s="15">
        <f>337464792262.42/1000000000</f>
        <v>337.46479226241996</v>
      </c>
    </row>
    <row r="8" spans="1:3" ht="15.75">
      <c r="A8" s="9" t="s">
        <v>2</v>
      </c>
      <c r="B8" s="18">
        <f>321922342334.32/1000000000</f>
        <v>321.92234233432004</v>
      </c>
      <c r="C8" s="15">
        <f>321187212794.635/1000000000</f>
        <v>321.187212794635</v>
      </c>
    </row>
    <row r="9" spans="1:3" ht="15.75">
      <c r="A9" s="9" t="s">
        <v>7</v>
      </c>
      <c r="B9" s="18">
        <f>46357532510.62/1000000000</f>
        <v>46.357532510620004</v>
      </c>
      <c r="C9" s="15">
        <f>46530408764.6/1000000000</f>
        <v>46.530408764599997</v>
      </c>
    </row>
    <row r="10" spans="1:3" ht="15.75">
      <c r="A10" s="9" t="s">
        <v>3</v>
      </c>
      <c r="B10" s="18">
        <f>30595879635.8702/1000000000</f>
        <v>30.595879635870201</v>
      </c>
      <c r="C10" s="15">
        <f>31462784542.6/1000000000</f>
        <v>31.462784542599998</v>
      </c>
    </row>
    <row r="11" spans="1:3" ht="15.75">
      <c r="A11" s="9" t="s">
        <v>4</v>
      </c>
      <c r="B11" s="18">
        <f>3055092712.49/1000000000</f>
        <v>3.0550927124899996</v>
      </c>
      <c r="C11" s="15">
        <f>3183928171.69/1000000000</f>
        <v>3.1839281716899999</v>
      </c>
    </row>
    <row r="12" spans="1:3" ht="15.75">
      <c r="A12" s="9" t="s">
        <v>8</v>
      </c>
      <c r="B12" s="18">
        <f>22969877180.85/1000000000</f>
        <v>22.969877180849998</v>
      </c>
      <c r="C12" s="15">
        <f>23254934570.05/1000000000</f>
        <v>23.254934570050001</v>
      </c>
    </row>
    <row r="13" spans="1:3">
      <c r="A13" s="6"/>
      <c r="B13" s="6"/>
      <c r="C13" s="6"/>
    </row>
    <row r="15" spans="1:3" ht="16.5">
      <c r="A15" s="10" t="s">
        <v>0</v>
      </c>
      <c r="B15" s="15"/>
    </row>
    <row r="16" spans="1:3" ht="16.5">
      <c r="A16" s="10" t="s">
        <v>1</v>
      </c>
      <c r="B16" s="15"/>
      <c r="C16" s="23"/>
    </row>
    <row r="17" spans="1:3" ht="16.5">
      <c r="A17" s="10" t="s">
        <v>6</v>
      </c>
      <c r="B17" s="15"/>
      <c r="C17" s="11"/>
    </row>
    <row r="18" spans="1:3" ht="16.5">
      <c r="A18" s="10" t="s">
        <v>2</v>
      </c>
      <c r="B18" s="15"/>
      <c r="C18" s="13"/>
    </row>
    <row r="19" spans="1:3" ht="16.5">
      <c r="A19" s="10" t="s">
        <v>7</v>
      </c>
      <c r="B19" s="15"/>
      <c r="C19" s="11"/>
    </row>
    <row r="20" spans="1:3" ht="16.5">
      <c r="A20" s="10" t="s">
        <v>3</v>
      </c>
      <c r="B20" s="15"/>
      <c r="C20" s="13"/>
    </row>
    <row r="21" spans="1:3" ht="16.5">
      <c r="A21" s="10" t="s">
        <v>4</v>
      </c>
      <c r="B21" s="15"/>
      <c r="C21" s="11"/>
    </row>
    <row r="22" spans="1:3" ht="16.5">
      <c r="A22" s="10" t="s">
        <v>8</v>
      </c>
      <c r="B22" s="15"/>
      <c r="C22" s="14"/>
    </row>
    <row r="23" spans="1:3" ht="16.5">
      <c r="C23" s="11"/>
    </row>
    <row r="24" spans="1:3" ht="16.5">
      <c r="C24" s="11"/>
    </row>
    <row r="25" spans="1:3" ht="16.5">
      <c r="C25" s="8"/>
    </row>
    <row r="26" spans="1:3" ht="16.5">
      <c r="A26" s="4"/>
      <c r="B26" s="8"/>
      <c r="C26" s="8"/>
    </row>
    <row r="27" spans="1:3">
      <c r="B27" s="7"/>
      <c r="C27" s="7"/>
    </row>
    <row r="28" spans="1:3">
      <c r="B28" s="7"/>
      <c r="C28" s="7"/>
    </row>
  </sheetData>
  <sheetProtection algorithmName="SHA-512" hashValue="iwR7nIuJH5VCGymGFqIOFfM4l5Ja+9QA78bZCIAGBWZ/K7L0rcOY8dnNc+8ono3bZU2wa4Fo3YWIB/z8CEZCDg==" saltValue="lRzT1pfVDObBJ1+m5th1v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N1" sqref="N1"/>
    </sheetView>
  </sheetViews>
  <sheetFormatPr defaultRowHeight="15"/>
  <cols>
    <col min="1" max="1" width="26.7109375" customWidth="1"/>
    <col min="2" max="2" width="19.28515625" customWidth="1"/>
  </cols>
  <sheetData>
    <row r="1" spans="1:2" ht="16.5">
      <c r="A1" s="9" t="s">
        <v>5</v>
      </c>
      <c r="B1" s="21" t="s">
        <v>11</v>
      </c>
    </row>
    <row r="2" spans="1:2" ht="16.5">
      <c r="A2" s="10" t="s">
        <v>4</v>
      </c>
      <c r="B2" s="15">
        <v>3183928171.6900001</v>
      </c>
    </row>
    <row r="3" spans="1:2" ht="16.5">
      <c r="A3" s="10" t="s">
        <v>0</v>
      </c>
      <c r="B3" s="15">
        <v>17475775177.48</v>
      </c>
    </row>
    <row r="4" spans="1:2" ht="16.5">
      <c r="A4" s="10" t="s">
        <v>8</v>
      </c>
      <c r="B4" s="15">
        <v>23254934570.050003</v>
      </c>
    </row>
    <row r="5" spans="1:2" ht="16.5">
      <c r="A5" s="10" t="s">
        <v>3</v>
      </c>
      <c r="B5" s="15">
        <v>31462784542.600002</v>
      </c>
    </row>
    <row r="6" spans="1:2" ht="16.5">
      <c r="A6" s="10" t="s">
        <v>7</v>
      </c>
      <c r="B6" s="15">
        <v>46530408764.599998</v>
      </c>
    </row>
    <row r="7" spans="1:2" ht="16.5">
      <c r="A7" s="10" t="s">
        <v>2</v>
      </c>
      <c r="B7" s="15">
        <v>321187212794.63538</v>
      </c>
    </row>
    <row r="8" spans="1:2" ht="16.5">
      <c r="A8" s="10" t="s">
        <v>6</v>
      </c>
      <c r="B8" s="15">
        <v>337464792262.4201</v>
      </c>
    </row>
    <row r="9" spans="1:2" ht="16.5">
      <c r="A9" s="10" t="s">
        <v>1</v>
      </c>
      <c r="B9" s="15">
        <v>779381550445.27002</v>
      </c>
    </row>
    <row r="12" spans="1:2" ht="16.5">
      <c r="A12" s="10"/>
    </row>
    <row r="13" spans="1:2" ht="16.5">
      <c r="A13" s="10" t="s">
        <v>4</v>
      </c>
      <c r="B13" s="15"/>
    </row>
    <row r="14" spans="1:2" ht="16.5">
      <c r="A14" s="10" t="s">
        <v>0</v>
      </c>
      <c r="B14" s="15"/>
    </row>
    <row r="15" spans="1:2" ht="16.5">
      <c r="A15" s="10" t="s">
        <v>8</v>
      </c>
      <c r="B15" s="15"/>
    </row>
    <row r="16" spans="1:2" ht="16.5">
      <c r="A16" s="10" t="s">
        <v>3</v>
      </c>
      <c r="B16" s="15"/>
    </row>
    <row r="17" spans="1:17" ht="16.5">
      <c r="A17" s="10" t="s">
        <v>7</v>
      </c>
      <c r="B17" s="15"/>
    </row>
    <row r="18" spans="1:17" ht="16.5">
      <c r="A18" s="10" t="s">
        <v>2</v>
      </c>
      <c r="B18" s="15"/>
    </row>
    <row r="19" spans="1:17" ht="16.5">
      <c r="A19" s="10" t="s">
        <v>6</v>
      </c>
      <c r="B19" s="15"/>
    </row>
    <row r="20" spans="1:17" ht="16.5">
      <c r="A20" s="10" t="s">
        <v>1</v>
      </c>
      <c r="B20" s="15"/>
    </row>
    <row r="21" spans="1:17" ht="16.5">
      <c r="A21" s="5"/>
      <c r="B21" s="3"/>
    </row>
    <row r="22" spans="1:17">
      <c r="B22" s="15"/>
    </row>
    <row r="23" spans="1:17">
      <c r="B23" s="15"/>
    </row>
    <row r="24" spans="1:17">
      <c r="B24" s="15"/>
    </row>
    <row r="25" spans="1:17">
      <c r="B25" s="15"/>
    </row>
    <row r="26" spans="1:17">
      <c r="B26" s="15"/>
    </row>
    <row r="27" spans="1:17">
      <c r="B27" s="15"/>
    </row>
    <row r="28" spans="1:17">
      <c r="B28" s="15"/>
    </row>
    <row r="29" spans="1:17">
      <c r="B29" s="15"/>
    </row>
    <row r="32" spans="1:17" ht="16.5" customHeight="1">
      <c r="A32" s="106" t="s">
        <v>219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2"/>
    </row>
    <row r="33" spans="1:17" ht="15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2"/>
    </row>
  </sheetData>
  <sheetProtection algorithmName="SHA-512" hashValue="oIG/vIoOJyq7uifz+xRpHLB/ugjjlGJFt9bkR3X3oXohMM+d9UusN4FbHMWbom2IS6qRt1Goki70w+cBC6ST1Q==" saltValue="WYFgvNVHmQnkx9MV1ULBMw==" spinCount="100000" sheet="1" objects="1" scenarios="1"/>
  <sortState xmlns:xlrd2="http://schemas.microsoft.com/office/spreadsheetml/2017/richdata2" ref="B22:B29">
    <sortCondition ref="B22:B2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FCE2-DF19-46A7-82E6-668A9D444BD6}">
  <dimension ref="A5:C13"/>
  <sheetViews>
    <sheetView workbookViewId="0">
      <selection activeCell="J1" sqref="J1"/>
    </sheetView>
  </sheetViews>
  <sheetFormatPr defaultRowHeight="15"/>
  <cols>
    <col min="1" max="1" width="34.7109375" customWidth="1"/>
    <col min="2" max="2" width="15" customWidth="1"/>
    <col min="3" max="3" width="11.5703125" bestFit="1" customWidth="1"/>
  </cols>
  <sheetData>
    <row r="5" spans="1:3" ht="15.75">
      <c r="A5" s="1" t="s">
        <v>5</v>
      </c>
      <c r="B5" s="19" t="s">
        <v>10</v>
      </c>
    </row>
    <row r="6" spans="1:3" ht="16.5">
      <c r="A6" s="2" t="s">
        <v>0</v>
      </c>
      <c r="B6" s="20">
        <v>39879</v>
      </c>
      <c r="C6" s="75"/>
    </row>
    <row r="7" spans="1:3" ht="16.5">
      <c r="A7" s="2" t="s">
        <v>1</v>
      </c>
      <c r="B7" s="20">
        <v>213694</v>
      </c>
      <c r="C7" s="75"/>
    </row>
    <row r="8" spans="1:3" ht="16.5">
      <c r="A8" s="2" t="s">
        <v>6</v>
      </c>
      <c r="B8" s="20">
        <v>49070</v>
      </c>
      <c r="C8" s="75"/>
    </row>
    <row r="9" spans="1:3" ht="16.5">
      <c r="A9" s="2" t="s">
        <v>2</v>
      </c>
      <c r="B9" s="20">
        <v>11281.25</v>
      </c>
      <c r="C9" s="75"/>
    </row>
    <row r="10" spans="1:3" ht="16.5">
      <c r="A10" s="2" t="s">
        <v>7</v>
      </c>
      <c r="B10" s="20">
        <v>36846</v>
      </c>
      <c r="C10" s="75"/>
    </row>
    <row r="11" spans="1:3" ht="16.5">
      <c r="A11" s="2" t="s">
        <v>3</v>
      </c>
      <c r="B11" s="20">
        <v>47289</v>
      </c>
      <c r="C11" s="75"/>
    </row>
    <row r="12" spans="1:3" ht="16.5">
      <c r="A12" s="2" t="s">
        <v>4</v>
      </c>
      <c r="B12" s="20">
        <v>11032</v>
      </c>
      <c r="C12" s="75"/>
    </row>
    <row r="13" spans="1:3" ht="16.5">
      <c r="A13" s="2" t="s">
        <v>8</v>
      </c>
      <c r="B13" s="20">
        <v>17836</v>
      </c>
      <c r="C13" s="75"/>
    </row>
  </sheetData>
  <sheetProtection algorithmName="SHA-512" hashValue="/nqs0HiW/egFM0ZKElz6tSyFSrdLR/B22ad1A7Q0Y22edOdpaKFjHCwNn8/mvm6pxRKmBGu3P8XNV8zrNovNzQ==" saltValue="giSNLl78yFVdtKI5MUc7N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February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2024-02-23T11:05:59Z</dcterms:modified>
</cp:coreProperties>
</file>