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210F253C-90B5-421B-98B2-A43A571EC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y 2023" sheetId="7" r:id="rId1"/>
    <sheet name="NAV Comparison" sheetId="2" r:id="rId2"/>
    <sheet name="Market Share" sheetId="3" r:id="rId3"/>
    <sheet name="Unitholder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7" l="1"/>
  <c r="H111" i="7" l="1"/>
  <c r="P136" i="7" l="1"/>
  <c r="O136" i="7"/>
  <c r="N136" i="7"/>
  <c r="M136" i="7"/>
  <c r="L136" i="7"/>
  <c r="P135" i="7"/>
  <c r="O135" i="7"/>
  <c r="N135" i="7"/>
  <c r="M135" i="7"/>
  <c r="L135" i="7"/>
  <c r="H99" i="7"/>
  <c r="L92" i="7" l="1"/>
  <c r="L93" i="7"/>
  <c r="L94" i="7"/>
  <c r="L95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H110" i="7" l="1"/>
  <c r="H108" i="7"/>
  <c r="H107" i="7"/>
  <c r="H106" i="7"/>
  <c r="H105" i="7"/>
  <c r="H104" i="7"/>
  <c r="H103" i="7"/>
  <c r="H102" i="7"/>
  <c r="H98" i="7"/>
  <c r="L98" i="7" s="1"/>
  <c r="H97" i="7"/>
  <c r="L97" i="7" s="1"/>
  <c r="H96" i="7"/>
  <c r="H91" i="7"/>
  <c r="L91" i="7" s="1"/>
  <c r="D128" i="7"/>
  <c r="P128" i="7"/>
  <c r="O128" i="7"/>
  <c r="N128" i="7"/>
  <c r="M128" i="7"/>
  <c r="L128" i="7"/>
  <c r="P9" i="7"/>
  <c r="O9" i="7"/>
  <c r="N9" i="7"/>
  <c r="M9" i="7"/>
  <c r="D9" i="7"/>
  <c r="P66" i="7"/>
  <c r="O66" i="7"/>
  <c r="N66" i="7"/>
  <c r="M66" i="7"/>
  <c r="D66" i="7"/>
  <c r="G62" i="7"/>
  <c r="R109" i="7"/>
  <c r="Q109" i="7"/>
  <c r="J109" i="7"/>
  <c r="G109" i="7"/>
  <c r="F109" i="7"/>
  <c r="E109" i="7"/>
  <c r="D109" i="7"/>
  <c r="P13" i="7" l="1"/>
  <c r="O13" i="7"/>
  <c r="N13" i="7"/>
  <c r="M13" i="7"/>
  <c r="P32" i="7"/>
  <c r="O32" i="7"/>
  <c r="N32" i="7"/>
  <c r="M32" i="7"/>
  <c r="S126" i="7"/>
  <c r="P126" i="7"/>
  <c r="O126" i="7"/>
  <c r="N126" i="7"/>
  <c r="M126" i="7"/>
  <c r="L126" i="7"/>
  <c r="O34" i="7" l="1"/>
  <c r="O35" i="7"/>
  <c r="O134" i="7"/>
  <c r="P134" i="7"/>
  <c r="L134" i="7"/>
  <c r="M134" i="7"/>
  <c r="N134" i="7"/>
  <c r="P41" i="7"/>
  <c r="O41" i="7"/>
  <c r="N41" i="7"/>
  <c r="M41" i="7"/>
  <c r="R99" i="7" l="1"/>
  <c r="Q99" i="7"/>
  <c r="J99" i="7"/>
  <c r="G99" i="7"/>
  <c r="F99" i="7"/>
  <c r="E99" i="7"/>
  <c r="D99" i="7"/>
  <c r="L99" i="7" l="1"/>
  <c r="R96" i="7"/>
  <c r="Q96" i="7"/>
  <c r="J96" i="7"/>
  <c r="G96" i="7"/>
  <c r="F96" i="7"/>
  <c r="E96" i="7"/>
  <c r="D96" i="7"/>
  <c r="R106" i="7"/>
  <c r="Q106" i="7"/>
  <c r="J106" i="7"/>
  <c r="G106" i="7"/>
  <c r="F106" i="7"/>
  <c r="E106" i="7"/>
  <c r="D106" i="7"/>
  <c r="R90" i="7"/>
  <c r="Q90" i="7"/>
  <c r="R104" i="7"/>
  <c r="Q104" i="7"/>
  <c r="J104" i="7"/>
  <c r="G104" i="7"/>
  <c r="F104" i="7"/>
  <c r="E104" i="7"/>
  <c r="D104" i="7"/>
  <c r="R105" i="7"/>
  <c r="J105" i="7"/>
  <c r="G105" i="7"/>
  <c r="F105" i="7"/>
  <c r="E105" i="7"/>
  <c r="D105" i="7"/>
  <c r="L96" i="7" l="1"/>
  <c r="S166" i="7"/>
  <c r="B13" i="6" s="1"/>
  <c r="J166" i="7"/>
  <c r="H166" i="7"/>
  <c r="P165" i="7"/>
  <c r="O165" i="7"/>
  <c r="N165" i="7"/>
  <c r="M165" i="7"/>
  <c r="L165" i="7"/>
  <c r="P164" i="7"/>
  <c r="O164" i="7"/>
  <c r="N164" i="7"/>
  <c r="M164" i="7"/>
  <c r="L164" i="7"/>
  <c r="P163" i="7"/>
  <c r="O163" i="7"/>
  <c r="N163" i="7"/>
  <c r="M163" i="7"/>
  <c r="L163" i="7"/>
  <c r="P162" i="7"/>
  <c r="O162" i="7"/>
  <c r="N162" i="7"/>
  <c r="M162" i="7"/>
  <c r="L162" i="7"/>
  <c r="P161" i="7"/>
  <c r="O161" i="7"/>
  <c r="N161" i="7"/>
  <c r="M161" i="7"/>
  <c r="L161" i="7"/>
  <c r="P160" i="7"/>
  <c r="O160" i="7"/>
  <c r="N160" i="7"/>
  <c r="M160" i="7"/>
  <c r="L160" i="7"/>
  <c r="P159" i="7"/>
  <c r="O159" i="7"/>
  <c r="N159" i="7"/>
  <c r="M159" i="7"/>
  <c r="L159" i="7"/>
  <c r="P156" i="7"/>
  <c r="O156" i="7"/>
  <c r="N156" i="7"/>
  <c r="M156" i="7"/>
  <c r="L156" i="7"/>
  <c r="P155" i="7"/>
  <c r="O155" i="7"/>
  <c r="N155" i="7"/>
  <c r="M155" i="7"/>
  <c r="L155" i="7"/>
  <c r="S151" i="7"/>
  <c r="B12" i="6" s="1"/>
  <c r="J151" i="7"/>
  <c r="H151" i="7"/>
  <c r="P150" i="7"/>
  <c r="O150" i="7"/>
  <c r="N150" i="7"/>
  <c r="M150" i="7"/>
  <c r="L150" i="7"/>
  <c r="P149" i="7"/>
  <c r="O149" i="7"/>
  <c r="N149" i="7"/>
  <c r="M149" i="7"/>
  <c r="L149" i="7"/>
  <c r="P148" i="7"/>
  <c r="O148" i="7"/>
  <c r="N148" i="7"/>
  <c r="M148" i="7"/>
  <c r="L148" i="7"/>
  <c r="S145" i="7"/>
  <c r="B11" i="6" s="1"/>
  <c r="J145" i="7"/>
  <c r="H145" i="7"/>
  <c r="P144" i="7"/>
  <c r="O144" i="7"/>
  <c r="N144" i="7"/>
  <c r="M144" i="7"/>
  <c r="L144" i="7"/>
  <c r="P143" i="7"/>
  <c r="O143" i="7"/>
  <c r="N143" i="7"/>
  <c r="M143" i="7"/>
  <c r="L143" i="7"/>
  <c r="P142" i="7"/>
  <c r="O142" i="7"/>
  <c r="N142" i="7"/>
  <c r="M142" i="7"/>
  <c r="L142" i="7"/>
  <c r="P141" i="7"/>
  <c r="O141" i="7"/>
  <c r="N141" i="7"/>
  <c r="M141" i="7"/>
  <c r="L141" i="7"/>
  <c r="P140" i="7"/>
  <c r="O140" i="7"/>
  <c r="N140" i="7"/>
  <c r="M140" i="7"/>
  <c r="L140" i="7"/>
  <c r="P139" i="7"/>
  <c r="O139" i="7"/>
  <c r="N139" i="7"/>
  <c r="M139" i="7"/>
  <c r="L139" i="7"/>
  <c r="P138" i="7"/>
  <c r="O138" i="7"/>
  <c r="N138" i="7"/>
  <c r="M138" i="7"/>
  <c r="L138" i="7"/>
  <c r="P137" i="7"/>
  <c r="O137" i="7"/>
  <c r="N137" i="7"/>
  <c r="M137" i="7"/>
  <c r="L137" i="7"/>
  <c r="P133" i="7"/>
  <c r="O133" i="7"/>
  <c r="N133" i="7"/>
  <c r="M133" i="7"/>
  <c r="L133" i="7"/>
  <c r="P132" i="7"/>
  <c r="O132" i="7"/>
  <c r="N132" i="7"/>
  <c r="M132" i="7"/>
  <c r="L132" i="7"/>
  <c r="P131" i="7"/>
  <c r="O131" i="7"/>
  <c r="N131" i="7"/>
  <c r="M131" i="7"/>
  <c r="L131" i="7"/>
  <c r="P130" i="7"/>
  <c r="O130" i="7"/>
  <c r="N130" i="7"/>
  <c r="M130" i="7"/>
  <c r="L130" i="7"/>
  <c r="P129" i="7"/>
  <c r="O129" i="7"/>
  <c r="N129" i="7"/>
  <c r="M129" i="7"/>
  <c r="L129" i="7"/>
  <c r="P127" i="7"/>
  <c r="O127" i="7"/>
  <c r="N127" i="7"/>
  <c r="M127" i="7"/>
  <c r="L127" i="7"/>
  <c r="P125" i="7"/>
  <c r="O125" i="7"/>
  <c r="N125" i="7"/>
  <c r="M125" i="7"/>
  <c r="L125" i="7"/>
  <c r="P124" i="7"/>
  <c r="O124" i="7"/>
  <c r="N124" i="7"/>
  <c r="M124" i="7"/>
  <c r="L124" i="7"/>
  <c r="P123" i="7"/>
  <c r="O123" i="7"/>
  <c r="N123" i="7"/>
  <c r="M123" i="7"/>
  <c r="L123" i="7"/>
  <c r="P122" i="7"/>
  <c r="O122" i="7"/>
  <c r="N122" i="7"/>
  <c r="M122" i="7"/>
  <c r="L122" i="7"/>
  <c r="P121" i="7"/>
  <c r="O121" i="7"/>
  <c r="N121" i="7"/>
  <c r="M121" i="7"/>
  <c r="L121" i="7"/>
  <c r="S118" i="7"/>
  <c r="B10" i="6" s="1"/>
  <c r="J118" i="7"/>
  <c r="H118" i="7"/>
  <c r="P117" i="7"/>
  <c r="O117" i="7"/>
  <c r="N117" i="7"/>
  <c r="M117" i="7"/>
  <c r="L117" i="7"/>
  <c r="P116" i="7"/>
  <c r="O116" i="7"/>
  <c r="N116" i="7"/>
  <c r="M116" i="7"/>
  <c r="L116" i="7"/>
  <c r="P115" i="7"/>
  <c r="O115" i="7"/>
  <c r="N115" i="7"/>
  <c r="M115" i="7"/>
  <c r="L115" i="7"/>
  <c r="P114" i="7"/>
  <c r="O114" i="7"/>
  <c r="N114" i="7"/>
  <c r="M114" i="7"/>
  <c r="L114" i="7"/>
  <c r="S111" i="7"/>
  <c r="B9" i="6" s="1"/>
  <c r="P110" i="7"/>
  <c r="O110" i="7"/>
  <c r="N110" i="7"/>
  <c r="M110" i="7"/>
  <c r="P108" i="7"/>
  <c r="O108" i="7"/>
  <c r="N108" i="7"/>
  <c r="M108" i="7"/>
  <c r="U107" i="7"/>
  <c r="T107" i="7"/>
  <c r="R107" i="7"/>
  <c r="Q107" i="7"/>
  <c r="J107" i="7"/>
  <c r="G107" i="7"/>
  <c r="F107" i="7"/>
  <c r="M107" i="7" s="1"/>
  <c r="E107" i="7"/>
  <c r="D107" i="7"/>
  <c r="M106" i="7"/>
  <c r="Q105" i="7"/>
  <c r="M105" i="7"/>
  <c r="M104" i="7"/>
  <c r="P103" i="7"/>
  <c r="O103" i="7"/>
  <c r="N103" i="7"/>
  <c r="M103" i="7"/>
  <c r="L103" i="7"/>
  <c r="P102" i="7"/>
  <c r="O102" i="7"/>
  <c r="N102" i="7"/>
  <c r="M102" i="7"/>
  <c r="P99" i="7"/>
  <c r="O99" i="7"/>
  <c r="N99" i="7"/>
  <c r="M99" i="7"/>
  <c r="P97" i="7"/>
  <c r="O97" i="7"/>
  <c r="N97" i="7"/>
  <c r="M97" i="7"/>
  <c r="P95" i="7"/>
  <c r="O95" i="7"/>
  <c r="N95" i="7"/>
  <c r="M95" i="7"/>
  <c r="P94" i="7"/>
  <c r="O94" i="7"/>
  <c r="N94" i="7"/>
  <c r="M94" i="7"/>
  <c r="P93" i="7"/>
  <c r="O93" i="7"/>
  <c r="N93" i="7"/>
  <c r="M93" i="7"/>
  <c r="P92" i="7"/>
  <c r="O92" i="7"/>
  <c r="N92" i="7"/>
  <c r="M92" i="7"/>
  <c r="P91" i="7"/>
  <c r="O91" i="7"/>
  <c r="N91" i="7"/>
  <c r="M91" i="7"/>
  <c r="P90" i="7"/>
  <c r="O90" i="7"/>
  <c r="N90" i="7"/>
  <c r="M90" i="7"/>
  <c r="L90" i="7"/>
  <c r="S86" i="7"/>
  <c r="B8" i="6" s="1"/>
  <c r="J86" i="7"/>
  <c r="H86" i="7"/>
  <c r="P85" i="7"/>
  <c r="O85" i="7"/>
  <c r="N85" i="7"/>
  <c r="M85" i="7"/>
  <c r="P84" i="7"/>
  <c r="O84" i="7"/>
  <c r="N84" i="7"/>
  <c r="M84" i="7"/>
  <c r="P83" i="7"/>
  <c r="O83" i="7"/>
  <c r="N83" i="7"/>
  <c r="M83" i="7"/>
  <c r="P82" i="7"/>
  <c r="O82" i="7"/>
  <c r="N82" i="7"/>
  <c r="M82" i="7"/>
  <c r="P81" i="7"/>
  <c r="O81" i="7"/>
  <c r="N81" i="7"/>
  <c r="M81" i="7"/>
  <c r="P80" i="7"/>
  <c r="O80" i="7"/>
  <c r="N80" i="7"/>
  <c r="M80" i="7"/>
  <c r="P79" i="7"/>
  <c r="O79" i="7"/>
  <c r="N79" i="7"/>
  <c r="M79" i="7"/>
  <c r="P78" i="7"/>
  <c r="O78" i="7"/>
  <c r="N78" i="7"/>
  <c r="M78" i="7"/>
  <c r="P77" i="7"/>
  <c r="O77" i="7"/>
  <c r="N77" i="7"/>
  <c r="M77" i="7"/>
  <c r="P76" i="7"/>
  <c r="O76" i="7"/>
  <c r="N76" i="7"/>
  <c r="M76" i="7"/>
  <c r="P75" i="7"/>
  <c r="O75" i="7"/>
  <c r="N75" i="7"/>
  <c r="M75" i="7"/>
  <c r="P74" i="7"/>
  <c r="O74" i="7"/>
  <c r="N74" i="7"/>
  <c r="M74" i="7"/>
  <c r="P73" i="7"/>
  <c r="O73" i="7"/>
  <c r="N73" i="7"/>
  <c r="M73" i="7"/>
  <c r="P72" i="7"/>
  <c r="O72" i="7"/>
  <c r="N72" i="7"/>
  <c r="M72" i="7"/>
  <c r="P71" i="7"/>
  <c r="O71" i="7"/>
  <c r="N71" i="7"/>
  <c r="M71" i="7"/>
  <c r="P70" i="7"/>
  <c r="O70" i="7"/>
  <c r="N70" i="7"/>
  <c r="M70" i="7"/>
  <c r="P69" i="7"/>
  <c r="O69" i="7"/>
  <c r="N69" i="7"/>
  <c r="M69" i="7"/>
  <c r="P68" i="7"/>
  <c r="O68" i="7"/>
  <c r="N68" i="7"/>
  <c r="M68" i="7"/>
  <c r="P67" i="7"/>
  <c r="O67" i="7"/>
  <c r="N67" i="7"/>
  <c r="M67" i="7"/>
  <c r="P65" i="7"/>
  <c r="O65" i="7"/>
  <c r="N65" i="7"/>
  <c r="M65" i="7"/>
  <c r="P64" i="7"/>
  <c r="O64" i="7"/>
  <c r="N64" i="7"/>
  <c r="M64" i="7"/>
  <c r="P63" i="7"/>
  <c r="O63" i="7"/>
  <c r="N63" i="7"/>
  <c r="M63" i="7"/>
  <c r="P62" i="7"/>
  <c r="O62" i="7"/>
  <c r="N62" i="7"/>
  <c r="M62" i="7"/>
  <c r="P61" i="7"/>
  <c r="O61" i="7"/>
  <c r="N61" i="7"/>
  <c r="M61" i="7"/>
  <c r="P60" i="7"/>
  <c r="O60" i="7"/>
  <c r="N60" i="7"/>
  <c r="M60" i="7"/>
  <c r="P59" i="7"/>
  <c r="O59" i="7"/>
  <c r="N59" i="7"/>
  <c r="M59" i="7"/>
  <c r="P58" i="7"/>
  <c r="O58" i="7"/>
  <c r="N58" i="7"/>
  <c r="M58" i="7"/>
  <c r="P57" i="7"/>
  <c r="O57" i="7"/>
  <c r="N57" i="7"/>
  <c r="M57" i="7"/>
  <c r="P56" i="7"/>
  <c r="O56" i="7"/>
  <c r="N56" i="7"/>
  <c r="M56" i="7"/>
  <c r="L56" i="7"/>
  <c r="J53" i="7"/>
  <c r="H53" i="7"/>
  <c r="P52" i="7"/>
  <c r="O52" i="7"/>
  <c r="N52" i="7"/>
  <c r="M52" i="7"/>
  <c r="P51" i="7"/>
  <c r="O51" i="7"/>
  <c r="N51" i="7"/>
  <c r="M51" i="7"/>
  <c r="P50" i="7"/>
  <c r="O50" i="7"/>
  <c r="N50" i="7"/>
  <c r="M50" i="7"/>
  <c r="P49" i="7"/>
  <c r="O49" i="7"/>
  <c r="N49" i="7"/>
  <c r="M49" i="7"/>
  <c r="P48" i="7"/>
  <c r="O48" i="7"/>
  <c r="N48" i="7"/>
  <c r="M48" i="7"/>
  <c r="P47" i="7"/>
  <c r="O47" i="7"/>
  <c r="N47" i="7"/>
  <c r="M47" i="7"/>
  <c r="P46" i="7"/>
  <c r="O46" i="7"/>
  <c r="N46" i="7"/>
  <c r="M46" i="7"/>
  <c r="P45" i="7"/>
  <c r="O45" i="7"/>
  <c r="N45" i="7"/>
  <c r="M45" i="7"/>
  <c r="P44" i="7"/>
  <c r="O44" i="7"/>
  <c r="N44" i="7"/>
  <c r="M44" i="7"/>
  <c r="P43" i="7"/>
  <c r="O43" i="7"/>
  <c r="N43" i="7"/>
  <c r="M43" i="7"/>
  <c r="P42" i="7"/>
  <c r="O42" i="7"/>
  <c r="N42" i="7"/>
  <c r="M42" i="7"/>
  <c r="P40" i="7"/>
  <c r="O40" i="7"/>
  <c r="N40" i="7"/>
  <c r="M40" i="7"/>
  <c r="P39" i="7"/>
  <c r="O39" i="7"/>
  <c r="N39" i="7"/>
  <c r="M39" i="7"/>
  <c r="P38" i="7"/>
  <c r="O38" i="7"/>
  <c r="N38" i="7"/>
  <c r="M38" i="7"/>
  <c r="P37" i="7"/>
  <c r="O37" i="7"/>
  <c r="N37" i="7"/>
  <c r="M37" i="7"/>
  <c r="P36" i="7"/>
  <c r="O36" i="7"/>
  <c r="N36" i="7"/>
  <c r="M36" i="7"/>
  <c r="P35" i="7"/>
  <c r="N35" i="7"/>
  <c r="M35" i="7"/>
  <c r="S53" i="7"/>
  <c r="B7" i="6" s="1"/>
  <c r="P34" i="7"/>
  <c r="N34" i="7"/>
  <c r="M34" i="7"/>
  <c r="P33" i="7"/>
  <c r="O33" i="7"/>
  <c r="N33" i="7"/>
  <c r="M33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L24" i="7"/>
  <c r="S21" i="7"/>
  <c r="J21" i="7"/>
  <c r="H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2" i="7"/>
  <c r="O12" i="7"/>
  <c r="N12" i="7"/>
  <c r="M12" i="7"/>
  <c r="P11" i="7"/>
  <c r="O11" i="7"/>
  <c r="N11" i="7"/>
  <c r="M11" i="7"/>
  <c r="P10" i="7"/>
  <c r="O10" i="7"/>
  <c r="N10" i="7"/>
  <c r="M10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L5" i="7"/>
  <c r="I136" i="7" l="1"/>
  <c r="I135" i="7"/>
  <c r="K136" i="7"/>
  <c r="K135" i="7"/>
  <c r="B3" i="3"/>
  <c r="C5" i="2"/>
  <c r="S167" i="7"/>
  <c r="B6" i="6"/>
  <c r="B9" i="3"/>
  <c r="C6" i="2"/>
  <c r="L53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24" i="7"/>
  <c r="I115" i="7"/>
  <c r="I116" i="7"/>
  <c r="I117" i="7"/>
  <c r="I114" i="7"/>
  <c r="B6" i="3"/>
  <c r="C9" i="2"/>
  <c r="K115" i="7"/>
  <c r="K116" i="7"/>
  <c r="K117" i="7"/>
  <c r="K114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7" i="7"/>
  <c r="I138" i="7"/>
  <c r="I139" i="7"/>
  <c r="I140" i="7"/>
  <c r="I141" i="7"/>
  <c r="I142" i="7"/>
  <c r="I143" i="7"/>
  <c r="I144" i="7"/>
  <c r="I121" i="7"/>
  <c r="B5" i="3"/>
  <c r="C10" i="2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7" i="7"/>
  <c r="K138" i="7"/>
  <c r="K139" i="7"/>
  <c r="K140" i="7"/>
  <c r="K141" i="7"/>
  <c r="K142" i="7"/>
  <c r="K143" i="7"/>
  <c r="K144" i="7"/>
  <c r="K121" i="7"/>
  <c r="I149" i="7"/>
  <c r="I150" i="7"/>
  <c r="I148" i="7"/>
  <c r="B2" i="3"/>
  <c r="C11" i="2"/>
  <c r="K149" i="7"/>
  <c r="K150" i="7"/>
  <c r="K148" i="7"/>
  <c r="I160" i="7"/>
  <c r="I161" i="7"/>
  <c r="I162" i="7"/>
  <c r="I163" i="7"/>
  <c r="I164" i="7"/>
  <c r="I165" i="7"/>
  <c r="I159" i="7"/>
  <c r="B4" i="3"/>
  <c r="C12" i="2"/>
  <c r="K160" i="7"/>
  <c r="K161" i="7"/>
  <c r="K162" i="7"/>
  <c r="K163" i="7"/>
  <c r="K164" i="7"/>
  <c r="K165" i="7"/>
  <c r="K159" i="7"/>
  <c r="B7" i="3"/>
  <c r="C7" i="2"/>
  <c r="L8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5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156" i="7"/>
  <c r="K155" i="7"/>
  <c r="I156" i="7"/>
  <c r="I155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5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5" i="7"/>
  <c r="K5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24" i="7"/>
  <c r="L21" i="7"/>
  <c r="M96" i="7"/>
  <c r="P96" i="7"/>
  <c r="N96" i="7"/>
  <c r="J111" i="7"/>
  <c r="O96" i="7"/>
  <c r="L102" i="7"/>
  <c r="P104" i="7"/>
  <c r="N104" i="7"/>
  <c r="O104" i="7"/>
  <c r="L104" i="7"/>
  <c r="P105" i="7"/>
  <c r="N105" i="7"/>
  <c r="O105" i="7"/>
  <c r="L105" i="7"/>
  <c r="P106" i="7"/>
  <c r="N106" i="7"/>
  <c r="O106" i="7"/>
  <c r="L106" i="7"/>
  <c r="P107" i="7"/>
  <c r="N107" i="7"/>
  <c r="O107" i="7"/>
  <c r="L107" i="7"/>
  <c r="L108" i="7"/>
  <c r="L110" i="7"/>
  <c r="L118" i="7"/>
  <c r="L145" i="7"/>
  <c r="L151" i="7"/>
  <c r="M166" i="7"/>
  <c r="L166" i="7"/>
  <c r="B8" i="3" l="1"/>
  <c r="C8" i="2"/>
  <c r="K103" i="7"/>
  <c r="K108" i="7"/>
  <c r="K110" i="7"/>
  <c r="K102" i="7"/>
  <c r="K91" i="7"/>
  <c r="K92" i="7"/>
  <c r="K93" i="7"/>
  <c r="K94" i="7"/>
  <c r="K95" i="7"/>
  <c r="K97" i="7"/>
  <c r="K98" i="7"/>
  <c r="K90" i="7"/>
  <c r="K109" i="7"/>
  <c r="K99" i="7"/>
  <c r="K105" i="7"/>
  <c r="K104" i="7"/>
  <c r="K106" i="7"/>
  <c r="K96" i="7"/>
  <c r="K107" i="7"/>
  <c r="I103" i="7"/>
  <c r="I104" i="7"/>
  <c r="I105" i="7"/>
  <c r="I106" i="7"/>
  <c r="I107" i="7"/>
  <c r="I108" i="7"/>
  <c r="I109" i="7"/>
  <c r="I110" i="7"/>
  <c r="I102" i="7"/>
  <c r="I91" i="7"/>
  <c r="I92" i="7"/>
  <c r="I93" i="7"/>
  <c r="I94" i="7"/>
  <c r="I95" i="7"/>
  <c r="I96" i="7"/>
  <c r="I97" i="7"/>
  <c r="I98" i="7"/>
  <c r="I99" i="7"/>
  <c r="I90" i="7"/>
  <c r="L111" i="7"/>
  <c r="J167" i="7"/>
  <c r="K166" i="7" s="1"/>
  <c r="H167" i="7"/>
  <c r="I111" i="7" s="1"/>
  <c r="I86" i="7" l="1"/>
  <c r="I151" i="7"/>
  <c r="I145" i="7"/>
  <c r="I118" i="7"/>
  <c r="I166" i="7"/>
  <c r="K21" i="7"/>
  <c r="K151" i="7"/>
  <c r="K145" i="7"/>
  <c r="K118" i="7"/>
  <c r="K111" i="7"/>
  <c r="K86" i="7"/>
  <c r="K53" i="7"/>
  <c r="I21" i="7"/>
  <c r="I53" i="7"/>
</calcChain>
</file>

<file path=xl/sharedStrings.xml><?xml version="1.0" encoding="utf-8"?>
<sst xmlns="http://schemas.openxmlformats.org/spreadsheetml/2006/main" count="354" uniqueCount="238">
  <si>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</si>
  <si>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</si>
  <si>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</si>
  <si>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</si>
  <si>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</si>
  <si>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</si>
  <si>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</si>
  <si>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</si>
  <si>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</si>
  <si>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UNIT HOLDERS</t>
  </si>
  <si>
    <t>FUND</t>
  </si>
  <si>
    <t>FUND MANAGER</t>
  </si>
  <si>
    <t>TOTAL INCOME (N)</t>
  </si>
  <si>
    <t>TOTAL EXPENSES (N)</t>
  </si>
  <si>
    <t>% ON TOTAL</t>
  </si>
  <si>
    <t>% CHANGE IN NAV</t>
  </si>
  <si>
    <t>BID PRICE (N)</t>
  </si>
  <si>
    <t>OFFER PRICE (N)</t>
  </si>
  <si>
    <t>NUMBER OF UNIT HOLDERS</t>
  </si>
  <si>
    <t>OPENING NUMBER OF UNITS</t>
  </si>
  <si>
    <t>CLOSING NUMBER OF UNITS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</si>
  <si>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</si>
  <si>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</si>
  <si>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</si>
  <si>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</si>
  <si>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</si>
  <si>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</si>
  <si>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</si>
  <si>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</si>
  <si>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</si>
  <si>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</si>
  <si>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</si>
  <si>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</si>
  <si>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</si>
  <si>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</si>
  <si>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</si>
  <si>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</si>
  <si>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</si>
  <si>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</si>
  <si>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</si>
  <si>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</si>
  <si>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</si>
  <si>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</si>
  <si>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</si>
  <si>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</si>
  <si>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</si>
  <si>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</si>
  <si>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</si>
  <si>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</si>
  <si>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</si>
  <si>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</si>
  <si>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</si>
  <si>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</si>
  <si>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</si>
  <si>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</si>
  <si>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</si>
  <si>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</si>
  <si>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</si>
  <si>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</si>
  <si>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</si>
  <si>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</si>
  <si>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</si>
  <si>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</si>
  <si>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</si>
  <si>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</si>
  <si>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</si>
  <si>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</si>
  <si>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</si>
  <si>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</si>
  <si>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</si>
  <si>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</si>
  <si>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</si>
  <si>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</si>
  <si>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</si>
  <si>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</si>
  <si>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</si>
  <si>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 xml:space="preserve">Greenwich Asst Management Ltd 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</si>
  <si>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</si>
  <si>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</si>
  <si>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</si>
  <si>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</si>
  <si>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</si>
  <si>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</si>
  <si>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</si>
  <si>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</si>
  <si>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</si>
  <si>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</si>
  <si>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</si>
  <si>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</si>
  <si>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</si>
  <si>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</si>
  <si>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</si>
  <si>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</si>
  <si>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</si>
  <si>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</si>
  <si>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</si>
  <si>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</si>
  <si>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</si>
  <si>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</si>
  <si>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</si>
  <si>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</si>
  <si>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</si>
  <si>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</si>
  <si>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</si>
  <si>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</si>
  <si>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</si>
  <si>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</si>
  <si>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</si>
  <si>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</si>
  <si>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</si>
  <si>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</si>
  <si>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</si>
  <si>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</si>
  <si>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</si>
  <si>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</si>
  <si>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</si>
  <si>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</si>
  <si>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</si>
  <si>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</si>
  <si>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</si>
  <si>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</si>
  <si>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</si>
  <si>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</si>
  <si>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</si>
  <si>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</si>
  <si>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</si>
  <si>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</si>
  <si>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</si>
  <si>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</si>
  <si>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</si>
  <si>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</si>
  <si>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</si>
  <si>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</si>
  <si>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</si>
  <si>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</si>
  <si>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</si>
  <si>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</si>
  <si>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</si>
  <si>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</si>
  <si>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</si>
  <si>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</si>
  <si>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</si>
  <si>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</si>
  <si>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</si>
  <si>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</si>
  <si>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</si>
  <si>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</si>
  <si>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</si>
  <si>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</si>
  <si>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</si>
  <si>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</si>
  <si>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</si>
  <si>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</si>
  <si>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</si>
  <si>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</si>
  <si>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</si>
  <si>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</si>
  <si>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</si>
  <si>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</si>
  <si>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</si>
  <si>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</si>
  <si>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</si>
  <si>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</si>
  <si>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</si>
  <si>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</si>
  <si>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FBN Balanced Fund</t>
  </si>
  <si>
    <t>GDL Canary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</si>
  <si>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</si>
  <si>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</si>
  <si>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</si>
  <si>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</si>
  <si>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</si>
  <si>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</si>
  <si>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</si>
  <si>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</si>
  <si>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</si>
  <si>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</si>
  <si>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</si>
  <si>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</si>
  <si>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</si>
  <si>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</si>
  <si>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</si>
  <si>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</si>
  <si>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</si>
  <si>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</si>
  <si>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</si>
  <si>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</si>
  <si>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</si>
  <si>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</si>
  <si>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</si>
  <si>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</si>
  <si>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</si>
  <si>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</si>
  <si>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</si>
  <si>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S/N</t>
  </si>
  <si>
    <t>Note:</t>
  </si>
  <si>
    <t>Emerging Africa Balanced-Diversity Fund</t>
  </si>
  <si>
    <t>TOTAL VALUE OF INVESTMENT (N)</t>
  </si>
  <si>
    <t>NET INCOME/LOSS (N)</t>
  </si>
  <si>
    <t xml:space="preserve">NET ASSET VALUE (N) </t>
  </si>
  <si>
    <t>EXPENSE RATIO</t>
  </si>
  <si>
    <t>RETURN ON EQUITY (ROE)</t>
  </si>
  <si>
    <t>NET ASSET PER UNIT</t>
  </si>
  <si>
    <t>EARNINGS PER UNIT (EPU)</t>
  </si>
  <si>
    <t>Investment One Funds Management Limited</t>
  </si>
  <si>
    <t>Stanbic IBTC Money Market Fund**</t>
  </si>
  <si>
    <t>CEAT Fixed Income Fund(Frml BGL Sapphire)</t>
  </si>
  <si>
    <t>35,088,102 16</t>
  </si>
  <si>
    <t>17,136,447.43</t>
  </si>
  <si>
    <t>NET ASSET VALUE (N) PREVIOUS - JUNE</t>
  </si>
  <si>
    <t>MONTHLY UPDATE ON REGISTERED MUTUAL FUNDS AS AT 31ST JULY, 2023</t>
  </si>
  <si>
    <t>Chapel Hill Denham Money Market Fund</t>
  </si>
  <si>
    <t>Norrenberger Investment and Capital Mgt Limited</t>
  </si>
  <si>
    <t>Greenwich Plus Money Market Fund</t>
  </si>
  <si>
    <t>Greenwich Balanced Fund</t>
  </si>
  <si>
    <t>Guaranty Trust Money Market Fund</t>
  </si>
  <si>
    <t>Guaranty Trust Fund Managers Limited</t>
  </si>
  <si>
    <t>Guaranty Trust Balanced Fund</t>
  </si>
  <si>
    <t>Guaranty Trust Equity Income Fund</t>
  </si>
  <si>
    <t>Norrenberger Dollar Fund</t>
  </si>
  <si>
    <t xml:space="preserve">United Capital Global Fixed Income Fund </t>
  </si>
  <si>
    <t>Cowry Equity Fund</t>
  </si>
  <si>
    <t>Cowry Fixed Income Fund</t>
  </si>
  <si>
    <t>BOND/FIXED INCOME FUND</t>
  </si>
  <si>
    <t>Cowry Balanced Fund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</si>
  <si>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July, 2023 = N758.022</t>
    </r>
  </si>
  <si>
    <t>523,392,877.72</t>
  </si>
  <si>
    <t>5,510,102,445.48</t>
  </si>
  <si>
    <t>721,608,808.95</t>
  </si>
  <si>
    <t xml:space="preserve">Sub Total </t>
  </si>
  <si>
    <t>FBN Bond Fund</t>
  </si>
  <si>
    <t>21,899,725,261.59</t>
  </si>
  <si>
    <t>12,598,529,421.76</t>
  </si>
  <si>
    <t>6,195,349,472.09</t>
  </si>
  <si>
    <t>678,430,711.42</t>
  </si>
  <si>
    <t>June 2023</t>
  </si>
  <si>
    <t>July 2023</t>
  </si>
  <si>
    <t>The chart above shows that the Money Market Fund has the highest share of the Aggregate Net Asset Value (NAV) at 44.53%, followed by Dollar Fund (Eurobonds and Fixed Income) with 29.34%, Bond/Fixed Income Fund at 16.83%, Real Estate Investment Trust at 4.88%.  Next is Balanced Fund at 1.64%, Shari'ah Compliant Fund at 1.44%,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</si>
</sst>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8"/>
      <color indexed="8"/>
      <name val="Century Gothic"/>
      <family val="2"/>
    </font>
    <font>
      <b/>
      <sz val="12"/>
      <color indexed="8"/>
      <name val="Calibri"/>
      <family val="2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b/>
      <sz val="32"/>
      <color indexed="9"/>
      <name val="Segoe UI Black"/>
      <family val="2"/>
    </font>
    <font>
      <sz val="10"/>
      <color rgb="FF000000"/>
      <name val="Arial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sz val="8"/>
      <color rgb="FFFF0000"/>
      <name val="Century Gothic"/>
      <family val="2"/>
    </font>
    <font>
      <sz val="8"/>
      <color rgb="FF000000"/>
      <name val="Century Gothic"/>
      <family val="2"/>
    </font>
    <font>
      <b/>
      <sz val="8"/>
      <color rgb="FFFF0000"/>
      <name val="Century Gothic"/>
      <family val="2"/>
    </font>
    <font>
      <b/>
      <sz val="8"/>
      <name val="Century Gothic"/>
      <family val="2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8"/>
      <color rgb="FF00B050"/>
      <name val="Century Gothic"/>
      <family val="2"/>
    </font>
    <font>
      <sz val="8"/>
      <color theme="1"/>
      <name val="Century Gothic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0"/>
      <color rgb="FFFF0000"/>
      <name val="Century Gothic"/>
      <family val="2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7" fillId="0" borderId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wrapText="1"/>
    </xf>
    <xf numFmtId="0" fontId="9" fillId="2" borderId="0" xfId="0" applyFont="1" applyFill="1"/>
    <xf numFmtId="0" fontId="0" fillId="2" borderId="0" xfId="0" applyFill="1"/>
    <xf numFmtId="164" fontId="0" fillId="2" borderId="0" xfId="1" applyFont="1" applyFill="1" applyBorder="1" applyAlignment="1"/>
    <xf numFmtId="0" fontId="10" fillId="2" borderId="0" xfId="0" applyFont="1" applyFill="1"/>
    <xf numFmtId="167" fontId="11" fillId="2" borderId="0" xfId="0" applyNumberFormat="1" applyFont="1" applyFill="1"/>
    <xf numFmtId="168" fontId="11" fillId="2" borderId="0" xfId="0" applyNumberFormat="1" applyFont="1" applyFill="1"/>
    <xf numFmtId="0" fontId="15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164" fontId="17" fillId="2" borderId="0" xfId="1" applyFont="1" applyFill="1" applyBorder="1" applyAlignment="1">
      <alignment horizontal="right" vertical="top" wrapText="1"/>
    </xf>
    <xf numFmtId="0" fontId="19" fillId="0" borderId="2" xfId="0" applyFont="1" applyBorder="1" applyAlignment="1">
      <alignment horizontal="right"/>
    </xf>
    <xf numFmtId="16" fontId="19" fillId="2" borderId="2" xfId="0" quotePrefix="1" applyNumberFormat="1" applyFont="1" applyFill="1" applyBorder="1" applyAlignment="1">
      <alignment horizontal="right"/>
    </xf>
    <xf numFmtId="164" fontId="20" fillId="2" borderId="2" xfId="1" applyFont="1" applyFill="1" applyBorder="1" applyAlignment="1">
      <alignment horizontal="right" vertical="top" wrapText="1"/>
    </xf>
    <xf numFmtId="164" fontId="20" fillId="2" borderId="2" xfId="1" applyFont="1" applyFill="1" applyBorder="1"/>
    <xf numFmtId="4" fontId="20" fillId="2" borderId="2" xfId="0" applyNumberFormat="1" applyFont="1" applyFill="1" applyBorder="1"/>
    <xf numFmtId="4" fontId="20" fillId="2" borderId="2" xfId="0" applyNumberFormat="1" applyFont="1" applyFill="1" applyBorder="1" applyAlignment="1">
      <alignment horizontal="right"/>
    </xf>
    <xf numFmtId="167" fontId="21" fillId="2" borderId="2" xfId="0" applyNumberFormat="1" applyFont="1" applyFill="1" applyBorder="1"/>
    <xf numFmtId="0" fontId="16" fillId="0" borderId="1" xfId="0" applyFont="1" applyBorder="1" applyAlignment="1">
      <alignment horizontal="right"/>
    </xf>
    <xf numFmtId="164" fontId="17" fillId="2" borderId="2" xfId="1" applyFont="1" applyFill="1" applyBorder="1"/>
    <xf numFmtId="164" fontId="17" fillId="2" borderId="2" xfId="1" applyFont="1" applyFill="1" applyBorder="1" applyAlignment="1">
      <alignment horizontal="right" vertical="top" wrapText="1"/>
    </xf>
    <xf numFmtId="43" fontId="3" fillId="0" borderId="0" xfId="6" applyFont="1"/>
    <xf numFmtId="4" fontId="17" fillId="2" borderId="2" xfId="0" applyNumberFormat="1" applyFont="1" applyFill="1" applyBorder="1"/>
    <xf numFmtId="0" fontId="12" fillId="0" borderId="0" xfId="0" applyFont="1" applyAlignment="1">
      <alignment horizontal="right"/>
    </xf>
    <xf numFmtId="165" fontId="3" fillId="0" borderId="0" xfId="6" applyNumberFormat="1" applyFont="1"/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/>
    <xf numFmtId="0" fontId="23" fillId="0" borderId="0" xfId="0" applyFont="1"/>
    <xf numFmtId="49" fontId="24" fillId="2" borderId="2" xfId="0" applyNumberFormat="1" applyFont="1" applyFill="1" applyBorder="1"/>
    <xf numFmtId="49" fontId="13" fillId="4" borderId="3" xfId="0" applyNumberFormat="1" applyFont="1" applyFill="1" applyBorder="1" applyAlignment="1">
      <alignment horizontal="center" vertical="top" wrapText="1"/>
    </xf>
    <xf numFmtId="164" fontId="13" fillId="4" borderId="3" xfId="1" applyFont="1" applyFill="1" applyBorder="1" applyAlignment="1">
      <alignment horizontal="center" vertical="top" wrapText="1"/>
    </xf>
    <xf numFmtId="166" fontId="24" fillId="2" borderId="3" xfId="0" applyNumberFormat="1" applyFont="1" applyFill="1" applyBorder="1" applyAlignment="1">
      <alignment horizontal="center" wrapText="1"/>
    </xf>
    <xf numFmtId="49" fontId="24" fillId="2" borderId="3" xfId="0" applyNumberFormat="1" applyFont="1" applyFill="1" applyBorder="1" applyAlignment="1">
      <alignment wrapText="1"/>
    </xf>
    <xf numFmtId="4" fontId="25" fillId="2" borderId="3" xfId="0" applyNumberFormat="1" applyFont="1" applyFill="1" applyBorder="1"/>
    <xf numFmtId="164" fontId="25" fillId="2" borderId="3" xfId="1" applyFont="1" applyFill="1" applyBorder="1" applyAlignment="1"/>
    <xf numFmtId="167" fontId="25" fillId="2" borderId="3" xfId="0" applyNumberFormat="1" applyFont="1" applyFill="1" applyBorder="1" applyAlignment="1">
      <alignment horizontal="left"/>
    </xf>
    <xf numFmtId="10" fontId="25" fillId="2" borderId="3" xfId="0" applyNumberFormat="1" applyFont="1" applyFill="1" applyBorder="1"/>
    <xf numFmtId="167" fontId="25" fillId="2" borderId="3" xfId="0" applyNumberFormat="1" applyFont="1" applyFill="1" applyBorder="1"/>
    <xf numFmtId="49" fontId="24" fillId="2" borderId="3" xfId="0" applyNumberFormat="1" applyFont="1" applyFill="1" applyBorder="1"/>
    <xf numFmtId="4" fontId="27" fillId="2" borderId="3" xfId="0" applyNumberFormat="1" applyFont="1" applyFill="1" applyBorder="1"/>
    <xf numFmtId="3" fontId="27" fillId="2" borderId="3" xfId="0" applyNumberFormat="1" applyFont="1" applyFill="1" applyBorder="1"/>
    <xf numFmtId="49" fontId="24" fillId="2" borderId="3" xfId="0" applyNumberFormat="1" applyFont="1" applyFill="1" applyBorder="1" applyAlignment="1">
      <alignment vertical="center" wrapText="1"/>
    </xf>
    <xf numFmtId="4" fontId="24" fillId="2" borderId="3" xfId="0" applyNumberFormat="1" applyFont="1" applyFill="1" applyBorder="1"/>
    <xf numFmtId="4" fontId="27" fillId="2" borderId="3" xfId="0" applyNumberFormat="1" applyFont="1" applyFill="1" applyBorder="1" applyAlignment="1">
      <alignment horizontal="right" vertical="center"/>
    </xf>
    <xf numFmtId="4" fontId="27" fillId="2" borderId="3" xfId="0" applyNumberFormat="1" applyFont="1" applyFill="1" applyBorder="1" applyAlignment="1">
      <alignment vertical="center"/>
    </xf>
    <xf numFmtId="167" fontId="24" fillId="2" borderId="3" xfId="0" applyNumberFormat="1" applyFont="1" applyFill="1" applyBorder="1"/>
    <xf numFmtId="4" fontId="24" fillId="2" borderId="3" xfId="0" applyNumberFormat="1" applyFont="1" applyFill="1" applyBorder="1" applyAlignment="1">
      <alignment wrapText="1"/>
    </xf>
    <xf numFmtId="0" fontId="24" fillId="2" borderId="3" xfId="0" applyFont="1" applyFill="1" applyBorder="1" applyAlignment="1">
      <alignment wrapText="1"/>
    </xf>
    <xf numFmtId="3" fontId="27" fillId="2" borderId="3" xfId="0" applyNumberFormat="1" applyFont="1" applyFill="1" applyBorder="1" applyAlignment="1">
      <alignment vertical="center"/>
    </xf>
    <xf numFmtId="167" fontId="25" fillId="2" borderId="3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9" fontId="24" fillId="2" borderId="3" xfId="0" applyNumberFormat="1" applyFont="1" applyFill="1" applyBorder="1" applyAlignment="1">
      <alignment vertical="top" wrapText="1"/>
    </xf>
    <xf numFmtId="4" fontId="25" fillId="2" borderId="3" xfId="0" applyNumberFormat="1" applyFont="1" applyFill="1" applyBorder="1" applyAlignment="1">
      <alignment vertical="center"/>
    </xf>
    <xf numFmtId="3" fontId="25" fillId="2" borderId="3" xfId="0" applyNumberFormat="1" applyFont="1" applyFill="1" applyBorder="1"/>
    <xf numFmtId="166" fontId="24" fillId="2" borderId="3" xfId="0" applyNumberFormat="1" applyFont="1" applyFill="1" applyBorder="1" applyAlignment="1">
      <alignment horizontal="right" wrapText="1"/>
    </xf>
    <xf numFmtId="164" fontId="24" fillId="2" borderId="3" xfId="1" applyFont="1" applyFill="1" applyBorder="1" applyAlignment="1"/>
    <xf numFmtId="164" fontId="25" fillId="2" borderId="3" xfId="1" applyFont="1" applyFill="1" applyBorder="1" applyAlignment="1">
      <alignment horizontal="left"/>
    </xf>
    <xf numFmtId="164" fontId="8" fillId="2" borderId="3" xfId="1" applyFont="1" applyFill="1" applyBorder="1" applyAlignment="1"/>
    <xf numFmtId="164" fontId="25" fillId="2" borderId="3" xfId="1" applyFont="1" applyFill="1" applyBorder="1" applyAlignment="1">
      <alignment horizontal="right"/>
    </xf>
    <xf numFmtId="49" fontId="25" fillId="2" borderId="3" xfId="0" applyNumberFormat="1" applyFont="1" applyFill="1" applyBorder="1" applyAlignment="1">
      <alignment horizontal="right"/>
    </xf>
    <xf numFmtId="164" fontId="25" fillId="2" borderId="3" xfId="1" applyFont="1" applyFill="1" applyBorder="1"/>
    <xf numFmtId="0" fontId="24" fillId="2" borderId="3" xfId="0" applyFont="1" applyFill="1" applyBorder="1"/>
    <xf numFmtId="165" fontId="24" fillId="2" borderId="3" xfId="0" applyNumberFormat="1" applyFont="1" applyFill="1" applyBorder="1"/>
    <xf numFmtId="0" fontId="27" fillId="2" borderId="3" xfId="0" applyFont="1" applyFill="1" applyBorder="1" applyAlignment="1">
      <alignment horizontal="right"/>
    </xf>
    <xf numFmtId="167" fontId="25" fillId="2" borderId="2" xfId="0" applyNumberFormat="1" applyFont="1" applyFill="1" applyBorder="1" applyAlignment="1">
      <alignment horizontal="left"/>
    </xf>
    <xf numFmtId="167" fontId="25" fillId="2" borderId="2" xfId="0" applyNumberFormat="1" applyFont="1" applyFill="1" applyBorder="1"/>
    <xf numFmtId="164" fontId="25" fillId="2" borderId="2" xfId="1" applyFont="1" applyFill="1" applyBorder="1" applyAlignment="1"/>
    <xf numFmtId="10" fontId="25" fillId="2" borderId="2" xfId="0" applyNumberFormat="1" applyFont="1" applyFill="1" applyBorder="1" applyAlignment="1">
      <alignment horizontal="center"/>
    </xf>
    <xf numFmtId="10" fontId="29" fillId="7" borderId="2" xfId="0" applyNumberFormat="1" applyFont="1" applyFill="1" applyBorder="1" applyAlignment="1">
      <alignment horizontal="center" vertical="center"/>
    </xf>
    <xf numFmtId="10" fontId="25" fillId="7" borderId="2" xfId="0" applyNumberFormat="1" applyFont="1" applyFill="1" applyBorder="1" applyAlignment="1">
      <alignment horizontal="center" vertical="center"/>
    </xf>
    <xf numFmtId="167" fontId="25" fillId="7" borderId="2" xfId="0" applyNumberFormat="1" applyFont="1" applyFill="1" applyBorder="1" applyAlignment="1">
      <alignment horizontal="right" vertical="center"/>
    </xf>
    <xf numFmtId="164" fontId="25" fillId="2" borderId="2" xfId="1" applyFont="1" applyFill="1" applyBorder="1"/>
    <xf numFmtId="4" fontId="25" fillId="2" borderId="2" xfId="0" applyNumberFormat="1" applyFont="1" applyFill="1" applyBorder="1"/>
    <xf numFmtId="10" fontId="25" fillId="2" borderId="3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10" fontId="29" fillId="7" borderId="3" xfId="0" applyNumberFormat="1" applyFont="1" applyFill="1" applyBorder="1" applyAlignment="1">
      <alignment horizontal="center" vertical="center"/>
    </xf>
    <xf numFmtId="10" fontId="24" fillId="7" borderId="3" xfId="0" applyNumberFormat="1" applyFont="1" applyFill="1" applyBorder="1" applyAlignment="1">
      <alignment horizontal="center" vertical="center"/>
    </xf>
    <xf numFmtId="167" fontId="25" fillId="7" borderId="3" xfId="0" applyNumberFormat="1" applyFont="1" applyFill="1" applyBorder="1" applyAlignment="1">
      <alignment horizontal="right" vertical="center"/>
    </xf>
    <xf numFmtId="167" fontId="8" fillId="7" borderId="3" xfId="0" applyNumberFormat="1" applyFont="1" applyFill="1" applyBorder="1" applyAlignment="1">
      <alignment horizontal="right" vertical="center"/>
    </xf>
    <xf numFmtId="167" fontId="24" fillId="7" borderId="3" xfId="0" applyNumberFormat="1" applyFont="1" applyFill="1" applyBorder="1" applyAlignment="1">
      <alignment horizontal="right" vertical="center"/>
    </xf>
    <xf numFmtId="10" fontId="24" fillId="7" borderId="2" xfId="0" applyNumberFormat="1" applyFont="1" applyFill="1" applyBorder="1" applyAlignment="1">
      <alignment horizontal="center" vertical="center"/>
    </xf>
    <xf numFmtId="167" fontId="24" fillId="7" borderId="2" xfId="0" applyNumberFormat="1" applyFont="1" applyFill="1" applyBorder="1" applyAlignment="1">
      <alignment horizontal="center" vertical="center"/>
    </xf>
    <xf numFmtId="167" fontId="29" fillId="7" borderId="3" xfId="0" applyNumberFormat="1" applyFont="1" applyFill="1" applyBorder="1" applyAlignment="1">
      <alignment horizontal="right" vertical="center"/>
    </xf>
    <xf numFmtId="10" fontId="24" fillId="2" borderId="3" xfId="0" applyNumberFormat="1" applyFont="1" applyFill="1" applyBorder="1" applyAlignment="1">
      <alignment horizontal="center"/>
    </xf>
    <xf numFmtId="167" fontId="24" fillId="7" borderId="3" xfId="0" applyNumberFormat="1" applyFont="1" applyFill="1" applyBorder="1" applyAlignment="1">
      <alignment horizontal="center" vertical="center"/>
    </xf>
    <xf numFmtId="167" fontId="29" fillId="7" borderId="3" xfId="0" applyNumberFormat="1" applyFont="1" applyFill="1" applyBorder="1" applyAlignment="1">
      <alignment horizontal="center" vertical="center"/>
    </xf>
    <xf numFmtId="10" fontId="29" fillId="2" borderId="3" xfId="0" applyNumberFormat="1" applyFont="1" applyFill="1" applyBorder="1" applyAlignment="1">
      <alignment horizontal="center"/>
    </xf>
    <xf numFmtId="10" fontId="25" fillId="7" borderId="3" xfId="0" applyNumberFormat="1" applyFont="1" applyFill="1" applyBorder="1" applyAlignment="1">
      <alignment horizontal="center" vertical="center"/>
    </xf>
    <xf numFmtId="10" fontId="8" fillId="7" borderId="3" xfId="0" applyNumberFormat="1" applyFont="1" applyFill="1" applyBorder="1" applyAlignment="1">
      <alignment horizontal="center" vertical="center"/>
    </xf>
    <xf numFmtId="4" fontId="24" fillId="2" borderId="3" xfId="0" applyNumberFormat="1" applyFont="1" applyFill="1" applyBorder="1" applyAlignment="1">
      <alignment horizontal="center"/>
    </xf>
    <xf numFmtId="4" fontId="24" fillId="2" borderId="3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left"/>
    </xf>
    <xf numFmtId="49" fontId="24" fillId="2" borderId="3" xfId="0" applyNumberFormat="1" applyFont="1" applyFill="1" applyBorder="1" applyAlignment="1">
      <alignment horizontal="left" wrapText="1"/>
    </xf>
    <xf numFmtId="49" fontId="24" fillId="2" borderId="2" xfId="0" applyNumberFormat="1" applyFont="1" applyFill="1" applyBorder="1" applyAlignment="1">
      <alignment wrapText="1"/>
    </xf>
    <xf numFmtId="0" fontId="30" fillId="5" borderId="0" xfId="0" applyFont="1" applyFill="1" applyAlignment="1">
      <alignment horizontal="right" vertical="center"/>
    </xf>
    <xf numFmtId="0" fontId="30" fillId="5" borderId="0" xfId="0" applyFont="1" applyFill="1" applyAlignment="1">
      <alignment horizontal="left"/>
    </xf>
    <xf numFmtId="10" fontId="32" fillId="2" borderId="3" xfId="0" applyNumberFormat="1" applyFont="1" applyFill="1" applyBorder="1" applyAlignment="1">
      <alignment horizontal="center"/>
    </xf>
    <xf numFmtId="10" fontId="32" fillId="2" borderId="3" xfId="0" applyNumberFormat="1" applyFont="1" applyFill="1" applyBorder="1"/>
    <xf numFmtId="43" fontId="4" fillId="0" borderId="0" xfId="6" applyFont="1"/>
    <xf numFmtId="4" fontId="35" fillId="2" borderId="2" xfId="0" applyNumberFormat="1" applyFont="1" applyFill="1" applyBorder="1"/>
    <xf numFmtId="4" fontId="35" fillId="2" borderId="2" xfId="0" applyNumberFormat="1" applyFont="1" applyFill="1" applyBorder="1" applyAlignment="1">
      <alignment horizontal="right"/>
    </xf>
    <xf numFmtId="167" fontId="24" fillId="2" borderId="2" xfId="0" applyNumberFormat="1" applyFont="1" applyFill="1" applyBorder="1"/>
    <xf numFmtId="0" fontId="36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4" fontId="36" fillId="2" borderId="1" xfId="0" applyNumberFormat="1" applyFont="1" applyFill="1" applyBorder="1" applyAlignment="1">
      <alignment horizontal="right"/>
    </xf>
    <xf numFmtId="4" fontId="36" fillId="2" borderId="0" xfId="0" applyNumberFormat="1" applyFont="1" applyFill="1" applyAlignment="1">
      <alignment horizontal="right"/>
    </xf>
    <xf numFmtId="0" fontId="37" fillId="0" borderId="0" xfId="0" applyFont="1" applyAlignment="1">
      <alignment horizontal="right"/>
    </xf>
    <xf numFmtId="16" fontId="34" fillId="2" borderId="0" xfId="0" applyNumberFormat="1" applyFont="1" applyFill="1"/>
    <xf numFmtId="164" fontId="35" fillId="2" borderId="0" xfId="1" applyFont="1" applyFill="1" applyBorder="1"/>
    <xf numFmtId="164" fontId="4" fillId="0" borderId="0" xfId="1" applyFont="1" applyBorder="1"/>
    <xf numFmtId="4" fontId="36" fillId="2" borderId="0" xfId="0" applyNumberFormat="1" applyFont="1" applyFill="1"/>
    <xf numFmtId="167" fontId="24" fillId="2" borderId="0" xfId="0" applyNumberFormat="1" applyFont="1" applyFill="1"/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/>
    <xf numFmtId="10" fontId="14" fillId="4" borderId="3" xfId="0" applyNumberFormat="1" applyFont="1" applyFill="1" applyBorder="1"/>
    <xf numFmtId="10" fontId="40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right" vertical="center"/>
    </xf>
    <xf numFmtId="167" fontId="14" fillId="4" borderId="3" xfId="0" applyNumberFormat="1" applyFont="1" applyFill="1" applyBorder="1" applyAlignment="1">
      <alignment horizontal="right" vertical="center"/>
    </xf>
    <xf numFmtId="164" fontId="27" fillId="2" borderId="3" xfId="1" applyFont="1" applyFill="1" applyBorder="1"/>
    <xf numFmtId="164" fontId="24" fillId="2" borderId="3" xfId="1" applyFont="1" applyFill="1" applyBorder="1"/>
    <xf numFmtId="164" fontId="27" fillId="2" borderId="3" xfId="1" applyFont="1" applyFill="1" applyBorder="1" applyAlignment="1">
      <alignment vertical="center"/>
    </xf>
    <xf numFmtId="164" fontId="8" fillId="2" borderId="3" xfId="1" applyFont="1" applyFill="1" applyBorder="1"/>
    <xf numFmtId="164" fontId="25" fillId="2" borderId="3" xfId="1" applyFont="1" applyFill="1" applyBorder="1" applyAlignment="1">
      <alignment vertical="center"/>
    </xf>
    <xf numFmtId="164" fontId="25" fillId="2" borderId="4" xfId="1" applyFont="1" applyFill="1" applyBorder="1"/>
    <xf numFmtId="164" fontId="8" fillId="2" borderId="3" xfId="1" applyFont="1" applyFill="1" applyBorder="1" applyAlignment="1">
      <alignment wrapText="1"/>
    </xf>
    <xf numFmtId="164" fontId="24" fillId="2" borderId="3" xfId="1" applyFont="1" applyFill="1" applyBorder="1" applyAlignment="1">
      <alignment horizontal="center"/>
    </xf>
    <xf numFmtId="164" fontId="24" fillId="2" borderId="3" xfId="1" applyFont="1" applyFill="1" applyBorder="1" applyAlignment="1">
      <alignment horizontal="center" vertical="center" wrapText="1"/>
    </xf>
    <xf numFmtId="164" fontId="24" fillId="2" borderId="3" xfId="1" applyFont="1" applyFill="1" applyBorder="1" applyAlignment="1">
      <alignment horizontal="center" vertical="center"/>
    </xf>
    <xf numFmtId="164" fontId="29" fillId="2" borderId="3" xfId="1" applyFont="1" applyFill="1" applyBorder="1" applyAlignment="1">
      <alignment horizontal="center"/>
    </xf>
    <xf numFmtId="164" fontId="29" fillId="2" borderId="3" xfId="1" applyFont="1" applyFill="1" applyBorder="1" applyAlignment="1">
      <alignment horizontal="center" wrapText="1"/>
    </xf>
    <xf numFmtId="164" fontId="14" fillId="4" borderId="3" xfId="1" applyFont="1" applyFill="1" applyBorder="1"/>
    <xf numFmtId="164" fontId="33" fillId="0" borderId="3" xfId="1" applyFont="1" applyBorder="1"/>
    <xf numFmtId="164" fontId="27" fillId="0" borderId="3" xfId="1" applyFont="1" applyBorder="1"/>
    <xf numFmtId="164" fontId="24" fillId="2" borderId="3" xfId="1" applyFont="1" applyFill="1" applyBorder="1" applyAlignment="1">
      <alignment horizontal="right"/>
    </xf>
    <xf numFmtId="164" fontId="27" fillId="8" borderId="3" xfId="1" applyFont="1" applyFill="1" applyBorder="1" applyAlignment="1">
      <alignment horizontal="left"/>
    </xf>
    <xf numFmtId="164" fontId="8" fillId="2" borderId="3" xfId="1" applyFont="1" applyFill="1" applyBorder="1" applyAlignment="1">
      <alignment horizontal="left"/>
    </xf>
    <xf numFmtId="164" fontId="27" fillId="8" borderId="3" xfId="1" applyFont="1" applyFill="1" applyBorder="1"/>
    <xf numFmtId="164" fontId="27" fillId="0" borderId="3" xfId="1" applyFont="1" applyBorder="1" applyAlignment="1">
      <alignment horizontal="right"/>
    </xf>
    <xf numFmtId="164" fontId="27" fillId="0" borderId="3" xfId="1" applyFont="1" applyBorder="1" applyAlignment="1">
      <alignment vertical="center"/>
    </xf>
    <xf numFmtId="0" fontId="15" fillId="0" borderId="0" xfId="0" applyFont="1" applyAlignment="1">
      <alignment horizontal="right"/>
    </xf>
    <xf numFmtId="16" fontId="15" fillId="2" borderId="0" xfId="0" quotePrefix="1" applyNumberFormat="1" applyFont="1" applyFill="1" applyAlignment="1">
      <alignment horizontal="right" wrapText="1"/>
    </xf>
    <xf numFmtId="0" fontId="15" fillId="0" borderId="0" xfId="0" applyFont="1" applyAlignment="1">
      <alignment horizontal="right" wrapText="1"/>
    </xf>
    <xf numFmtId="43" fontId="3" fillId="0" borderId="0" xfId="6" applyFont="1" applyBorder="1"/>
    <xf numFmtId="43" fontId="41" fillId="0" borderId="0" xfId="6" applyFont="1" applyBorder="1"/>
    <xf numFmtId="49" fontId="29" fillId="2" borderId="5" xfId="0" applyNumberFormat="1" applyFont="1" applyFill="1" applyBorder="1" applyAlignment="1">
      <alignment horizontal="right" wrapText="1"/>
    </xf>
    <xf numFmtId="49" fontId="29" fillId="2" borderId="6" xfId="0" applyNumberFormat="1" applyFont="1" applyFill="1" applyBorder="1" applyAlignment="1">
      <alignment horizontal="right" wrapText="1"/>
    </xf>
    <xf numFmtId="49" fontId="29" fillId="2" borderId="7" xfId="0" applyNumberFormat="1" applyFont="1" applyFill="1" applyBorder="1" applyAlignment="1">
      <alignment horizontal="right" wrapText="1"/>
    </xf>
    <xf numFmtId="166" fontId="26" fillId="2" borderId="5" xfId="0" applyNumberFormat="1" applyFont="1" applyFill="1" applyBorder="1" applyAlignment="1">
      <alignment horizontal="center" wrapText="1"/>
    </xf>
    <xf numFmtId="166" fontId="26" fillId="2" borderId="6" xfId="0" applyNumberFormat="1" applyFont="1" applyFill="1" applyBorder="1" applyAlignment="1">
      <alignment horizontal="center" wrapText="1"/>
    </xf>
    <xf numFmtId="166" fontId="26" fillId="2" borderId="7" xfId="0" applyNumberFormat="1" applyFont="1" applyFill="1" applyBorder="1" applyAlignment="1">
      <alignment horizontal="center" wrapText="1"/>
    </xf>
    <xf numFmtId="166" fontId="28" fillId="2" borderId="5" xfId="0" applyNumberFormat="1" applyFont="1" applyFill="1" applyBorder="1" applyAlignment="1">
      <alignment horizontal="center" wrapText="1"/>
    </xf>
    <xf numFmtId="166" fontId="28" fillId="2" borderId="6" xfId="0" applyNumberFormat="1" applyFont="1" applyFill="1" applyBorder="1" applyAlignment="1">
      <alignment horizontal="center" wrapText="1"/>
    </xf>
    <xf numFmtId="166" fontId="28" fillId="2" borderId="7" xfId="0" applyNumberFormat="1" applyFont="1" applyFill="1" applyBorder="1" applyAlignment="1">
      <alignment horizontal="center" wrapText="1"/>
    </xf>
    <xf numFmtId="49" fontId="14" fillId="4" borderId="5" xfId="0" applyNumberFormat="1" applyFont="1" applyFill="1" applyBorder="1" applyAlignment="1">
      <alignment horizontal="right"/>
    </xf>
    <xf numFmtId="49" fontId="14" fillId="4" borderId="6" xfId="0" applyNumberFormat="1" applyFont="1" applyFill="1" applyBorder="1" applyAlignment="1">
      <alignment horizontal="right"/>
    </xf>
    <xf numFmtId="49" fontId="14" fillId="4" borderId="7" xfId="0" applyNumberFormat="1" applyFont="1" applyFill="1" applyBorder="1" applyAlignment="1">
      <alignment horizontal="right"/>
    </xf>
    <xf numFmtId="49" fontId="38" fillId="2" borderId="3" xfId="0" applyNumberFormat="1" applyFont="1" applyFill="1" applyBorder="1" applyAlignment="1">
      <alignment horizontal="center" vertical="top" wrapText="1"/>
    </xf>
    <xf numFmtId="0" fontId="39" fillId="2" borderId="3" xfId="0" applyFont="1" applyFill="1" applyBorder="1" applyAlignment="1">
      <alignment horizontal="center" wrapText="1"/>
    </xf>
    <xf numFmtId="166" fontId="24" fillId="2" borderId="5" xfId="0" applyNumberFormat="1" applyFont="1" applyFill="1" applyBorder="1" applyAlignment="1">
      <alignment horizontal="center" wrapText="1"/>
    </xf>
    <xf numFmtId="166" fontId="24" fillId="2" borderId="6" xfId="0" applyNumberFormat="1" applyFont="1" applyFill="1" applyBorder="1" applyAlignment="1">
      <alignment horizontal="center" wrapText="1"/>
    </xf>
    <xf numFmtId="166" fontId="24" fillId="2" borderId="7" xfId="0" applyNumberFormat="1" applyFont="1" applyFill="1" applyBorder="1" applyAlignment="1">
      <alignment horizontal="center" wrapText="1"/>
    </xf>
    <xf numFmtId="49" fontId="22" fillId="6" borderId="3" xfId="0" applyNumberFormat="1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top" wrapText="1"/>
    </xf>
    <xf numFmtId="49" fontId="14" fillId="2" borderId="3" xfId="0" applyNumberFormat="1" applyFont="1" applyFill="1" applyBorder="1" applyAlignment="1">
      <alignment horizontal="center" vertical="top" wrapText="1"/>
    </xf>
    <xf numFmtId="49" fontId="29" fillId="2" borderId="3" xfId="0" applyNumberFormat="1" applyFont="1" applyFill="1" applyBorder="1" applyAlignment="1">
      <alignment horizontal="center" vertical="top" wrapText="1"/>
    </xf>
    <xf numFmtId="166" fontId="29" fillId="2" borderId="5" xfId="0" applyNumberFormat="1" applyFont="1" applyFill="1" applyBorder="1" applyAlignment="1">
      <alignment horizontal="right"/>
    </xf>
    <xf numFmtId="166" fontId="29" fillId="2" borderId="6" xfId="0" applyNumberFormat="1" applyFont="1" applyFill="1" applyBorder="1" applyAlignment="1">
      <alignment horizontal="right"/>
    </xf>
    <xf numFmtId="166" fontId="29" fillId="2" borderId="7" xfId="0" applyNumberFormat="1" applyFont="1" applyFill="1" applyBorder="1" applyAlignment="1">
      <alignment horizontal="right"/>
    </xf>
    <xf numFmtId="49" fontId="28" fillId="2" borderId="5" xfId="0" applyNumberFormat="1" applyFont="1" applyFill="1" applyBorder="1" applyAlignment="1">
      <alignment horizontal="center" wrapText="1"/>
    </xf>
    <xf numFmtId="49" fontId="28" fillId="2" borderId="6" xfId="0" applyNumberFormat="1" applyFont="1" applyFill="1" applyBorder="1" applyAlignment="1">
      <alignment horizontal="center" wrapText="1"/>
    </xf>
    <xf numFmtId="49" fontId="28" fillId="2" borderId="7" xfId="0" applyNumberFormat="1" applyFont="1" applyFill="1" applyBorder="1" applyAlignment="1">
      <alignment horizontal="center" wrapText="1"/>
    </xf>
    <xf numFmtId="166" fontId="29" fillId="2" borderId="5" xfId="0" applyNumberFormat="1" applyFont="1" applyFill="1" applyBorder="1" applyAlignment="1">
      <alignment horizontal="center"/>
    </xf>
    <xf numFmtId="166" fontId="29" fillId="2" borderId="6" xfId="0" applyNumberFormat="1" applyFont="1" applyFill="1" applyBorder="1" applyAlignment="1">
      <alignment horizontal="center"/>
    </xf>
    <xf numFmtId="166" fontId="29" fillId="2" borderId="7" xfId="0" applyNumberFormat="1" applyFont="1" applyFill="1" applyBorder="1" applyAlignment="1">
      <alignment horizontal="center"/>
    </xf>
    <xf numFmtId="167" fontId="39" fillId="2" borderId="3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June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20.083601851879997</c:v>
                </c:pt>
                <c:pt idx="1">
                  <c:v>816.07201842012989</c:v>
                </c:pt>
                <c:pt idx="2">
                  <c:v>320.65438520590004</c:v>
                </c:pt>
                <c:pt idx="3">
                  <c:v>508.82282737584808</c:v>
                </c:pt>
                <c:pt idx="4">
                  <c:v>92.907293507540004</c:v>
                </c:pt>
                <c:pt idx="5">
                  <c:v>30.761614356480003</c:v>
                </c:pt>
                <c:pt idx="6">
                  <c:v>2.7995843278099999</c:v>
                </c:pt>
                <c:pt idx="7">
                  <c:v>25.98775500991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July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21.703801741949999</c:v>
                </c:pt>
                <c:pt idx="1">
                  <c:v>849.05272954500992</c:v>
                </c:pt>
                <c:pt idx="2">
                  <c:v>320.91073278797995</c:v>
                </c:pt>
                <c:pt idx="3">
                  <c:v>559.46903968236791</c:v>
                </c:pt>
                <c:pt idx="4">
                  <c:v>93.087466919259995</c:v>
                </c:pt>
                <c:pt idx="5">
                  <c:v>38.647229545230005</c:v>
                </c:pt>
                <c:pt idx="6">
                  <c:v>3.7484993003899998</c:v>
                </c:pt>
                <c:pt idx="7">
                  <c:v>27.459487367480001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278"/>
          <c:y val="9.337714848108929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July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3748499300.3899999</c:v>
                </c:pt>
                <c:pt idx="1">
                  <c:v>21703801741.949997</c:v>
                </c:pt>
                <c:pt idx="2" formatCode="#,##0.00">
                  <c:v>27459487367.48</c:v>
                </c:pt>
                <c:pt idx="3" formatCode="#,##0.00">
                  <c:v>38647229545.230003</c:v>
                </c:pt>
                <c:pt idx="4" formatCode="#,##0.00">
                  <c:v>93087466919.259995</c:v>
                </c:pt>
                <c:pt idx="5" formatCode="#,##0.00">
                  <c:v>320910732787.97998</c:v>
                </c:pt>
                <c:pt idx="6" formatCode="#,##0.00">
                  <c:v>559469039682.36792</c:v>
                </c:pt>
                <c:pt idx="7" formatCode="&quot; &quot;* #,##0.00&quot; &quot;;&quot;-&quot;* #,##0.00&quot; &quot;;&quot; &quot;* &quot;-&quot;??&quot; &quot;">
                  <c:v>849052729545.00989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40644</c:v>
                </c:pt>
                <c:pt idx="1">
                  <c:v>305086</c:v>
                </c:pt>
                <c:pt idx="2">
                  <c:v>50519</c:v>
                </c:pt>
                <c:pt idx="3">
                  <c:v>11181</c:v>
                </c:pt>
                <c:pt idx="4">
                  <c:v>37511</c:v>
                </c:pt>
                <c:pt idx="5">
                  <c:v>48366</c:v>
                </c:pt>
                <c:pt idx="6">
                  <c:v>11554</c:v>
                </c:pt>
                <c:pt idx="7">
                  <c:v>18308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A8D-BA1E-5052EB45CB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CLASSES OF FUNDS</a:t>
                </a:r>
              </a:p>
            </c:rich>
          </c:tx>
          <c:layout>
            <c:manualLayout>
              <c:xMode val="edge"/>
              <c:yMode val="edge"/>
              <c:x val="0.4515677475748256"/>
              <c:y val="0.922804233853639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272415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0</xdr:rowOff>
    </xdr:from>
    <xdr:to>
      <xdr:col>16</xdr:col>
      <xdr:colOff>1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947CFF-A8A0-93E9-35CE-6704322B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9361-D689-40A0-9638-323CAB7B0054}">
  <dimension ref="A1:U171"/>
  <sheetViews>
    <sheetView tabSelected="1" zoomScaleNormal="100" workbookViewId="0">
      <pane ySplit="2" topLeftCell="A3" activePane="bottomLeft" state="frozen"/>
      <selection activeCell="M3" sqref="M3"/>
      <selection pane="bottomLeft" activeCell="A3" sqref="A3:U3"/>
    </sheetView>
  </sheetViews>
  <sheetFormatPr defaultRowHeight="15"/>
  <cols>
    <col min="1" max="1" width="6.7109375" customWidth="1"/>
    <col min="2" max="2" width="53.7109375" customWidth="1"/>
    <col min="3" max="3" width="50.5703125" customWidth="1"/>
    <col min="4" max="4" width="21.5703125" customWidth="1"/>
    <col min="5" max="5" width="19.28515625" customWidth="1"/>
    <col min="6" max="6" width="19.7109375" customWidth="1"/>
    <col min="7" max="7" width="20" customWidth="1"/>
    <col min="8" max="8" width="22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28515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</cols>
  <sheetData>
    <row r="1" spans="1:21" ht="40.5" customHeight="1">
      <c r="A1" s="166" t="s">
        <v>210</v>
      </c>
      <c r="B1" s="166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1" ht="48" customHeight="1">
      <c r="A2" s="34" t="s">
        <v>194</v>
      </c>
      <c r="B2" s="34" t="s">
        <v>10</v>
      </c>
      <c r="C2" s="34" t="s">
        <v>11</v>
      </c>
      <c r="D2" s="34" t="s">
        <v>197</v>
      </c>
      <c r="E2" s="34" t="s">
        <v>12</v>
      </c>
      <c r="F2" s="34" t="s">
        <v>13</v>
      </c>
      <c r="G2" s="35" t="s">
        <v>198</v>
      </c>
      <c r="H2" s="34" t="s">
        <v>209</v>
      </c>
      <c r="I2" s="34" t="s">
        <v>14</v>
      </c>
      <c r="J2" s="34" t="s">
        <v>199</v>
      </c>
      <c r="K2" s="34" t="s">
        <v>14</v>
      </c>
      <c r="L2" s="34" t="s">
        <v>15</v>
      </c>
      <c r="M2" s="34" t="s">
        <v>200</v>
      </c>
      <c r="N2" s="34" t="s">
        <v>201</v>
      </c>
      <c r="O2" s="34" t="s">
        <v>202</v>
      </c>
      <c r="P2" s="34" t="s">
        <v>203</v>
      </c>
      <c r="Q2" s="34" t="s">
        <v>16</v>
      </c>
      <c r="R2" s="34" t="s">
        <v>17</v>
      </c>
      <c r="S2" s="34" t="s">
        <v>18</v>
      </c>
      <c r="T2" s="34" t="s">
        <v>19</v>
      </c>
      <c r="U2" s="34" t="s">
        <v>20</v>
      </c>
    </row>
    <row r="3" spans="1:21" ht="6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1" ht="17.25" customHeight="1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</row>
    <row r="5" spans="1:21" ht="15" customHeight="1">
      <c r="A5" s="36">
        <v>1</v>
      </c>
      <c r="B5" s="37" t="s">
        <v>21</v>
      </c>
      <c r="C5" s="37" t="s">
        <v>22</v>
      </c>
      <c r="D5" s="38">
        <v>593642289.88999999</v>
      </c>
      <c r="E5" s="38">
        <v>1435684.26</v>
      </c>
      <c r="F5" s="38">
        <v>1238240.93</v>
      </c>
      <c r="G5" s="39">
        <v>197443.33</v>
      </c>
      <c r="H5" s="61">
        <v>548213517.25</v>
      </c>
      <c r="I5" s="78">
        <f>(H5/$H$21)</f>
        <v>2.7296573657114326E-2</v>
      </c>
      <c r="J5" s="61">
        <v>612438987.30999994</v>
      </c>
      <c r="K5" s="78">
        <f>(J5/$J$21)</f>
        <v>2.821805113185552E-2</v>
      </c>
      <c r="L5" s="78">
        <f>((J5-H5)/H5)</f>
        <v>0.11715411612280879</v>
      </c>
      <c r="M5" s="80">
        <f t="shared" ref="M5:M20" si="0">(F5/J5)</f>
        <v>2.0218192434787565E-3</v>
      </c>
      <c r="N5" s="81">
        <f t="shared" ref="N5:N20" si="1">G5/J5</f>
        <v>3.2238857109215935E-4</v>
      </c>
      <c r="O5" s="82">
        <f t="shared" ref="O5:O20" si="2">J5/U5</f>
        <v>253.3939359485193</v>
      </c>
      <c r="P5" s="82">
        <f t="shared" ref="P5:P20" si="3">G5/U5</f>
        <v>8.1691308933861284E-2</v>
      </c>
      <c r="Q5" s="65">
        <v>253.3939</v>
      </c>
      <c r="R5" s="65">
        <v>255.49440000000001</v>
      </c>
      <c r="S5" s="65">
        <v>1721</v>
      </c>
      <c r="T5" s="65">
        <v>2223762.8665999998</v>
      </c>
      <c r="U5" s="65">
        <v>2416944.1348999999</v>
      </c>
    </row>
    <row r="6" spans="1:21" ht="15.75">
      <c r="A6" s="36">
        <v>2</v>
      </c>
      <c r="B6" s="37" t="s">
        <v>23</v>
      </c>
      <c r="C6" s="37" t="s">
        <v>24</v>
      </c>
      <c r="D6" s="38">
        <v>568678926.95000005</v>
      </c>
      <c r="E6" s="38">
        <v>2807287</v>
      </c>
      <c r="F6" s="38">
        <v>5855746.3200000003</v>
      </c>
      <c r="G6" s="39">
        <v>-3048459.32</v>
      </c>
      <c r="H6" s="61">
        <v>546120825.70000005</v>
      </c>
      <c r="I6" s="78">
        <f t="shared" ref="I6:I20" si="4">(H6/$H$21)</f>
        <v>2.7192374641149264E-2</v>
      </c>
      <c r="J6" s="61">
        <v>572980522.08000004</v>
      </c>
      <c r="K6" s="78">
        <f t="shared" ref="K6:K20" si="5">(J6/$J$21)</f>
        <v>2.6400007191943697E-2</v>
      </c>
      <c r="L6" s="78">
        <f t="shared" ref="L6:L20" si="6">((J6-H6)/H6)</f>
        <v>4.918269935150725E-2</v>
      </c>
      <c r="M6" s="80">
        <f t="shared" si="0"/>
        <v>1.0219799965874609E-2</v>
      </c>
      <c r="N6" s="81">
        <f t="shared" si="1"/>
        <v>-5.3203541874925573E-3</v>
      </c>
      <c r="O6" s="82">
        <f t="shared" si="2"/>
        <v>206.71395329602316</v>
      </c>
      <c r="P6" s="82">
        <f t="shared" si="3"/>
        <v>-1.0997914470316377</v>
      </c>
      <c r="Q6" s="65">
        <v>185.71</v>
      </c>
      <c r="R6" s="65">
        <v>188.04</v>
      </c>
      <c r="S6" s="65">
        <v>275</v>
      </c>
      <c r="T6" s="65">
        <v>2979645.88</v>
      </c>
      <c r="U6" s="65">
        <v>2771852.18</v>
      </c>
    </row>
    <row r="7" spans="1:21" ht="15.75">
      <c r="A7" s="36">
        <v>3</v>
      </c>
      <c r="B7" s="37" t="s">
        <v>25</v>
      </c>
      <c r="C7" s="43" t="s">
        <v>26</v>
      </c>
      <c r="D7" s="44">
        <v>2551605800.8699999</v>
      </c>
      <c r="E7" s="44">
        <v>102110693.47</v>
      </c>
      <c r="F7" s="44">
        <v>12491315.039999999</v>
      </c>
      <c r="G7" s="44">
        <v>179946287.53</v>
      </c>
      <c r="H7" s="61">
        <v>2941170298</v>
      </c>
      <c r="I7" s="78">
        <f t="shared" si="4"/>
        <v>0.14644635557364832</v>
      </c>
      <c r="J7" s="123">
        <v>3188274843</v>
      </c>
      <c r="K7" s="78">
        <f t="shared" si="5"/>
        <v>0.14689937186615429</v>
      </c>
      <c r="L7" s="78">
        <f t="shared" si="6"/>
        <v>8.4015721622114653E-2</v>
      </c>
      <c r="M7" s="80">
        <f t="shared" si="0"/>
        <v>3.9178915416985581E-3</v>
      </c>
      <c r="N7" s="81">
        <f t="shared" si="1"/>
        <v>5.6440017373370469E-2</v>
      </c>
      <c r="O7" s="82">
        <f t="shared" si="2"/>
        <v>28.727372605017855</v>
      </c>
      <c r="P7" s="82">
        <f t="shared" si="3"/>
        <v>1.6213734089184946</v>
      </c>
      <c r="Q7" s="65">
        <v>28.58</v>
      </c>
      <c r="R7" s="65">
        <v>29.44</v>
      </c>
      <c r="S7" s="65">
        <v>580</v>
      </c>
      <c r="T7" s="123">
        <v>108755275</v>
      </c>
      <c r="U7" s="123">
        <v>110983865</v>
      </c>
    </row>
    <row r="8" spans="1:21" ht="15.75">
      <c r="A8" s="36">
        <v>4</v>
      </c>
      <c r="B8" s="46" t="s">
        <v>27</v>
      </c>
      <c r="C8" s="46" t="s">
        <v>28</v>
      </c>
      <c r="D8" s="44">
        <v>276925920.99000001</v>
      </c>
      <c r="E8" s="44">
        <v>837157.84</v>
      </c>
      <c r="F8" s="44">
        <v>589716.37</v>
      </c>
      <c r="G8" s="44">
        <v>247441.47</v>
      </c>
      <c r="H8" s="61">
        <v>315366740.06999999</v>
      </c>
      <c r="I8" s="78">
        <f t="shared" si="4"/>
        <v>1.5702698270752612E-2</v>
      </c>
      <c r="J8" s="123">
        <v>330614158.27999997</v>
      </c>
      <c r="K8" s="78">
        <f t="shared" si="5"/>
        <v>1.5233006742822176E-2</v>
      </c>
      <c r="L8" s="78">
        <f t="shared" si="6"/>
        <v>4.8348212644794449E-2</v>
      </c>
      <c r="M8" s="80">
        <f t="shared" si="0"/>
        <v>1.783699685058751E-3</v>
      </c>
      <c r="N8" s="81">
        <f t="shared" si="1"/>
        <v>7.4842974447101478E-4</v>
      </c>
      <c r="O8" s="82">
        <f t="shared" si="2"/>
        <v>153.76692736610249</v>
      </c>
      <c r="P8" s="82">
        <f t="shared" si="3"/>
        <v>0.11508374215670517</v>
      </c>
      <c r="Q8" s="65">
        <v>152.22999999999999</v>
      </c>
      <c r="R8" s="65">
        <v>155.30000000000001</v>
      </c>
      <c r="S8" s="65">
        <v>1195</v>
      </c>
      <c r="T8" s="123">
        <v>1924013.65</v>
      </c>
      <c r="U8" s="123">
        <v>2150099.27</v>
      </c>
    </row>
    <row r="9" spans="1:21" ht="15.75">
      <c r="A9" s="36">
        <v>5</v>
      </c>
      <c r="B9" s="51" t="s">
        <v>221</v>
      </c>
      <c r="C9" s="52" t="s">
        <v>46</v>
      </c>
      <c r="D9" s="50">
        <f>27977246.3+7510806+4904658.8+15247603.84</f>
        <v>55640314.939999998</v>
      </c>
      <c r="E9" s="50">
        <v>278623.83</v>
      </c>
      <c r="F9" s="50">
        <v>103763.68</v>
      </c>
      <c r="G9" s="50">
        <v>174860.15</v>
      </c>
      <c r="H9" s="65">
        <v>67439825.489999995</v>
      </c>
      <c r="I9" s="78">
        <f t="shared" si="4"/>
        <v>3.3579547128737295E-3</v>
      </c>
      <c r="J9" s="65">
        <v>68703077.920000002</v>
      </c>
      <c r="K9" s="78">
        <f t="shared" si="5"/>
        <v>3.1654858783200126E-3</v>
      </c>
      <c r="L9" s="78">
        <f t="shared" si="6"/>
        <v>1.8731549508343891E-2</v>
      </c>
      <c r="M9" s="80">
        <f t="shared" ref="M9" si="7">(F9/J9)</f>
        <v>1.5103206892830281E-3</v>
      </c>
      <c r="N9" s="81">
        <f t="shared" ref="N9" si="8">G9/J9</f>
        <v>2.545157441179165E-3</v>
      </c>
      <c r="O9" s="82">
        <f t="shared" ref="O9" si="9">J9/U9</f>
        <v>127.82783467246684</v>
      </c>
      <c r="P9" s="82">
        <f t="shared" ref="P9" si="10">G9/U9</f>
        <v>0.32534196460644904</v>
      </c>
      <c r="Q9" s="124">
        <v>127.70310000000001</v>
      </c>
      <c r="R9" s="124">
        <v>128.13</v>
      </c>
      <c r="S9" s="124">
        <v>44</v>
      </c>
      <c r="T9" s="124">
        <v>535968.26</v>
      </c>
      <c r="U9" s="124">
        <v>537465.71</v>
      </c>
    </row>
    <row r="10" spans="1:21" ht="15.75">
      <c r="A10" s="36">
        <v>6</v>
      </c>
      <c r="B10" s="37" t="s">
        <v>29</v>
      </c>
      <c r="C10" s="37" t="s">
        <v>30</v>
      </c>
      <c r="D10" s="44">
        <v>568738627.87</v>
      </c>
      <c r="E10" s="44">
        <v>1538369.28</v>
      </c>
      <c r="F10" s="44">
        <v>2372838.87</v>
      </c>
      <c r="G10" s="47">
        <v>16557883.24</v>
      </c>
      <c r="H10" s="63" t="s">
        <v>226</v>
      </c>
      <c r="I10" s="78">
        <f t="shared" si="4"/>
        <v>2.606070771468744E-2</v>
      </c>
      <c r="J10" s="123">
        <v>568738627.87</v>
      </c>
      <c r="K10" s="78">
        <f t="shared" si="5"/>
        <v>2.6204562437129101E-2</v>
      </c>
      <c r="L10" s="78">
        <f t="shared" si="6"/>
        <v>8.6638072622491125E-2</v>
      </c>
      <c r="M10" s="80">
        <f t="shared" si="0"/>
        <v>4.1721078079162473E-3</v>
      </c>
      <c r="N10" s="81">
        <f t="shared" si="1"/>
        <v>2.911334386062614E-2</v>
      </c>
      <c r="O10" s="82">
        <f t="shared" si="2"/>
        <v>232.7997048912583</v>
      </c>
      <c r="P10" s="82">
        <f t="shared" si="3"/>
        <v>6.7775778591514921</v>
      </c>
      <c r="Q10" s="65">
        <v>232.8</v>
      </c>
      <c r="R10" s="65">
        <v>235.57</v>
      </c>
      <c r="S10" s="65">
        <v>1488</v>
      </c>
      <c r="T10" s="123">
        <v>2282582.04</v>
      </c>
      <c r="U10" s="123">
        <v>2443038.44</v>
      </c>
    </row>
    <row r="11" spans="1:21" ht="15.75">
      <c r="A11" s="36">
        <v>7</v>
      </c>
      <c r="B11" s="37" t="s">
        <v>31</v>
      </c>
      <c r="C11" s="43" t="s">
        <v>32</v>
      </c>
      <c r="D11" s="38">
        <v>318800908.13</v>
      </c>
      <c r="E11" s="38">
        <v>838354.11</v>
      </c>
      <c r="F11" s="38">
        <v>1139837.6100000001</v>
      </c>
      <c r="G11" s="39">
        <v>-301483.5</v>
      </c>
      <c r="H11" s="61">
        <v>318487442.5</v>
      </c>
      <c r="I11" s="78">
        <f t="shared" si="4"/>
        <v>1.5858083866076386E-2</v>
      </c>
      <c r="J11" s="61">
        <v>313905828.29000002</v>
      </c>
      <c r="K11" s="78">
        <f t="shared" si="5"/>
        <v>1.4463172490341633E-2</v>
      </c>
      <c r="L11" s="78">
        <f t="shared" si="6"/>
        <v>-1.4385541150495999E-2</v>
      </c>
      <c r="M11" s="80">
        <f t="shared" si="0"/>
        <v>3.6311450991823187E-3</v>
      </c>
      <c r="N11" s="81">
        <f t="shared" si="1"/>
        <v>-9.6042657647463702E-4</v>
      </c>
      <c r="O11" s="82">
        <f t="shared" si="2"/>
        <v>157.897377307364</v>
      </c>
      <c r="P11" s="82">
        <f t="shared" si="3"/>
        <v>-0.15164883752163566</v>
      </c>
      <c r="Q11" s="65">
        <v>157.9</v>
      </c>
      <c r="R11" s="65">
        <v>162.63999999999999</v>
      </c>
      <c r="S11" s="65">
        <v>2470</v>
      </c>
      <c r="T11" s="65">
        <v>1988037</v>
      </c>
      <c r="U11" s="65">
        <v>1988037</v>
      </c>
    </row>
    <row r="12" spans="1:21" ht="15.75">
      <c r="A12" s="36">
        <v>8</v>
      </c>
      <c r="B12" s="37" t="s">
        <v>33</v>
      </c>
      <c r="C12" s="37" t="s">
        <v>34</v>
      </c>
      <c r="D12" s="42">
        <v>30255147.899999999</v>
      </c>
      <c r="E12" s="38">
        <v>1689074</v>
      </c>
      <c r="F12" s="38">
        <v>41800.449999999997</v>
      </c>
      <c r="G12" s="39">
        <v>41800.449999999997</v>
      </c>
      <c r="H12" s="61">
        <v>38465210.340000004</v>
      </c>
      <c r="I12" s="78">
        <f t="shared" si="4"/>
        <v>1.9152545755331896E-3</v>
      </c>
      <c r="J12" s="61">
        <v>38465210.340000004</v>
      </c>
      <c r="K12" s="78">
        <f t="shared" si="5"/>
        <v>1.7722798428283129E-3</v>
      </c>
      <c r="L12" s="78">
        <f t="shared" si="6"/>
        <v>0</v>
      </c>
      <c r="M12" s="80">
        <f t="shared" si="0"/>
        <v>1.0867079532522841E-3</v>
      </c>
      <c r="N12" s="81">
        <f t="shared" si="1"/>
        <v>1.0867079532522841E-3</v>
      </c>
      <c r="O12" s="82">
        <f t="shared" si="2"/>
        <v>152.63972357142859</v>
      </c>
      <c r="P12" s="82">
        <f t="shared" si="3"/>
        <v>0.16587480158730158</v>
      </c>
      <c r="Q12" s="65">
        <v>145.96</v>
      </c>
      <c r="R12" s="65">
        <v>150.88</v>
      </c>
      <c r="S12" s="65">
        <v>2</v>
      </c>
      <c r="T12" s="65">
        <v>252000</v>
      </c>
      <c r="U12" s="65">
        <v>252000</v>
      </c>
    </row>
    <row r="13" spans="1:21" ht="15.75">
      <c r="A13" s="36">
        <v>9</v>
      </c>
      <c r="B13" s="33" t="s">
        <v>218</v>
      </c>
      <c r="C13" s="33" t="s">
        <v>216</v>
      </c>
      <c r="D13" s="44">
        <v>465858005.13</v>
      </c>
      <c r="E13" s="44">
        <v>824399.88</v>
      </c>
      <c r="F13" s="44">
        <v>944749.96</v>
      </c>
      <c r="G13" s="44">
        <v>5230240.58</v>
      </c>
      <c r="H13" s="137">
        <v>452617044.60000002</v>
      </c>
      <c r="I13" s="78">
        <f t="shared" si="4"/>
        <v>2.2536646958953292E-2</v>
      </c>
      <c r="J13" s="123">
        <v>454825046.12</v>
      </c>
      <c r="K13" s="78">
        <f t="shared" si="5"/>
        <v>2.0956008146761473E-2</v>
      </c>
      <c r="L13" s="78">
        <f t="shared" si="6"/>
        <v>4.8782995389652205E-3</v>
      </c>
      <c r="M13" s="80">
        <f t="shared" ref="M13" si="11">(F13/J13)</f>
        <v>2.0771722403140026E-3</v>
      </c>
      <c r="N13" s="81">
        <f t="shared" ref="N13" si="12">G13/J13</f>
        <v>1.1499455943813757E-2</v>
      </c>
      <c r="O13" s="82">
        <f t="shared" ref="O13" si="13">J13/U13</f>
        <v>1.6366772354768018</v>
      </c>
      <c r="P13" s="82">
        <f t="shared" ref="P13" si="14">G13/U13</f>
        <v>1.8820897763608378E-2</v>
      </c>
      <c r="Q13" s="65">
        <v>1.61</v>
      </c>
      <c r="R13" s="65">
        <v>1.66</v>
      </c>
      <c r="S13" s="65">
        <v>264</v>
      </c>
      <c r="T13" s="123">
        <v>271900145.36000001</v>
      </c>
      <c r="U13" s="123">
        <v>277895382.33999997</v>
      </c>
    </row>
    <row r="14" spans="1:21" ht="15.75">
      <c r="A14" s="36">
        <v>10</v>
      </c>
      <c r="B14" s="37" t="s">
        <v>35</v>
      </c>
      <c r="C14" s="43" t="s">
        <v>36</v>
      </c>
      <c r="D14" s="44">
        <v>1289805297.45</v>
      </c>
      <c r="E14" s="44">
        <v>1844638.69</v>
      </c>
      <c r="F14" s="38">
        <v>2042162.07</v>
      </c>
      <c r="G14" s="39">
        <v>197523.38</v>
      </c>
      <c r="H14" s="61">
        <v>1232883426.3499999</v>
      </c>
      <c r="I14" s="78">
        <f t="shared" si="4"/>
        <v>6.1387565609133575E-2</v>
      </c>
      <c r="J14" s="61">
        <v>1286421159.6300001</v>
      </c>
      <c r="K14" s="78">
        <f t="shared" si="5"/>
        <v>5.9271696955448712E-2</v>
      </c>
      <c r="L14" s="78">
        <f t="shared" si="6"/>
        <v>4.3424813843512183E-2</v>
      </c>
      <c r="M14" s="80">
        <f t="shared" si="0"/>
        <v>1.5874754972060362E-3</v>
      </c>
      <c r="N14" s="81">
        <f t="shared" si="1"/>
        <v>1.5354487799066645E-4</v>
      </c>
      <c r="O14" s="82">
        <f t="shared" si="2"/>
        <v>2.616906231255947</v>
      </c>
      <c r="P14" s="82">
        <f t="shared" si="3"/>
        <v>4.0181254799120914E-4</v>
      </c>
      <c r="Q14" s="65">
        <v>2.58</v>
      </c>
      <c r="R14" s="65">
        <v>2.64</v>
      </c>
      <c r="S14" s="65">
        <v>3678</v>
      </c>
      <c r="T14" s="65">
        <v>491343890</v>
      </c>
      <c r="U14" s="65">
        <v>491580915</v>
      </c>
    </row>
    <row r="15" spans="1:21" ht="15.75">
      <c r="A15" s="36">
        <v>11</v>
      </c>
      <c r="B15" s="37" t="s">
        <v>37</v>
      </c>
      <c r="C15" s="37" t="s">
        <v>38</v>
      </c>
      <c r="D15" s="38">
        <v>376277156.06999999</v>
      </c>
      <c r="E15" s="38">
        <v>632891.02</v>
      </c>
      <c r="F15" s="38">
        <v>713749.89</v>
      </c>
      <c r="G15" s="39">
        <v>11241888.539999999</v>
      </c>
      <c r="H15" s="139">
        <v>386054626.31</v>
      </c>
      <c r="I15" s="78">
        <f t="shared" si="4"/>
        <v>1.9222379987276137E-2</v>
      </c>
      <c r="J15" s="61">
        <v>402447575.19</v>
      </c>
      <c r="K15" s="78">
        <f t="shared" si="5"/>
        <v>1.8542722605695981E-2</v>
      </c>
      <c r="L15" s="78">
        <f t="shared" si="6"/>
        <v>4.2462770195730117E-2</v>
      </c>
      <c r="M15" s="80">
        <f t="shared" si="0"/>
        <v>1.7735226499079556E-3</v>
      </c>
      <c r="N15" s="81">
        <f t="shared" si="1"/>
        <v>2.793379618374537E-2</v>
      </c>
      <c r="O15" s="82">
        <f t="shared" si="2"/>
        <v>15.694561686761272</v>
      </c>
      <c r="P15" s="82">
        <f t="shared" si="3"/>
        <v>0.4384086873512083</v>
      </c>
      <c r="Q15" s="65">
        <v>15.76</v>
      </c>
      <c r="R15" s="65">
        <v>15.86</v>
      </c>
      <c r="S15" s="65">
        <v>229</v>
      </c>
      <c r="T15" s="65">
        <v>25350402.82</v>
      </c>
      <c r="U15" s="65">
        <v>25642485.800000001</v>
      </c>
    </row>
    <row r="16" spans="1:21" ht="15.75">
      <c r="A16" s="36">
        <v>12</v>
      </c>
      <c r="B16" s="46" t="s">
        <v>39</v>
      </c>
      <c r="C16" s="46" t="s">
        <v>40</v>
      </c>
      <c r="D16" s="38">
        <v>348185875.97000003</v>
      </c>
      <c r="E16" s="38">
        <v>1604128.5499999998</v>
      </c>
      <c r="F16" s="38">
        <v>540184.59</v>
      </c>
      <c r="G16" s="39">
        <v>1063943.96</v>
      </c>
      <c r="H16" s="61">
        <v>377581761.14999998</v>
      </c>
      <c r="I16" s="78">
        <f t="shared" si="4"/>
        <v>1.8800500225742877E-2</v>
      </c>
      <c r="J16" s="61">
        <v>349207224.16000003</v>
      </c>
      <c r="K16" s="78">
        <f t="shared" si="5"/>
        <v>1.6089679969985997E-2</v>
      </c>
      <c r="L16" s="78">
        <f t="shared" si="6"/>
        <v>-7.5148060392482105E-2</v>
      </c>
      <c r="M16" s="80">
        <f t="shared" si="0"/>
        <v>1.5468883591952776E-3</v>
      </c>
      <c r="N16" s="81">
        <f t="shared" si="1"/>
        <v>3.0467409789681822E-3</v>
      </c>
      <c r="O16" s="82">
        <f t="shared" si="2"/>
        <v>1.9355224527710146</v>
      </c>
      <c r="P16" s="82">
        <f t="shared" si="3"/>
        <v>5.8970355725704582E-3</v>
      </c>
      <c r="Q16" s="65">
        <v>1.9</v>
      </c>
      <c r="R16" s="65">
        <v>1.94</v>
      </c>
      <c r="S16" s="65">
        <v>16</v>
      </c>
      <c r="T16" s="65">
        <v>196590899</v>
      </c>
      <c r="U16" s="65">
        <v>180420136</v>
      </c>
    </row>
    <row r="17" spans="1:21" ht="15.75">
      <c r="A17" s="36">
        <v>13</v>
      </c>
      <c r="B17" s="37" t="s">
        <v>41</v>
      </c>
      <c r="C17" s="37" t="s">
        <v>42</v>
      </c>
      <c r="D17" s="38">
        <v>992351228.51999998</v>
      </c>
      <c r="E17" s="38">
        <v>10201138.539999999</v>
      </c>
      <c r="F17" s="38">
        <v>1710242.9</v>
      </c>
      <c r="G17" s="39">
        <v>8490895.6400000006</v>
      </c>
      <c r="H17" s="61">
        <v>953882660.65999997</v>
      </c>
      <c r="I17" s="78">
        <f t="shared" si="4"/>
        <v>4.7495597039567301E-2</v>
      </c>
      <c r="J17" s="61">
        <v>989652341.72000003</v>
      </c>
      <c r="K17" s="78">
        <f t="shared" si="5"/>
        <v>4.5598110113914257E-2</v>
      </c>
      <c r="L17" s="78">
        <f t="shared" si="6"/>
        <v>3.7499036868172755E-2</v>
      </c>
      <c r="M17" s="80">
        <f t="shared" si="0"/>
        <v>1.7281249464106E-3</v>
      </c>
      <c r="N17" s="81">
        <f t="shared" si="1"/>
        <v>8.5796751869883503E-3</v>
      </c>
      <c r="O17" s="82">
        <f t="shared" si="2"/>
        <v>24.286459584668535</v>
      </c>
      <c r="P17" s="82">
        <f t="shared" si="3"/>
        <v>0.20836993467837606</v>
      </c>
      <c r="Q17" s="65">
        <v>23.96</v>
      </c>
      <c r="R17" s="65">
        <v>24.48</v>
      </c>
      <c r="S17" s="65">
        <v>8857</v>
      </c>
      <c r="T17" s="65">
        <v>39209460.039999999</v>
      </c>
      <c r="U17" s="65">
        <v>40749140</v>
      </c>
    </row>
    <row r="18" spans="1:21" ht="15.75">
      <c r="A18" s="36">
        <v>14</v>
      </c>
      <c r="B18" s="43" t="s">
        <v>43</v>
      </c>
      <c r="C18" s="37" t="s">
        <v>44</v>
      </c>
      <c r="D18" s="48">
        <v>453675040.43000001</v>
      </c>
      <c r="E18" s="49">
        <v>37167453.57</v>
      </c>
      <c r="F18" s="44">
        <v>2223357.2799999998</v>
      </c>
      <c r="G18" s="44">
        <v>10632288.470000001</v>
      </c>
      <c r="H18" s="137">
        <v>449611492.29000002</v>
      </c>
      <c r="I18" s="78">
        <f t="shared" si="4"/>
        <v>2.2386994902904456E-2</v>
      </c>
      <c r="J18" s="123">
        <v>452496052.47000003</v>
      </c>
      <c r="K18" s="78">
        <f t="shared" si="5"/>
        <v>2.0848700050341739E-2</v>
      </c>
      <c r="L18" s="78">
        <f t="shared" si="6"/>
        <v>6.4156727073592284E-3</v>
      </c>
      <c r="M18" s="80">
        <f t="shared" si="0"/>
        <v>4.9135396162321345E-3</v>
      </c>
      <c r="N18" s="81">
        <f t="shared" si="1"/>
        <v>2.3496975082903975E-2</v>
      </c>
      <c r="O18" s="82">
        <f t="shared" si="2"/>
        <v>4640.4782705273738</v>
      </c>
      <c r="P18" s="82">
        <f t="shared" si="3"/>
        <v>109.03720229533903</v>
      </c>
      <c r="Q18" s="124">
        <v>4606.8900000000003</v>
      </c>
      <c r="R18" s="124">
        <v>4663.5</v>
      </c>
      <c r="S18" s="124">
        <v>19</v>
      </c>
      <c r="T18" s="123">
        <v>99974.88</v>
      </c>
      <c r="U18" s="123">
        <v>97510.65</v>
      </c>
    </row>
    <row r="19" spans="1:21" ht="15.75">
      <c r="A19" s="36">
        <v>15</v>
      </c>
      <c r="B19" s="37" t="s">
        <v>45</v>
      </c>
      <c r="C19" s="37" t="s">
        <v>44</v>
      </c>
      <c r="D19" s="48">
        <v>9393891211.5</v>
      </c>
      <c r="E19" s="44">
        <v>197133327.97</v>
      </c>
      <c r="F19" s="44">
        <v>35511587.539999999</v>
      </c>
      <c r="G19" s="44">
        <v>282262785.77999997</v>
      </c>
      <c r="H19" s="137">
        <v>9058968759.1700001</v>
      </c>
      <c r="I19" s="78">
        <f t="shared" si="4"/>
        <v>0.45106295304903204</v>
      </c>
      <c r="J19" s="123">
        <v>9446639140.5699997</v>
      </c>
      <c r="K19" s="78">
        <f t="shared" si="5"/>
        <v>0.43525273833989869</v>
      </c>
      <c r="L19" s="78">
        <f t="shared" si="6"/>
        <v>4.279409629352985E-2</v>
      </c>
      <c r="M19" s="80">
        <f t="shared" si="0"/>
        <v>3.7591768894283464E-3</v>
      </c>
      <c r="N19" s="81">
        <f t="shared" si="1"/>
        <v>2.9879704472649999E-2</v>
      </c>
      <c r="O19" s="82">
        <f t="shared" si="2"/>
        <v>16229.685365162712</v>
      </c>
      <c r="P19" s="82">
        <f t="shared" si="3"/>
        <v>484.93820239515452</v>
      </c>
      <c r="Q19" s="123">
        <v>16118.77</v>
      </c>
      <c r="R19" s="123">
        <v>16305.7</v>
      </c>
      <c r="S19" s="124">
        <v>17042</v>
      </c>
      <c r="T19" s="123">
        <v>577197.53</v>
      </c>
      <c r="U19" s="123">
        <v>582059.29</v>
      </c>
    </row>
    <row r="20" spans="1:21" ht="15.75">
      <c r="A20" s="36">
        <v>16</v>
      </c>
      <c r="B20" s="37" t="s">
        <v>47</v>
      </c>
      <c r="C20" s="37" t="s">
        <v>48</v>
      </c>
      <c r="D20" s="45">
        <v>2201553935</v>
      </c>
      <c r="E20" s="45">
        <v>61061002</v>
      </c>
      <c r="F20" s="45">
        <v>4416578</v>
      </c>
      <c r="G20" s="50">
        <v>158145922</v>
      </c>
      <c r="H20" s="137">
        <v>2396738222</v>
      </c>
      <c r="I20" s="78">
        <f t="shared" si="4"/>
        <v>0.11933806693024264</v>
      </c>
      <c r="J20" s="123">
        <v>2627991947</v>
      </c>
      <c r="K20" s="78">
        <f t="shared" si="5"/>
        <v>0.12108440623655853</v>
      </c>
      <c r="L20" s="78">
        <f t="shared" si="6"/>
        <v>9.6486851537347415E-2</v>
      </c>
      <c r="M20" s="80">
        <f t="shared" si="0"/>
        <v>1.6805903857665056E-3</v>
      </c>
      <c r="N20" s="81">
        <f t="shared" si="1"/>
        <v>6.0177475878696061E-2</v>
      </c>
      <c r="O20" s="82">
        <f t="shared" si="2"/>
        <v>1.3068031154900335</v>
      </c>
      <c r="P20" s="82">
        <f t="shared" si="3"/>
        <v>7.8640112960606356E-2</v>
      </c>
      <c r="Q20" s="65">
        <v>1.31</v>
      </c>
      <c r="R20" s="65">
        <v>1.33</v>
      </c>
      <c r="S20" s="65">
        <v>2764</v>
      </c>
      <c r="T20" s="125">
        <v>2068544188</v>
      </c>
      <c r="U20" s="125">
        <v>2011008327</v>
      </c>
    </row>
    <row r="21" spans="1:21">
      <c r="A21" s="171" t="s">
        <v>49</v>
      </c>
      <c r="B21" s="172"/>
      <c r="C21" s="172"/>
      <c r="D21" s="172"/>
      <c r="E21" s="172"/>
      <c r="F21" s="172"/>
      <c r="G21" s="173"/>
      <c r="H21" s="140">
        <f>SUM(H5:H20)</f>
        <v>20083601851.879997</v>
      </c>
      <c r="I21" s="101">
        <f>(H21/$H$167)</f>
        <v>1.0988334072074751E-2</v>
      </c>
      <c r="J21" s="140">
        <f>SUM(J5:J20)</f>
        <v>21703801741.949997</v>
      </c>
      <c r="K21" s="101">
        <f>(J21/$J$167)</f>
        <v>1.1339031403932892E-2</v>
      </c>
      <c r="L21" s="79">
        <f t="shared" ref="L21" si="15">((J21-H21)/H21)</f>
        <v>8.067277483487531E-2</v>
      </c>
      <c r="M21" s="80"/>
      <c r="N21" s="80"/>
      <c r="O21" s="83"/>
      <c r="P21" s="83"/>
      <c r="Q21" s="126"/>
      <c r="R21" s="126"/>
      <c r="S21" s="126">
        <f>SUM(S5:S20)</f>
        <v>40644</v>
      </c>
      <c r="T21" s="126"/>
      <c r="U21" s="126"/>
    </row>
    <row r="22" spans="1:21" ht="6.75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9"/>
    </row>
    <row r="23" spans="1:21" ht="14.25" customHeight="1">
      <c r="A23" s="170" t="s">
        <v>1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</row>
    <row r="24" spans="1:21" ht="13.5" customHeight="1">
      <c r="A24" s="36">
        <v>17</v>
      </c>
      <c r="B24" s="37" t="s">
        <v>50</v>
      </c>
      <c r="C24" s="37" t="s">
        <v>22</v>
      </c>
      <c r="D24" s="42">
        <v>814532647.46000004</v>
      </c>
      <c r="E24" s="42">
        <v>6785371.5800000001</v>
      </c>
      <c r="F24" s="42">
        <v>1784014</v>
      </c>
      <c r="G24" s="39">
        <v>5001357.58</v>
      </c>
      <c r="H24" s="141">
        <v>809250351.65999997</v>
      </c>
      <c r="I24" s="41">
        <f>(H24/$H$53)</f>
        <v>9.9164085202512364E-4</v>
      </c>
      <c r="J24" s="65">
        <v>823748286.11000001</v>
      </c>
      <c r="K24" s="78">
        <f>(J24/$J$53)</f>
        <v>9.701968528520366E-4</v>
      </c>
      <c r="L24" s="78">
        <f t="shared" ref="L24:L53" si="16">((J24-H24)/H24)</f>
        <v>1.7915264936568403E-2</v>
      </c>
      <c r="M24" s="80">
        <f t="shared" ref="M24:M52" si="17">(F24/J24)</f>
        <v>2.1657271160158385E-3</v>
      </c>
      <c r="N24" s="81">
        <f t="shared" ref="N24:N52" si="18">G24/J24</f>
        <v>6.0714634122251022E-3</v>
      </c>
      <c r="O24" s="84">
        <f t="shared" ref="O24:O52" si="19">J24/U24</f>
        <v>101.51534361983211</v>
      </c>
      <c r="P24" s="84">
        <f t="shared" ref="P24:P52" si="20">G24/U24</f>
        <v>0.61634669456726954</v>
      </c>
      <c r="Q24" s="65">
        <v>100</v>
      </c>
      <c r="R24" s="65">
        <v>100</v>
      </c>
      <c r="S24" s="65">
        <v>715</v>
      </c>
      <c r="T24" s="65">
        <v>7981220</v>
      </c>
      <c r="U24" s="65">
        <v>8114520</v>
      </c>
    </row>
    <row r="25" spans="1:21" ht="15" customHeight="1">
      <c r="A25" s="36">
        <v>18</v>
      </c>
      <c r="B25" s="37" t="s">
        <v>51</v>
      </c>
      <c r="C25" s="37" t="s">
        <v>52</v>
      </c>
      <c r="D25" s="42">
        <v>3451084179.0599999</v>
      </c>
      <c r="E25" s="42">
        <v>40419499.909999996</v>
      </c>
      <c r="F25" s="42">
        <v>5752848.2999999998</v>
      </c>
      <c r="G25" s="39">
        <v>34666651.609999999</v>
      </c>
      <c r="H25" s="65">
        <v>3330543479</v>
      </c>
      <c r="I25" s="41">
        <f t="shared" ref="I25:I52" si="21">(H25/$H$53)</f>
        <v>4.0811881841602013E-3</v>
      </c>
      <c r="J25" s="65">
        <v>3408955912.1300001</v>
      </c>
      <c r="K25" s="78">
        <f t="shared" ref="K25:K52" si="22">(J25/$J$53)</f>
        <v>4.0150108391463395E-3</v>
      </c>
      <c r="L25" s="78">
        <f t="shared" si="16"/>
        <v>2.3543434765050282E-2</v>
      </c>
      <c r="M25" s="80">
        <f t="shared" si="17"/>
        <v>1.6875689942277598E-3</v>
      </c>
      <c r="N25" s="81">
        <f t="shared" si="18"/>
        <v>1.0169287166972898E-2</v>
      </c>
      <c r="O25" s="84">
        <f t="shared" si="19"/>
        <v>101.21567506803224</v>
      </c>
      <c r="P25" s="84">
        <f t="shared" si="20"/>
        <v>1.0292912655658391</v>
      </c>
      <c r="Q25" s="65">
        <v>100</v>
      </c>
      <c r="R25" s="65">
        <v>100</v>
      </c>
      <c r="S25" s="65">
        <v>1087</v>
      </c>
      <c r="T25" s="65">
        <v>32327594.870000001</v>
      </c>
      <c r="U25" s="65">
        <v>33680118.32</v>
      </c>
    </row>
    <row r="26" spans="1:21" ht="15.75">
      <c r="A26" s="36">
        <v>19</v>
      </c>
      <c r="B26" s="37" t="s">
        <v>53</v>
      </c>
      <c r="C26" s="37" t="s">
        <v>24</v>
      </c>
      <c r="D26" s="44">
        <v>424683563.25</v>
      </c>
      <c r="E26" s="42">
        <v>3697201.24</v>
      </c>
      <c r="F26" s="42">
        <v>711924.89</v>
      </c>
      <c r="G26" s="39">
        <v>2985276.35</v>
      </c>
      <c r="H26" s="65">
        <v>464925332.55000001</v>
      </c>
      <c r="I26" s="41">
        <f t="shared" si="21"/>
        <v>5.6971115545668342E-4</v>
      </c>
      <c r="J26" s="65">
        <v>425246235.29000002</v>
      </c>
      <c r="K26" s="78">
        <f t="shared" si="22"/>
        <v>5.0084785136711224E-4</v>
      </c>
      <c r="L26" s="78">
        <f t="shared" si="16"/>
        <v>-8.5345096259586445E-2</v>
      </c>
      <c r="M26" s="80">
        <f t="shared" si="17"/>
        <v>1.6741474254663236E-3</v>
      </c>
      <c r="N26" s="81">
        <f t="shared" si="18"/>
        <v>7.0201123543496332E-3</v>
      </c>
      <c r="O26" s="84">
        <f t="shared" si="19"/>
        <v>101.56748166321712</v>
      </c>
      <c r="P26" s="84">
        <f t="shared" si="20"/>
        <v>0.71301513282413032</v>
      </c>
      <c r="Q26" s="65">
        <v>100</v>
      </c>
      <c r="R26" s="65">
        <v>100</v>
      </c>
      <c r="S26" s="65">
        <v>900</v>
      </c>
      <c r="T26" s="65">
        <v>5415028.7599999998</v>
      </c>
      <c r="U26" s="65">
        <v>4186834.49</v>
      </c>
    </row>
    <row r="27" spans="1:21" ht="15.75">
      <c r="A27" s="36">
        <v>20</v>
      </c>
      <c r="B27" s="37" t="s">
        <v>54</v>
      </c>
      <c r="C27" s="43" t="s">
        <v>26</v>
      </c>
      <c r="D27" s="44">
        <v>32325576513.439999</v>
      </c>
      <c r="E27" s="44">
        <v>785178808.21000004</v>
      </c>
      <c r="F27" s="44">
        <v>177835319.75999999</v>
      </c>
      <c r="G27" s="44">
        <v>607343488.45000005</v>
      </c>
      <c r="H27" s="137">
        <v>79847036684</v>
      </c>
      <c r="I27" s="41">
        <f t="shared" si="21"/>
        <v>9.7843125216545757E-2</v>
      </c>
      <c r="J27" s="123">
        <v>79054703906</v>
      </c>
      <c r="K27" s="78">
        <f t="shared" si="22"/>
        <v>9.3109298345184999E-2</v>
      </c>
      <c r="L27" s="78">
        <f t="shared" si="16"/>
        <v>-9.9231331669290389E-3</v>
      </c>
      <c r="M27" s="80">
        <f t="shared" si="17"/>
        <v>2.2495223051047677E-3</v>
      </c>
      <c r="N27" s="81">
        <f t="shared" si="18"/>
        <v>7.6825724269635092E-3</v>
      </c>
      <c r="O27" s="84">
        <f t="shared" si="19"/>
        <v>1</v>
      </c>
      <c r="P27" s="84">
        <f t="shared" si="20"/>
        <v>7.6825724269635092E-3</v>
      </c>
      <c r="Q27" s="65">
        <v>1</v>
      </c>
      <c r="R27" s="65">
        <v>1</v>
      </c>
      <c r="S27" s="65">
        <v>62828</v>
      </c>
      <c r="T27" s="123">
        <v>79847036684</v>
      </c>
      <c r="U27" s="123">
        <v>79054703906</v>
      </c>
    </row>
    <row r="28" spans="1:21" ht="15.75">
      <c r="A28" s="36">
        <v>21</v>
      </c>
      <c r="B28" s="37" t="s">
        <v>55</v>
      </c>
      <c r="C28" s="37" t="s">
        <v>56</v>
      </c>
      <c r="D28" s="44">
        <v>14342348756.610001</v>
      </c>
      <c r="E28" s="44">
        <v>364165956</v>
      </c>
      <c r="F28" s="44">
        <v>56491520.810000002</v>
      </c>
      <c r="G28" s="44">
        <v>307674435.19</v>
      </c>
      <c r="H28" s="65">
        <v>40590961867.239998</v>
      </c>
      <c r="I28" s="41">
        <f t="shared" si="21"/>
        <v>4.9739435921135791E-2</v>
      </c>
      <c r="J28" s="123">
        <v>40110822256.870003</v>
      </c>
      <c r="K28" s="78">
        <f t="shared" si="22"/>
        <v>4.7241850666170732E-2</v>
      </c>
      <c r="L28" s="78">
        <f t="shared" si="16"/>
        <v>-1.182873202020631E-2</v>
      </c>
      <c r="M28" s="80">
        <f t="shared" si="17"/>
        <v>1.4083860073530253E-3</v>
      </c>
      <c r="N28" s="81">
        <f t="shared" si="18"/>
        <v>7.6706090246579997E-3</v>
      </c>
      <c r="O28" s="84">
        <f t="shared" si="19"/>
        <v>1.0076847981127086</v>
      </c>
      <c r="P28" s="84">
        <f t="shared" si="20"/>
        <v>7.7295561064140176E-3</v>
      </c>
      <c r="Q28" s="65">
        <v>1</v>
      </c>
      <c r="R28" s="65">
        <v>1</v>
      </c>
      <c r="S28" s="65">
        <v>25849</v>
      </c>
      <c r="T28" s="123">
        <v>39697244781.790001</v>
      </c>
      <c r="U28" s="123">
        <v>39804929410.459999</v>
      </c>
    </row>
    <row r="29" spans="1:21" ht="15.75">
      <c r="A29" s="36">
        <v>22</v>
      </c>
      <c r="B29" s="43" t="s">
        <v>211</v>
      </c>
      <c r="C29" s="43" t="s">
        <v>42</v>
      </c>
      <c r="D29" s="42">
        <v>6130174203.0600004</v>
      </c>
      <c r="E29" s="42">
        <v>51286982.719999999</v>
      </c>
      <c r="F29" s="42">
        <v>9202522.7599999998</v>
      </c>
      <c r="G29" s="39">
        <v>42084459.960000001</v>
      </c>
      <c r="H29" s="65">
        <v>4911301427.4899998</v>
      </c>
      <c r="I29" s="41">
        <f t="shared" si="21"/>
        <v>6.0182205940573809E-3</v>
      </c>
      <c r="J29" s="65">
        <v>6079554093.1800003</v>
      </c>
      <c r="K29" s="78">
        <f t="shared" si="22"/>
        <v>7.1603963824931225E-3</v>
      </c>
      <c r="L29" s="78">
        <f t="shared" si="16"/>
        <v>0.23787028406583771</v>
      </c>
      <c r="M29" s="80">
        <f t="shared" si="17"/>
        <v>1.5136838358463366E-3</v>
      </c>
      <c r="N29" s="81">
        <f t="shared" si="18"/>
        <v>6.9222938582304983E-3</v>
      </c>
      <c r="O29" s="84">
        <f t="shared" si="19"/>
        <v>99.999999986512179</v>
      </c>
      <c r="P29" s="84">
        <f t="shared" si="20"/>
        <v>0.69222938572968318</v>
      </c>
      <c r="Q29" s="65">
        <v>100</v>
      </c>
      <c r="R29" s="65">
        <v>100</v>
      </c>
      <c r="S29" s="65">
        <v>2640</v>
      </c>
      <c r="T29" s="65">
        <v>49113014.280000001</v>
      </c>
      <c r="U29" s="65">
        <v>60795540.939999998</v>
      </c>
    </row>
    <row r="30" spans="1:21" ht="15.75">
      <c r="A30" s="36">
        <v>23</v>
      </c>
      <c r="B30" s="37" t="s">
        <v>57</v>
      </c>
      <c r="C30" s="37" t="s">
        <v>58</v>
      </c>
      <c r="D30" s="54">
        <v>12997588617.35</v>
      </c>
      <c r="E30" s="42">
        <v>133054446.15000001</v>
      </c>
      <c r="F30" s="42">
        <v>21816433.359999999</v>
      </c>
      <c r="G30" s="39">
        <v>113405484.86</v>
      </c>
      <c r="H30" s="65">
        <v>12443485137.450001</v>
      </c>
      <c r="I30" s="41">
        <f t="shared" si="21"/>
        <v>1.5248023282969434E-2</v>
      </c>
      <c r="J30" s="65">
        <v>12949914625.85</v>
      </c>
      <c r="K30" s="78">
        <f t="shared" si="22"/>
        <v>1.5252191265894164E-2</v>
      </c>
      <c r="L30" s="78">
        <f t="shared" si="16"/>
        <v>4.0698364068105473E-2</v>
      </c>
      <c r="M30" s="80">
        <f t="shared" si="17"/>
        <v>1.684677775129967E-3</v>
      </c>
      <c r="N30" s="81">
        <f t="shared" si="18"/>
        <v>8.757238031023417E-3</v>
      </c>
      <c r="O30" s="84">
        <f t="shared" si="19"/>
        <v>99.999999983397572</v>
      </c>
      <c r="P30" s="84">
        <f t="shared" si="20"/>
        <v>0.87572380295695029</v>
      </c>
      <c r="Q30" s="65">
        <v>100</v>
      </c>
      <c r="R30" s="65">
        <v>100</v>
      </c>
      <c r="S30" s="65">
        <v>45138</v>
      </c>
      <c r="T30" s="65">
        <v>124434851.37</v>
      </c>
      <c r="U30" s="65">
        <v>129499146.28</v>
      </c>
    </row>
    <row r="31" spans="1:21" ht="15.75">
      <c r="A31" s="36">
        <v>24</v>
      </c>
      <c r="B31" s="37" t="s">
        <v>59</v>
      </c>
      <c r="C31" s="37" t="s">
        <v>60</v>
      </c>
      <c r="D31" s="42">
        <v>2584678937.73</v>
      </c>
      <c r="E31" s="42">
        <v>44145666.609999999</v>
      </c>
      <c r="F31" s="42">
        <v>6353511.2800000003</v>
      </c>
      <c r="G31" s="39">
        <v>37792155.329999998</v>
      </c>
      <c r="H31" s="137">
        <v>5194203000</v>
      </c>
      <c r="I31" s="41">
        <f t="shared" si="21"/>
        <v>6.3648831019297641E-3</v>
      </c>
      <c r="J31" s="65">
        <v>5337128800</v>
      </c>
      <c r="K31" s="78">
        <f t="shared" si="22"/>
        <v>6.2859803805825568E-3</v>
      </c>
      <c r="L31" s="78">
        <f t="shared" si="16"/>
        <v>2.7516406270605906E-2</v>
      </c>
      <c r="M31" s="80">
        <f t="shared" si="17"/>
        <v>1.1904361910846147E-3</v>
      </c>
      <c r="N31" s="81">
        <f t="shared" si="18"/>
        <v>7.0809899378857033E-3</v>
      </c>
      <c r="O31" s="84">
        <f t="shared" si="19"/>
        <v>100</v>
      </c>
      <c r="P31" s="84">
        <f t="shared" si="20"/>
        <v>0.70809899378857033</v>
      </c>
      <c r="Q31" s="65">
        <v>100</v>
      </c>
      <c r="R31" s="65">
        <v>100</v>
      </c>
      <c r="S31" s="65">
        <v>5545</v>
      </c>
      <c r="T31" s="65">
        <v>51942030</v>
      </c>
      <c r="U31" s="65">
        <v>53371288</v>
      </c>
    </row>
    <row r="32" spans="1:21" ht="15.75">
      <c r="A32" s="36">
        <v>25</v>
      </c>
      <c r="B32" s="37" t="s">
        <v>61</v>
      </c>
      <c r="C32" s="43" t="s">
        <v>62</v>
      </c>
      <c r="D32" s="70">
        <v>39263942.280000001</v>
      </c>
      <c r="E32" s="77">
        <v>275433.01</v>
      </c>
      <c r="F32" s="77">
        <v>41437.480000000003</v>
      </c>
      <c r="G32" s="71">
        <v>233995.53</v>
      </c>
      <c r="H32" s="65">
        <v>39203248.560000002</v>
      </c>
      <c r="I32" s="41">
        <f t="shared" si="21"/>
        <v>4.8038956948793952E-5</v>
      </c>
      <c r="J32" s="76">
        <v>39203248.560000002</v>
      </c>
      <c r="K32" s="78">
        <f t="shared" si="22"/>
        <v>4.6172925656817836E-5</v>
      </c>
      <c r="L32" s="78">
        <f t="shared" si="16"/>
        <v>0</v>
      </c>
      <c r="M32" s="73">
        <f t="shared" si="17"/>
        <v>1.056990977076314E-3</v>
      </c>
      <c r="N32" s="85">
        <f t="shared" si="18"/>
        <v>5.9687790832403404E-3</v>
      </c>
      <c r="O32" s="86">
        <f t="shared" si="19"/>
        <v>101.87107246798604</v>
      </c>
      <c r="P32" s="86">
        <f t="shared" si="20"/>
        <v>0.608045926534176</v>
      </c>
      <c r="Q32" s="76">
        <v>10</v>
      </c>
      <c r="R32" s="76">
        <v>10</v>
      </c>
      <c r="S32" s="76">
        <v>86</v>
      </c>
      <c r="T32" s="76">
        <v>384832</v>
      </c>
      <c r="U32" s="76">
        <v>384832</v>
      </c>
    </row>
    <row r="33" spans="1:21" ht="15.75">
      <c r="A33" s="36">
        <v>26</v>
      </c>
      <c r="B33" s="37" t="s">
        <v>63</v>
      </c>
      <c r="C33" s="37" t="s">
        <v>64</v>
      </c>
      <c r="D33" s="44">
        <v>4591009197.3599997</v>
      </c>
      <c r="E33" s="44">
        <v>49048629.390000001</v>
      </c>
      <c r="F33" s="42">
        <v>10029148.09</v>
      </c>
      <c r="G33" s="39">
        <v>39019481.299999997</v>
      </c>
      <c r="H33" s="63" t="s">
        <v>227</v>
      </c>
      <c r="I33" s="41">
        <f t="shared" si="21"/>
        <v>6.7519806109113409E-3</v>
      </c>
      <c r="J33" s="123">
        <v>4737461265.5900002</v>
      </c>
      <c r="K33" s="78">
        <f t="shared" si="22"/>
        <v>5.5797020617655976E-3</v>
      </c>
      <c r="L33" s="78">
        <f t="shared" si="16"/>
        <v>-0.1402226523980159</v>
      </c>
      <c r="M33" s="80">
        <f t="shared" si="17"/>
        <v>2.1169878818525765E-3</v>
      </c>
      <c r="N33" s="81">
        <f t="shared" si="18"/>
        <v>8.236369462989274E-3</v>
      </c>
      <c r="O33" s="84">
        <f t="shared" si="19"/>
        <v>1.0028861603305759</v>
      </c>
      <c r="P33" s="84">
        <f t="shared" si="20"/>
        <v>8.2601409458013201E-3</v>
      </c>
      <c r="Q33" s="65">
        <v>1</v>
      </c>
      <c r="R33" s="65">
        <v>1</v>
      </c>
      <c r="S33" s="65">
        <v>1967</v>
      </c>
      <c r="T33" s="123">
        <v>5410882680.29</v>
      </c>
      <c r="U33" s="123">
        <v>4723827541.9300003</v>
      </c>
    </row>
    <row r="34" spans="1:21" ht="15.75">
      <c r="A34" s="36">
        <v>27</v>
      </c>
      <c r="B34" s="37" t="s">
        <v>65</v>
      </c>
      <c r="C34" s="37" t="s">
        <v>66</v>
      </c>
      <c r="D34" s="42">
        <v>6761105452.5100002</v>
      </c>
      <c r="E34" s="42">
        <v>121067949.84999999</v>
      </c>
      <c r="F34" s="42">
        <v>21182668.390000001</v>
      </c>
      <c r="G34" s="39">
        <v>99885281.459999993</v>
      </c>
      <c r="H34" s="136">
        <v>13321667928</v>
      </c>
      <c r="I34" s="41">
        <f t="shared" si="21"/>
        <v>1.6324132708029872E-2</v>
      </c>
      <c r="J34" s="65">
        <v>13564972510.75</v>
      </c>
      <c r="K34" s="78">
        <f t="shared" si="22"/>
        <v>1.5976596080221301E-2</v>
      </c>
      <c r="L34" s="78">
        <f t="shared" si="16"/>
        <v>1.8263822823462891E-2</v>
      </c>
      <c r="M34" s="80">
        <f t="shared" si="17"/>
        <v>1.5615710517078536E-3</v>
      </c>
      <c r="N34" s="81">
        <f t="shared" si="18"/>
        <v>7.3634709824028531E-3</v>
      </c>
      <c r="O34" s="84">
        <f t="shared" si="19"/>
        <v>100.00000007924822</v>
      </c>
      <c r="P34" s="84">
        <f t="shared" si="20"/>
        <v>0.73634709882382732</v>
      </c>
      <c r="Q34" s="65">
        <v>100</v>
      </c>
      <c r="R34" s="65">
        <v>100</v>
      </c>
      <c r="S34" s="65">
        <v>5026</v>
      </c>
      <c r="T34" s="65">
        <v>133216679</v>
      </c>
      <c r="U34" s="65">
        <v>135649725</v>
      </c>
    </row>
    <row r="35" spans="1:21" ht="15.75">
      <c r="A35" s="36">
        <v>28</v>
      </c>
      <c r="B35" s="37" t="s">
        <v>67</v>
      </c>
      <c r="C35" s="37" t="s">
        <v>66</v>
      </c>
      <c r="D35" s="42">
        <v>468545453.24000001</v>
      </c>
      <c r="E35" s="42">
        <v>6288103.3600000003</v>
      </c>
      <c r="F35" s="42">
        <v>826707.22</v>
      </c>
      <c r="G35" s="39">
        <v>5461396.1399999997</v>
      </c>
      <c r="H35" s="65">
        <v>573670747.15999997</v>
      </c>
      <c r="I35" s="41">
        <f t="shared" si="21"/>
        <v>7.0296583415590532E-4</v>
      </c>
      <c r="J35" s="65">
        <v>1081041501.25</v>
      </c>
      <c r="K35" s="78">
        <f t="shared" si="22"/>
        <v>1.2732324667624685E-3</v>
      </c>
      <c r="L35" s="78">
        <f t="shared" si="16"/>
        <v>0.8844284924789646</v>
      </c>
      <c r="M35" s="80">
        <f t="shared" si="17"/>
        <v>7.6473217637258587E-4</v>
      </c>
      <c r="N35" s="81">
        <f t="shared" si="18"/>
        <v>5.0519763891441992E-3</v>
      </c>
      <c r="O35" s="84">
        <f t="shared" si="19"/>
        <v>1000038.3915356152</v>
      </c>
      <c r="P35" s="84">
        <f t="shared" si="20"/>
        <v>5052.17034227567</v>
      </c>
      <c r="Q35" s="65">
        <v>1000000</v>
      </c>
      <c r="R35" s="65">
        <v>1000000</v>
      </c>
      <c r="S35" s="65">
        <v>18</v>
      </c>
      <c r="T35" s="65">
        <v>573</v>
      </c>
      <c r="U35" s="65">
        <v>1081</v>
      </c>
    </row>
    <row r="36" spans="1:21" ht="15.75">
      <c r="A36" s="36">
        <v>29</v>
      </c>
      <c r="B36" s="43" t="s">
        <v>68</v>
      </c>
      <c r="C36" s="43" t="s">
        <v>69</v>
      </c>
      <c r="D36" s="44">
        <v>2285850739.8299999</v>
      </c>
      <c r="E36" s="42">
        <v>27580366.91</v>
      </c>
      <c r="F36" s="49">
        <v>23720559.84</v>
      </c>
      <c r="G36" s="39">
        <v>3859807.07</v>
      </c>
      <c r="H36" s="142">
        <v>2184411187.5900002</v>
      </c>
      <c r="I36" s="41">
        <f t="shared" si="21"/>
        <v>2.6767382513848458E-3</v>
      </c>
      <c r="J36" s="125">
        <v>2184411187.5900002</v>
      </c>
      <c r="K36" s="78">
        <f t="shared" si="22"/>
        <v>2.5727626937382107E-3</v>
      </c>
      <c r="L36" s="78">
        <f t="shared" si="16"/>
        <v>0</v>
      </c>
      <c r="M36" s="80">
        <f t="shared" si="17"/>
        <v>1.0859017741147092E-2</v>
      </c>
      <c r="N36" s="81">
        <f t="shared" si="18"/>
        <v>1.766978255709456E-3</v>
      </c>
      <c r="O36" s="84">
        <f t="shared" si="19"/>
        <v>1.0000181455622708</v>
      </c>
      <c r="P36" s="84">
        <f t="shared" si="20"/>
        <v>1.767010318523426E-3</v>
      </c>
      <c r="Q36" s="65">
        <v>1</v>
      </c>
      <c r="R36" s="65">
        <v>1</v>
      </c>
      <c r="S36" s="65">
        <v>399</v>
      </c>
      <c r="T36" s="65">
        <v>2094386935.3499999</v>
      </c>
      <c r="U36" s="123">
        <v>2184371550.9400001</v>
      </c>
    </row>
    <row r="37" spans="1:21" ht="15.75">
      <c r="A37" s="36">
        <v>30</v>
      </c>
      <c r="B37" s="37" t="s">
        <v>70</v>
      </c>
      <c r="C37" s="37" t="s">
        <v>71</v>
      </c>
      <c r="D37" s="44">
        <v>177954694.78999999</v>
      </c>
      <c r="E37" s="44">
        <v>2447530.5499999998</v>
      </c>
      <c r="F37" s="44">
        <v>1799116.37</v>
      </c>
      <c r="G37" s="39">
        <v>1578757.58</v>
      </c>
      <c r="H37" s="63">
        <v>277459305.73000002</v>
      </c>
      <c r="I37" s="41">
        <f t="shared" si="21"/>
        <v>3.3999365186806161E-4</v>
      </c>
      <c r="J37" s="123">
        <v>279437516.30000001</v>
      </c>
      <c r="K37" s="78">
        <f t="shared" si="22"/>
        <v>3.2911679872903171E-4</v>
      </c>
      <c r="L37" s="78">
        <f t="shared" si="16"/>
        <v>7.129732285587928E-3</v>
      </c>
      <c r="M37" s="80">
        <f t="shared" si="17"/>
        <v>6.4383494164344602E-3</v>
      </c>
      <c r="N37" s="81">
        <f t="shared" si="18"/>
        <v>5.6497695832118302E-3</v>
      </c>
      <c r="O37" s="84">
        <f t="shared" si="19"/>
        <v>1.0031051027574436</v>
      </c>
      <c r="P37" s="84">
        <f t="shared" si="20"/>
        <v>5.667312698323582E-3</v>
      </c>
      <c r="Q37" s="65">
        <v>1</v>
      </c>
      <c r="R37" s="65">
        <v>1</v>
      </c>
      <c r="S37" s="65">
        <v>399</v>
      </c>
      <c r="T37" s="123">
        <v>271208906</v>
      </c>
      <c r="U37" s="123">
        <v>278572520</v>
      </c>
    </row>
    <row r="38" spans="1:21" ht="15.75">
      <c r="A38" s="36">
        <v>31</v>
      </c>
      <c r="B38" s="37" t="s">
        <v>72</v>
      </c>
      <c r="C38" s="37" t="s">
        <v>73</v>
      </c>
      <c r="D38" s="55">
        <v>202668366932.16</v>
      </c>
      <c r="E38" s="44">
        <v>1622169615.3800001</v>
      </c>
      <c r="F38" s="47">
        <v>282507003.94999999</v>
      </c>
      <c r="G38" s="44">
        <v>1339662611.4400001</v>
      </c>
      <c r="H38" s="63">
        <v>194918601087.01999</v>
      </c>
      <c r="I38" s="41">
        <f t="shared" si="21"/>
        <v>0.23884975429542551</v>
      </c>
      <c r="J38" s="125">
        <v>202668366932.16</v>
      </c>
      <c r="K38" s="78">
        <f t="shared" si="22"/>
        <v>0.23869938801182097</v>
      </c>
      <c r="L38" s="78">
        <f t="shared" si="16"/>
        <v>3.975898555561759E-2</v>
      </c>
      <c r="M38" s="80">
        <f t="shared" si="17"/>
        <v>1.3939373382554797E-3</v>
      </c>
      <c r="N38" s="81">
        <f t="shared" si="18"/>
        <v>6.6101219036734564E-3</v>
      </c>
      <c r="O38" s="84">
        <f t="shared" si="19"/>
        <v>100.0276130467749</v>
      </c>
      <c r="P38" s="84">
        <f t="shared" si="20"/>
        <v>0.66119471597265955</v>
      </c>
      <c r="Q38" s="65">
        <v>100</v>
      </c>
      <c r="R38" s="65">
        <v>100</v>
      </c>
      <c r="S38" s="65">
        <v>23865</v>
      </c>
      <c r="T38" s="125">
        <v>1948597406.77</v>
      </c>
      <c r="U38" s="125">
        <v>2026124194.7</v>
      </c>
    </row>
    <row r="39" spans="1:21" ht="15.75" customHeight="1">
      <c r="A39" s="36">
        <v>32</v>
      </c>
      <c r="B39" s="37" t="s">
        <v>74</v>
      </c>
      <c r="C39" s="37" t="s">
        <v>75</v>
      </c>
      <c r="D39" s="42">
        <v>622736735.48000002</v>
      </c>
      <c r="E39" s="42">
        <v>5862030.7699999996</v>
      </c>
      <c r="F39" s="42">
        <v>1757073.56</v>
      </c>
      <c r="G39" s="39">
        <v>4104957.21</v>
      </c>
      <c r="H39" s="65">
        <v>605210816.88999999</v>
      </c>
      <c r="I39" s="41">
        <f t="shared" si="21"/>
        <v>7.4161446934751488E-4</v>
      </c>
      <c r="J39" s="65">
        <v>637192172.15999997</v>
      </c>
      <c r="K39" s="78">
        <f t="shared" si="22"/>
        <v>7.5047420494302902E-4</v>
      </c>
      <c r="L39" s="78">
        <f t="shared" si="16"/>
        <v>5.2843330584114043E-2</v>
      </c>
      <c r="M39" s="80">
        <f t="shared" si="17"/>
        <v>2.7575253381468033E-3</v>
      </c>
      <c r="N39" s="81">
        <f t="shared" si="18"/>
        <v>6.4422593204256102E-3</v>
      </c>
      <c r="O39" s="84">
        <f t="shared" si="19"/>
        <v>9.8926603997683724</v>
      </c>
      <c r="P39" s="84">
        <f t="shared" si="20"/>
        <v>6.3731083664213151E-2</v>
      </c>
      <c r="Q39" s="65">
        <v>10</v>
      </c>
      <c r="R39" s="65">
        <v>10</v>
      </c>
      <c r="S39" s="65">
        <v>287</v>
      </c>
      <c r="T39" s="65">
        <v>61309434</v>
      </c>
      <c r="U39" s="65">
        <v>64410598</v>
      </c>
    </row>
    <row r="40" spans="1:21" ht="15.75">
      <c r="A40" s="36">
        <v>33</v>
      </c>
      <c r="B40" s="37" t="s">
        <v>213</v>
      </c>
      <c r="C40" s="37" t="s">
        <v>76</v>
      </c>
      <c r="D40" s="44">
        <v>1021834605.6900001</v>
      </c>
      <c r="E40" s="42">
        <v>19560471.41</v>
      </c>
      <c r="F40" s="49">
        <v>4693267.9800000004</v>
      </c>
      <c r="G40" s="49">
        <v>14867203.43</v>
      </c>
      <c r="H40" s="65">
        <v>2289476734</v>
      </c>
      <c r="I40" s="41">
        <f t="shared" si="21"/>
        <v>2.8054836856584052E-3</v>
      </c>
      <c r="J40" s="65">
        <v>3167354274.25</v>
      </c>
      <c r="K40" s="78">
        <f t="shared" si="22"/>
        <v>3.730456500560714E-3</v>
      </c>
      <c r="L40" s="78">
        <f t="shared" si="16"/>
        <v>0.38344025392921943</v>
      </c>
      <c r="M40" s="80">
        <f t="shared" si="17"/>
        <v>1.4817628764029948E-3</v>
      </c>
      <c r="N40" s="81">
        <f t="shared" si="18"/>
        <v>4.6938871192488928E-3</v>
      </c>
      <c r="O40" s="84">
        <f t="shared" si="19"/>
        <v>99.976376215644777</v>
      </c>
      <c r="P40" s="84">
        <f t="shared" si="20"/>
        <v>0.46927782454779637</v>
      </c>
      <c r="Q40" s="65">
        <v>100</v>
      </c>
      <c r="R40" s="65">
        <v>100</v>
      </c>
      <c r="S40" s="65">
        <v>586</v>
      </c>
      <c r="T40" s="65">
        <v>23420484</v>
      </c>
      <c r="U40" s="65">
        <v>31681027</v>
      </c>
    </row>
    <row r="41" spans="1:21" ht="15.75">
      <c r="A41" s="36">
        <v>34</v>
      </c>
      <c r="B41" s="43" t="s">
        <v>215</v>
      </c>
      <c r="C41" s="43" t="s">
        <v>216</v>
      </c>
      <c r="D41" s="42">
        <v>20767629852.959999</v>
      </c>
      <c r="E41" s="42">
        <v>177990523.56</v>
      </c>
      <c r="F41" s="42">
        <v>25276976.190000001</v>
      </c>
      <c r="G41" s="39">
        <v>152713547.37</v>
      </c>
      <c r="H41" s="137">
        <v>19960174173.740002</v>
      </c>
      <c r="I41" s="41">
        <f t="shared" si="21"/>
        <v>2.4458839076950328E-2</v>
      </c>
      <c r="J41" s="65">
        <v>20813733377.669998</v>
      </c>
      <c r="K41" s="78">
        <f t="shared" si="22"/>
        <v>2.4514064502005259E-2</v>
      </c>
      <c r="L41" s="78">
        <f t="shared" si="16"/>
        <v>4.2763114013952636E-2</v>
      </c>
      <c r="M41" s="80">
        <f t="shared" ref="M41" si="23">(F41/J41)</f>
        <v>1.2144373972388053E-3</v>
      </c>
      <c r="N41" s="81">
        <f t="shared" ref="N41" si="24">G41/J41</f>
        <v>7.3371530517364388E-3</v>
      </c>
      <c r="O41" s="84">
        <f t="shared" ref="O41" si="25">J41/U41</f>
        <v>99.999999998414495</v>
      </c>
      <c r="P41" s="84">
        <f t="shared" ref="P41" si="26">G41/U41</f>
        <v>0.73371530516201078</v>
      </c>
      <c r="Q41" s="65">
        <v>100</v>
      </c>
      <c r="R41" s="65">
        <v>100</v>
      </c>
      <c r="S41" s="65">
        <v>10233</v>
      </c>
      <c r="T41" s="65">
        <v>199601741.74000001</v>
      </c>
      <c r="U41" s="65">
        <v>208137333.78</v>
      </c>
    </row>
    <row r="42" spans="1:21" ht="15.75">
      <c r="A42" s="36">
        <v>35</v>
      </c>
      <c r="B42" s="37" t="s">
        <v>77</v>
      </c>
      <c r="C42" s="37" t="s">
        <v>36</v>
      </c>
      <c r="D42" s="42">
        <v>3332139997.5700002</v>
      </c>
      <c r="E42" s="42">
        <v>26508679.68</v>
      </c>
      <c r="F42" s="42">
        <v>3876255.03</v>
      </c>
      <c r="G42" s="39">
        <v>22632424.649999999</v>
      </c>
      <c r="H42" s="65">
        <v>3211962804.1100001</v>
      </c>
      <c r="I42" s="41">
        <f t="shared" si="21"/>
        <v>3.9358815540914902E-3</v>
      </c>
      <c r="J42" s="65">
        <v>3322014949.0599999</v>
      </c>
      <c r="K42" s="78">
        <f t="shared" si="22"/>
        <v>3.9126132376256541E-3</v>
      </c>
      <c r="L42" s="78">
        <f t="shared" si="16"/>
        <v>3.4263206538126166E-2</v>
      </c>
      <c r="M42" s="80">
        <f t="shared" si="17"/>
        <v>1.1668385270502254E-3</v>
      </c>
      <c r="N42" s="81">
        <f t="shared" si="18"/>
        <v>6.8128605671699607E-3</v>
      </c>
      <c r="O42" s="84">
        <f t="shared" si="19"/>
        <v>0.9945276747328351</v>
      </c>
      <c r="P42" s="84">
        <f t="shared" si="20"/>
        <v>6.7755783781465644E-3</v>
      </c>
      <c r="Q42" s="65">
        <v>1</v>
      </c>
      <c r="R42" s="65">
        <v>1</v>
      </c>
      <c r="S42" s="65">
        <v>797</v>
      </c>
      <c r="T42" s="65">
        <v>3230055716</v>
      </c>
      <c r="U42" s="65">
        <v>3340294125</v>
      </c>
    </row>
    <row r="43" spans="1:21" ht="15.75">
      <c r="A43" s="36">
        <v>36</v>
      </c>
      <c r="B43" s="37" t="s">
        <v>78</v>
      </c>
      <c r="C43" s="37" t="s">
        <v>38</v>
      </c>
      <c r="D43" s="42">
        <v>3202799721.6300001</v>
      </c>
      <c r="E43" s="42">
        <v>29943210.649999999</v>
      </c>
      <c r="F43" s="42">
        <v>4752010.95</v>
      </c>
      <c r="G43" s="39">
        <v>25191199.699999999</v>
      </c>
      <c r="H43" s="136">
        <v>3115732936.2399998</v>
      </c>
      <c r="I43" s="41">
        <f t="shared" si="21"/>
        <v>3.8179632016692422E-3</v>
      </c>
      <c r="J43" s="65">
        <v>3205277484.75</v>
      </c>
      <c r="K43" s="78">
        <f t="shared" si="22"/>
        <v>3.775121818956572E-3</v>
      </c>
      <c r="L43" s="78">
        <f t="shared" si="16"/>
        <v>2.8739481317054307E-2</v>
      </c>
      <c r="M43" s="80">
        <f t="shared" si="17"/>
        <v>1.4825583658853298E-3</v>
      </c>
      <c r="N43" s="81">
        <f t="shared" si="18"/>
        <v>7.8592882581474295E-3</v>
      </c>
      <c r="O43" s="84">
        <f t="shared" si="19"/>
        <v>10.052511491993673</v>
      </c>
      <c r="P43" s="84">
        <f t="shared" si="20"/>
        <v>7.9005585533917969E-2</v>
      </c>
      <c r="Q43" s="65">
        <v>10</v>
      </c>
      <c r="R43" s="65">
        <v>10</v>
      </c>
      <c r="S43" s="65">
        <v>1841</v>
      </c>
      <c r="T43" s="65">
        <v>311535178.23000002</v>
      </c>
      <c r="U43" s="65">
        <v>318853401.69</v>
      </c>
    </row>
    <row r="44" spans="1:21" ht="15.75">
      <c r="A44" s="36">
        <v>37</v>
      </c>
      <c r="B44" s="37" t="s">
        <v>79</v>
      </c>
      <c r="C44" s="37" t="s">
        <v>212</v>
      </c>
      <c r="D44" s="45">
        <v>3115736232</v>
      </c>
      <c r="E44" s="44">
        <v>45305608.159999996</v>
      </c>
      <c r="F44" s="44">
        <v>6596829.1900000004</v>
      </c>
      <c r="G44" s="45">
        <v>38708779</v>
      </c>
      <c r="H44" s="65">
        <v>3851028805</v>
      </c>
      <c r="I44" s="41">
        <f t="shared" si="21"/>
        <v>4.7189815580926031E-3</v>
      </c>
      <c r="J44" s="123">
        <v>4477509807</v>
      </c>
      <c r="K44" s="78">
        <f t="shared" si="22"/>
        <v>5.2735356135058965E-3</v>
      </c>
      <c r="L44" s="78">
        <f t="shared" si="16"/>
        <v>0.16267886679699867</v>
      </c>
      <c r="M44" s="80">
        <f t="shared" si="17"/>
        <v>1.4733254586481804E-3</v>
      </c>
      <c r="N44" s="81">
        <f t="shared" si="18"/>
        <v>8.6451578373952179E-3</v>
      </c>
      <c r="O44" s="84">
        <f t="shared" si="19"/>
        <v>100.0000001563369</v>
      </c>
      <c r="P44" s="84">
        <f t="shared" si="20"/>
        <v>0.86451578509107896</v>
      </c>
      <c r="Q44" s="65">
        <v>100</v>
      </c>
      <c r="R44" s="65">
        <v>100</v>
      </c>
      <c r="S44" s="65">
        <v>1649</v>
      </c>
      <c r="T44" s="123">
        <v>38510288</v>
      </c>
      <c r="U44" s="123">
        <v>44775098</v>
      </c>
    </row>
    <row r="45" spans="1:21" ht="14.25" customHeight="1">
      <c r="A45" s="36">
        <v>38</v>
      </c>
      <c r="B45" s="37" t="s">
        <v>80</v>
      </c>
      <c r="C45" s="43" t="s">
        <v>81</v>
      </c>
      <c r="D45" s="44">
        <v>151025731.81999999</v>
      </c>
      <c r="E45" s="44">
        <v>894493.95</v>
      </c>
      <c r="F45" s="49">
        <v>60852.69</v>
      </c>
      <c r="G45" s="49">
        <v>833641.26</v>
      </c>
      <c r="H45" s="65">
        <v>142280248.16999999</v>
      </c>
      <c r="I45" s="41">
        <f t="shared" si="21"/>
        <v>1.7434766167506472E-4</v>
      </c>
      <c r="J45" s="123">
        <v>142341122.72999999</v>
      </c>
      <c r="K45" s="78">
        <f t="shared" si="22"/>
        <v>1.6764697618518664E-4</v>
      </c>
      <c r="L45" s="78">
        <f t="shared" si="16"/>
        <v>4.2784968948935163E-4</v>
      </c>
      <c r="M45" s="80">
        <f t="shared" si="17"/>
        <v>4.2751306743188009E-4</v>
      </c>
      <c r="N45" s="81">
        <f t="shared" si="18"/>
        <v>5.8566438427023922E-3</v>
      </c>
      <c r="O45" s="84">
        <f t="shared" si="19"/>
        <v>0.99089760267185201</v>
      </c>
      <c r="P45" s="84">
        <f t="shared" si="20"/>
        <v>5.8033343434366639E-3</v>
      </c>
      <c r="Q45" s="65">
        <v>1</v>
      </c>
      <c r="R45" s="65">
        <v>1</v>
      </c>
      <c r="S45" s="65">
        <v>53</v>
      </c>
      <c r="T45" s="123">
        <v>142166213</v>
      </c>
      <c r="U45" s="123">
        <v>143648670</v>
      </c>
    </row>
    <row r="46" spans="1:21" ht="15.75">
      <c r="A46" s="36">
        <v>39</v>
      </c>
      <c r="B46" s="43" t="s">
        <v>82</v>
      </c>
      <c r="C46" s="43" t="s">
        <v>40</v>
      </c>
      <c r="D46" s="42">
        <v>736015344.19000006</v>
      </c>
      <c r="E46" s="42">
        <v>16397099.050000001</v>
      </c>
      <c r="F46" s="42">
        <v>950888.37</v>
      </c>
      <c r="G46" s="39">
        <v>15446210.68</v>
      </c>
      <c r="H46" s="65">
        <v>691458984.12</v>
      </c>
      <c r="I46" s="41">
        <f t="shared" si="21"/>
        <v>8.4730142501225104E-4</v>
      </c>
      <c r="J46" s="65">
        <v>752569128.62</v>
      </c>
      <c r="K46" s="78">
        <f t="shared" si="22"/>
        <v>8.8636324038824602E-4</v>
      </c>
      <c r="L46" s="78">
        <f t="shared" si="16"/>
        <v>8.8378553035612262E-2</v>
      </c>
      <c r="M46" s="80">
        <f t="shared" si="17"/>
        <v>1.2635229560155645E-3</v>
      </c>
      <c r="N46" s="81">
        <f t="shared" si="18"/>
        <v>2.0524640318855494E-2</v>
      </c>
      <c r="O46" s="84">
        <f t="shared" si="19"/>
        <v>10.883623661203696</v>
      </c>
      <c r="P46" s="84">
        <f t="shared" si="20"/>
        <v>0.22338246101199108</v>
      </c>
      <c r="Q46" s="65">
        <v>10</v>
      </c>
      <c r="R46" s="65">
        <v>10</v>
      </c>
      <c r="S46" s="65">
        <v>574</v>
      </c>
      <c r="T46" s="65">
        <v>65883358</v>
      </c>
      <c r="U46" s="65">
        <v>69146926.799999997</v>
      </c>
    </row>
    <row r="47" spans="1:21" ht="15.75" customHeight="1">
      <c r="A47" s="36">
        <v>40</v>
      </c>
      <c r="B47" s="37" t="s">
        <v>205</v>
      </c>
      <c r="C47" s="37" t="s">
        <v>44</v>
      </c>
      <c r="D47" s="42">
        <v>363370800512.34003</v>
      </c>
      <c r="E47" s="42">
        <v>3574168097.2800002</v>
      </c>
      <c r="F47" s="42">
        <v>590092597.21000004</v>
      </c>
      <c r="G47" s="39">
        <v>2984075500.0700002</v>
      </c>
      <c r="H47" s="65">
        <v>348549575831.40002</v>
      </c>
      <c r="I47" s="41">
        <f t="shared" si="21"/>
        <v>0.42710639252914545</v>
      </c>
      <c r="J47" s="65">
        <v>364500932984.84003</v>
      </c>
      <c r="K47" s="78">
        <f t="shared" si="22"/>
        <v>0.42930305775021615</v>
      </c>
      <c r="L47" s="78">
        <f t="shared" si="16"/>
        <v>4.5764959304256829E-2</v>
      </c>
      <c r="M47" s="80">
        <f t="shared" si="17"/>
        <v>1.6189055879166779E-3</v>
      </c>
      <c r="N47" s="81">
        <f t="shared" si="18"/>
        <v>8.1867431055220666E-3</v>
      </c>
      <c r="O47" s="84">
        <f t="shared" si="19"/>
        <v>0.99999999999997269</v>
      </c>
      <c r="P47" s="84">
        <f t="shared" si="20"/>
        <v>8.1867431055218445E-3</v>
      </c>
      <c r="Q47" s="65">
        <v>100</v>
      </c>
      <c r="R47" s="65">
        <v>100</v>
      </c>
      <c r="S47" s="65">
        <v>104960</v>
      </c>
      <c r="T47" s="65">
        <v>348549575831.40002</v>
      </c>
      <c r="U47" s="65">
        <v>364500932984.84998</v>
      </c>
    </row>
    <row r="48" spans="1:21" ht="15.75">
      <c r="A48" s="36">
        <v>41</v>
      </c>
      <c r="B48" s="37" t="s">
        <v>83</v>
      </c>
      <c r="C48" s="37" t="s">
        <v>84</v>
      </c>
      <c r="D48" s="42">
        <v>2102701277.52</v>
      </c>
      <c r="E48" s="42">
        <v>23275440.920000002</v>
      </c>
      <c r="F48" s="42">
        <v>2905523.4</v>
      </c>
      <c r="G48" s="39">
        <v>20369917.52</v>
      </c>
      <c r="H48" s="65">
        <v>1893901801.0899999</v>
      </c>
      <c r="I48" s="41">
        <f t="shared" si="21"/>
        <v>2.3207532648362194E-3</v>
      </c>
      <c r="J48" s="65">
        <v>2114595412.0999999</v>
      </c>
      <c r="K48" s="78">
        <f t="shared" si="22"/>
        <v>2.4905348496237316E-3</v>
      </c>
      <c r="L48" s="78">
        <f t="shared" si="16"/>
        <v>0.11652853959111496</v>
      </c>
      <c r="M48" s="80">
        <f t="shared" si="17"/>
        <v>1.3740327740116164E-3</v>
      </c>
      <c r="N48" s="81">
        <f t="shared" si="18"/>
        <v>9.6330094179910668E-3</v>
      </c>
      <c r="O48" s="84">
        <f t="shared" si="19"/>
        <v>1.0073324533418782</v>
      </c>
      <c r="P48" s="84">
        <f t="shared" si="20"/>
        <v>9.7036430100903605E-3</v>
      </c>
      <c r="Q48" s="65">
        <v>1</v>
      </c>
      <c r="R48" s="65">
        <v>1</v>
      </c>
      <c r="S48" s="65">
        <v>313</v>
      </c>
      <c r="T48" s="65">
        <v>1857317209.29</v>
      </c>
      <c r="U48" s="65">
        <v>2099203103.29</v>
      </c>
    </row>
    <row r="49" spans="1:21" ht="15.75">
      <c r="A49" s="36">
        <v>42</v>
      </c>
      <c r="B49" s="37" t="s">
        <v>85</v>
      </c>
      <c r="C49" s="37" t="s">
        <v>48</v>
      </c>
      <c r="D49" s="45">
        <v>13205530640</v>
      </c>
      <c r="E49" s="45">
        <v>408401734</v>
      </c>
      <c r="F49" s="45">
        <v>54676179</v>
      </c>
      <c r="G49" s="53">
        <v>353725555</v>
      </c>
      <c r="H49" s="143">
        <v>44709857641</v>
      </c>
      <c r="I49" s="41">
        <f t="shared" si="21"/>
        <v>5.4786656853589716E-2</v>
      </c>
      <c r="J49" s="125">
        <v>44709857641</v>
      </c>
      <c r="K49" s="78">
        <f t="shared" si="22"/>
        <v>5.265851705695488E-2</v>
      </c>
      <c r="L49" s="78">
        <f t="shared" si="16"/>
        <v>0</v>
      </c>
      <c r="M49" s="80">
        <f t="shared" si="17"/>
        <v>1.2229110510488552E-3</v>
      </c>
      <c r="N49" s="81">
        <f t="shared" si="18"/>
        <v>7.9115786464867936E-3</v>
      </c>
      <c r="O49" s="84">
        <f t="shared" si="19"/>
        <v>0.99802418233258294</v>
      </c>
      <c r="P49" s="84">
        <f t="shared" si="20"/>
        <v>7.895946809619905E-3</v>
      </c>
      <c r="Q49" s="65">
        <v>1</v>
      </c>
      <c r="R49" s="65">
        <v>1</v>
      </c>
      <c r="S49" s="65">
        <v>4026</v>
      </c>
      <c r="T49" s="125">
        <v>46832219734</v>
      </c>
      <c r="U49" s="125">
        <v>44798371054</v>
      </c>
    </row>
    <row r="50" spans="1:21" ht="15.75">
      <c r="A50" s="36">
        <v>43</v>
      </c>
      <c r="B50" s="56" t="s">
        <v>86</v>
      </c>
      <c r="C50" s="37" t="s">
        <v>87</v>
      </c>
      <c r="D50" s="44">
        <v>976914510.13999999</v>
      </c>
      <c r="E50" s="44">
        <v>12709347.869999999</v>
      </c>
      <c r="F50" s="44">
        <v>2628843.12</v>
      </c>
      <c r="G50" s="44">
        <v>10080504.75</v>
      </c>
      <c r="H50" s="63">
        <v>1960405444.5799999</v>
      </c>
      <c r="I50" s="41">
        <f t="shared" si="21"/>
        <v>2.402245635593824E-3</v>
      </c>
      <c r="J50" s="123">
        <v>1918312837.3</v>
      </c>
      <c r="K50" s="78">
        <f t="shared" si="22"/>
        <v>2.2593565399972094E-3</v>
      </c>
      <c r="L50" s="78">
        <f t="shared" si="16"/>
        <v>-2.1471378482637277E-2</v>
      </c>
      <c r="M50" s="80">
        <f t="shared" si="17"/>
        <v>1.3703933315173254E-3</v>
      </c>
      <c r="N50" s="81">
        <f t="shared" si="18"/>
        <v>5.2548805147903709E-3</v>
      </c>
      <c r="O50" s="84">
        <f t="shared" si="19"/>
        <v>1.0053307136129277</v>
      </c>
      <c r="P50" s="84">
        <f t="shared" si="20"/>
        <v>5.2828927778848728E-3</v>
      </c>
      <c r="Q50" s="65">
        <v>1</v>
      </c>
      <c r="R50" s="65">
        <v>1.01</v>
      </c>
      <c r="S50" s="65">
        <v>61</v>
      </c>
      <c r="T50" s="123">
        <v>1937696659</v>
      </c>
      <c r="U50" s="123">
        <v>1908141083.6500001</v>
      </c>
    </row>
    <row r="51" spans="1:21" ht="15.75">
      <c r="A51" s="36">
        <v>44</v>
      </c>
      <c r="B51" s="37" t="s">
        <v>88</v>
      </c>
      <c r="C51" s="37" t="s">
        <v>89</v>
      </c>
      <c r="D51" s="44">
        <v>1469875070.9000001</v>
      </c>
      <c r="E51" s="44">
        <v>13897590.470000001</v>
      </c>
      <c r="F51" s="44">
        <v>2325745.71</v>
      </c>
      <c r="G51" s="44">
        <v>11571844.76</v>
      </c>
      <c r="H51" s="137">
        <v>1500602986.98</v>
      </c>
      <c r="I51" s="41">
        <f t="shared" si="21"/>
        <v>1.838811959127191E-3</v>
      </c>
      <c r="J51" s="123">
        <v>1471586009.7</v>
      </c>
      <c r="K51" s="78">
        <f t="shared" si="22"/>
        <v>1.733209208912847E-3</v>
      </c>
      <c r="L51" s="78">
        <f t="shared" si="16"/>
        <v>-1.9336878262782447E-2</v>
      </c>
      <c r="M51" s="80">
        <f t="shared" si="17"/>
        <v>1.5804347789866054E-3</v>
      </c>
      <c r="N51" s="81">
        <f t="shared" si="18"/>
        <v>7.8635191444630919E-3</v>
      </c>
      <c r="O51" s="84">
        <f t="shared" si="19"/>
        <v>1.0078948597617734</v>
      </c>
      <c r="P51" s="84">
        <f t="shared" si="20"/>
        <v>7.9256005253426492E-3</v>
      </c>
      <c r="Q51" s="65">
        <v>1</v>
      </c>
      <c r="R51" s="65">
        <v>1</v>
      </c>
      <c r="S51" s="65">
        <v>253</v>
      </c>
      <c r="T51" s="123">
        <v>1471940020.46</v>
      </c>
      <c r="U51" s="123">
        <v>1460059048.27</v>
      </c>
    </row>
    <row r="52" spans="1:21" ht="15.75">
      <c r="A52" s="36">
        <v>45</v>
      </c>
      <c r="B52" s="37" t="s">
        <v>90</v>
      </c>
      <c r="C52" s="37" t="s">
        <v>91</v>
      </c>
      <c r="D52" s="44">
        <v>25104373254.970001</v>
      </c>
      <c r="E52" s="44">
        <v>218065327.52000001</v>
      </c>
      <c r="F52" s="44">
        <v>30858938.530000001</v>
      </c>
      <c r="G52" s="44">
        <v>187206388.99000001</v>
      </c>
      <c r="H52" s="63">
        <v>24683628429.360001</v>
      </c>
      <c r="I52" s="41">
        <f t="shared" si="21"/>
        <v>3.0246875119117715E-2</v>
      </c>
      <c r="J52" s="123">
        <v>25074484066.200001</v>
      </c>
      <c r="K52" s="78">
        <f t="shared" si="22"/>
        <v>2.9532304877739345E-2</v>
      </c>
      <c r="L52" s="78">
        <f t="shared" si="16"/>
        <v>1.5834610294777247E-2</v>
      </c>
      <c r="M52" s="80">
        <f t="shared" si="17"/>
        <v>1.2306908668002208E-3</v>
      </c>
      <c r="N52" s="81">
        <f t="shared" si="18"/>
        <v>7.4660116034990006E-3</v>
      </c>
      <c r="O52" s="84">
        <f t="shared" si="19"/>
        <v>1.0075392448038147</v>
      </c>
      <c r="P52" s="84">
        <f t="shared" si="20"/>
        <v>7.5222996926859013E-3</v>
      </c>
      <c r="Q52" s="65">
        <v>1</v>
      </c>
      <c r="R52" s="65">
        <v>1</v>
      </c>
      <c r="S52" s="65">
        <v>2991</v>
      </c>
      <c r="T52" s="123">
        <v>24177193661.900002</v>
      </c>
      <c r="U52" s="123">
        <v>24886855966.669998</v>
      </c>
    </row>
    <row r="53" spans="1:21" ht="15.75" customHeight="1">
      <c r="A53" s="149" t="s">
        <v>229</v>
      </c>
      <c r="B53" s="150"/>
      <c r="C53" s="150"/>
      <c r="D53" s="150"/>
      <c r="E53" s="150"/>
      <c r="F53" s="150"/>
      <c r="G53" s="151"/>
      <c r="H53" s="126">
        <f>SUM(H24:H52)</f>
        <v>816072018420.12988</v>
      </c>
      <c r="I53" s="102">
        <f>(H53/$H$167)</f>
        <v>0.44649719863039972</v>
      </c>
      <c r="J53" s="126">
        <f>SUM(J24:J52)</f>
        <v>849052729545.00989</v>
      </c>
      <c r="K53" s="101">
        <f>(J53/$J$167)</f>
        <v>0.44358291134301625</v>
      </c>
      <c r="L53" s="78">
        <f t="shared" si="16"/>
        <v>4.0413971292299462E-2</v>
      </c>
      <c r="M53" s="80"/>
      <c r="N53" s="80"/>
      <c r="O53" s="87"/>
      <c r="P53" s="87"/>
      <c r="Q53" s="126"/>
      <c r="R53" s="126"/>
      <c r="S53" s="126">
        <f>SUM(S24:S52)</f>
        <v>305086</v>
      </c>
      <c r="T53" s="126"/>
      <c r="U53" s="126"/>
    </row>
    <row r="54" spans="1:21" ht="6" customHeight="1">
      <c r="A54" s="174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6"/>
    </row>
    <row r="55" spans="1:21" ht="15.75" customHeight="1">
      <c r="A55" s="161" t="s">
        <v>223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1" ht="14.25" customHeight="1">
      <c r="A56" s="36">
        <v>46</v>
      </c>
      <c r="B56" s="37" t="s">
        <v>92</v>
      </c>
      <c r="C56" s="37" t="s">
        <v>24</v>
      </c>
      <c r="D56" s="42">
        <v>475108320.31</v>
      </c>
      <c r="E56" s="42">
        <v>8876579.3399999999</v>
      </c>
      <c r="F56" s="42">
        <v>624944.89</v>
      </c>
      <c r="G56" s="39">
        <v>8251634.4500000002</v>
      </c>
      <c r="H56" s="65">
        <v>477025133.58999997</v>
      </c>
      <c r="I56" s="78">
        <f>(H56/$H$86)</f>
        <v>1.4876613437975921E-3</v>
      </c>
      <c r="J56" s="65">
        <v>477873436.89999998</v>
      </c>
      <c r="K56" s="78">
        <f>(J56/$J$86)</f>
        <v>1.4891164055136868E-3</v>
      </c>
      <c r="L56" s="78">
        <f>((J56-H56)/H56)</f>
        <v>1.7783199464058293E-3</v>
      </c>
      <c r="M56" s="80">
        <f t="shared" ref="M56:M85" si="27">(F56/J56)</f>
        <v>1.3077623524213092E-3</v>
      </c>
      <c r="N56" s="81">
        <f t="shared" ref="N56:N85" si="28">G56/J56</f>
        <v>1.7267405578198607E-2</v>
      </c>
      <c r="O56" s="89">
        <f t="shared" ref="O56:O85" si="29">J56/U56</f>
        <v>1.3358577034481252</v>
      </c>
      <c r="P56" s="89">
        <f t="shared" ref="P56:P85" si="30">G56/U56</f>
        <v>2.3066796760199737E-2</v>
      </c>
      <c r="Q56" s="65">
        <v>1.32</v>
      </c>
      <c r="R56" s="65">
        <v>1.32</v>
      </c>
      <c r="S56" s="65">
        <v>290</v>
      </c>
      <c r="T56" s="65">
        <v>337512968.43000001</v>
      </c>
      <c r="U56" s="65">
        <v>357727799.64999998</v>
      </c>
    </row>
    <row r="57" spans="1:21" ht="15" customHeight="1">
      <c r="A57" s="36">
        <v>47</v>
      </c>
      <c r="B57" s="37" t="s">
        <v>93</v>
      </c>
      <c r="C57" s="43" t="s">
        <v>26</v>
      </c>
      <c r="D57" s="44">
        <v>514416470.12</v>
      </c>
      <c r="E57" s="44">
        <v>6128812.75</v>
      </c>
      <c r="F57" s="44">
        <v>1698320.11</v>
      </c>
      <c r="G57" s="44">
        <v>2646492.64</v>
      </c>
      <c r="H57" s="65">
        <v>574045627</v>
      </c>
      <c r="I57" s="78">
        <f t="shared" ref="I57:I85" si="31">(H57/$H$86)</f>
        <v>1.7902316434293929E-3</v>
      </c>
      <c r="J57" s="123">
        <v>623217159</v>
      </c>
      <c r="K57" s="78">
        <f t="shared" ref="K57:K85" si="32">(J57/$J$86)</f>
        <v>1.9420265367433146E-3</v>
      </c>
      <c r="L57" s="78">
        <f t="shared" ref="L57:L86" si="33">((J57-H57)/H57)</f>
        <v>8.5657880989310278E-2</v>
      </c>
      <c r="M57" s="80">
        <f t="shared" si="27"/>
        <v>2.7250856069577509E-3</v>
      </c>
      <c r="N57" s="81">
        <f t="shared" si="28"/>
        <v>4.2465015633499272E-3</v>
      </c>
      <c r="O57" s="89">
        <f t="shared" si="29"/>
        <v>1.1337412000537763</v>
      </c>
      <c r="P57" s="89">
        <f t="shared" si="30"/>
        <v>4.8144337784625834E-3</v>
      </c>
      <c r="Q57" s="65">
        <v>1.1299999999999999</v>
      </c>
      <c r="R57" s="65">
        <v>1.1299999999999999</v>
      </c>
      <c r="S57" s="65">
        <v>385</v>
      </c>
      <c r="T57" s="123">
        <v>505651237</v>
      </c>
      <c r="U57" s="123">
        <v>549699666</v>
      </c>
    </row>
    <row r="58" spans="1:21" ht="15.75">
      <c r="A58" s="36">
        <v>48</v>
      </c>
      <c r="B58" s="37" t="s">
        <v>94</v>
      </c>
      <c r="C58" s="37" t="s">
        <v>95</v>
      </c>
      <c r="D58" s="44">
        <v>650156604.51999998</v>
      </c>
      <c r="E58" s="44">
        <v>5387942.2000000002</v>
      </c>
      <c r="F58" s="44">
        <v>1441788.83</v>
      </c>
      <c r="G58" s="44">
        <v>2162153.37</v>
      </c>
      <c r="H58" s="65">
        <v>593325159</v>
      </c>
      <c r="I58" s="78">
        <f t="shared" si="31"/>
        <v>1.8503572268909138E-3</v>
      </c>
      <c r="J58" s="123">
        <v>856578877</v>
      </c>
      <c r="K58" s="78">
        <f t="shared" si="32"/>
        <v>2.6692123057346492E-3</v>
      </c>
      <c r="L58" s="78">
        <f t="shared" si="33"/>
        <v>0.44369215430488768</v>
      </c>
      <c r="M58" s="80">
        <f t="shared" si="27"/>
        <v>1.6831944713014445E-3</v>
      </c>
      <c r="N58" s="81">
        <f t="shared" si="28"/>
        <v>2.5241731124313028E-3</v>
      </c>
      <c r="O58" s="89">
        <f t="shared" si="29"/>
        <v>1.034839616707603</v>
      </c>
      <c r="P58" s="89">
        <f t="shared" si="30"/>
        <v>2.6121143361720468E-3</v>
      </c>
      <c r="Q58" s="65">
        <v>1.03</v>
      </c>
      <c r="R58" s="65">
        <v>1.03</v>
      </c>
      <c r="S58" s="65">
        <v>58</v>
      </c>
      <c r="T58" s="123">
        <v>575247086</v>
      </c>
      <c r="U58" s="123">
        <v>827740708</v>
      </c>
    </row>
    <row r="59" spans="1:21" ht="13.5" customHeight="1">
      <c r="A59" s="36">
        <v>49</v>
      </c>
      <c r="B59" s="37" t="s">
        <v>96</v>
      </c>
      <c r="C59" s="43" t="s">
        <v>97</v>
      </c>
      <c r="D59" s="44">
        <v>220646666.94999999</v>
      </c>
      <c r="E59" s="44">
        <v>2806770.95</v>
      </c>
      <c r="F59" s="44">
        <v>2806770.95</v>
      </c>
      <c r="G59" s="44">
        <v>416469.55</v>
      </c>
      <c r="H59" s="63">
        <v>253302524.36000001</v>
      </c>
      <c r="I59" s="78">
        <f t="shared" si="31"/>
        <v>7.8995496723785106E-4</v>
      </c>
      <c r="J59" s="65">
        <v>263139116.90000001</v>
      </c>
      <c r="K59" s="78">
        <f t="shared" si="32"/>
        <v>8.1997605568976512E-4</v>
      </c>
      <c r="L59" s="78">
        <f t="shared" si="33"/>
        <v>3.8833377459831293E-2</v>
      </c>
      <c r="M59" s="80">
        <f t="shared" si="27"/>
        <v>1.0666490725765601E-2</v>
      </c>
      <c r="N59" s="81">
        <f t="shared" si="28"/>
        <v>1.5826972245949647E-3</v>
      </c>
      <c r="O59" s="89">
        <f t="shared" si="29"/>
        <v>1149.5811135867191</v>
      </c>
      <c r="P59" s="89">
        <f t="shared" si="30"/>
        <v>1.8194388379204893</v>
      </c>
      <c r="Q59" s="65">
        <v>1149.58</v>
      </c>
      <c r="R59" s="65">
        <v>1149.58</v>
      </c>
      <c r="S59" s="65">
        <v>114</v>
      </c>
      <c r="T59" s="123">
        <v>228960</v>
      </c>
      <c r="U59" s="123">
        <v>228900</v>
      </c>
    </row>
    <row r="60" spans="1:21" ht="15" customHeight="1">
      <c r="A60" s="36">
        <v>50</v>
      </c>
      <c r="B60" s="37" t="s">
        <v>98</v>
      </c>
      <c r="C60" s="43" t="s">
        <v>99</v>
      </c>
      <c r="D60" s="42">
        <v>1317864840.6400001</v>
      </c>
      <c r="E60" s="42">
        <v>11471958.109999999</v>
      </c>
      <c r="F60" s="42">
        <v>1984111.68</v>
      </c>
      <c r="G60" s="39">
        <v>9487846.4299999997</v>
      </c>
      <c r="H60" s="65">
        <v>1383606113.8399999</v>
      </c>
      <c r="I60" s="78">
        <f t="shared" si="31"/>
        <v>4.3149452422163274E-3</v>
      </c>
      <c r="J60" s="65">
        <v>1321847189.8199999</v>
      </c>
      <c r="K60" s="78">
        <f t="shared" si="32"/>
        <v>4.1190494887353019E-3</v>
      </c>
      <c r="L60" s="78">
        <f t="shared" si="33"/>
        <v>-4.46362034702181E-2</v>
      </c>
      <c r="M60" s="80">
        <f t="shared" si="27"/>
        <v>1.5010144101983397E-3</v>
      </c>
      <c r="N60" s="81">
        <f t="shared" si="28"/>
        <v>7.1777180471912106E-3</v>
      </c>
      <c r="O60" s="89">
        <f t="shared" si="29"/>
        <v>0.97947520974558477</v>
      </c>
      <c r="P60" s="89">
        <f t="shared" si="30"/>
        <v>7.0303968897672802E-3</v>
      </c>
      <c r="Q60" s="39">
        <v>1.01</v>
      </c>
      <c r="R60" s="39">
        <v>1.01</v>
      </c>
      <c r="S60" s="65">
        <v>753</v>
      </c>
      <c r="T60" s="65">
        <v>1321847189.8199999</v>
      </c>
      <c r="U60" s="65">
        <v>1349546345.5</v>
      </c>
    </row>
    <row r="61" spans="1:21" ht="15.75">
      <c r="A61" s="36">
        <v>51</v>
      </c>
      <c r="B61" s="37" t="s">
        <v>206</v>
      </c>
      <c r="C61" s="37" t="s">
        <v>100</v>
      </c>
      <c r="D61" s="44">
        <v>450877674.54000002</v>
      </c>
      <c r="E61" s="44">
        <v>4074272.15</v>
      </c>
      <c r="F61" s="44">
        <v>836133.69</v>
      </c>
      <c r="G61" s="44">
        <v>3238138.46</v>
      </c>
      <c r="H61" s="65">
        <v>427560837.80000001</v>
      </c>
      <c r="I61" s="78">
        <f t="shared" si="31"/>
        <v>1.3334008749808699E-3</v>
      </c>
      <c r="J61" s="65">
        <v>430823976.25999999</v>
      </c>
      <c r="K61" s="78">
        <f t="shared" si="32"/>
        <v>1.3425041054785716E-3</v>
      </c>
      <c r="L61" s="78">
        <f t="shared" si="33"/>
        <v>7.6319863081716005E-3</v>
      </c>
      <c r="M61" s="80">
        <f t="shared" si="27"/>
        <v>1.9407779883991361E-3</v>
      </c>
      <c r="N61" s="81">
        <f t="shared" si="28"/>
        <v>7.5161519284753101E-3</v>
      </c>
      <c r="O61" s="89">
        <f t="shared" si="29"/>
        <v>2.223996727118942</v>
      </c>
      <c r="P61" s="89">
        <f t="shared" si="30"/>
        <v>1.6715897289457812E-2</v>
      </c>
      <c r="Q61" s="65">
        <v>2.2200000000000002</v>
      </c>
      <c r="R61" s="65">
        <v>2.2200000000000002</v>
      </c>
      <c r="S61" s="65">
        <v>1403</v>
      </c>
      <c r="T61" s="123">
        <v>193704867.80000001</v>
      </c>
      <c r="U61" s="123">
        <v>193716101.74000001</v>
      </c>
    </row>
    <row r="62" spans="1:21" ht="12.75" customHeight="1">
      <c r="A62" s="36">
        <v>52</v>
      </c>
      <c r="B62" s="37" t="s">
        <v>101</v>
      </c>
      <c r="C62" s="37" t="s">
        <v>42</v>
      </c>
      <c r="D62" s="42">
        <v>1451286599.5</v>
      </c>
      <c r="E62" s="42">
        <v>13753972.310000001</v>
      </c>
      <c r="F62" s="42">
        <v>6765274.2400000002</v>
      </c>
      <c r="G62" s="39">
        <f>E62-F62</f>
        <v>6988698.0700000003</v>
      </c>
      <c r="H62" s="65">
        <v>1276259571.22</v>
      </c>
      <c r="I62" s="78">
        <f t="shared" si="31"/>
        <v>3.9801718925517966E-3</v>
      </c>
      <c r="J62" s="65">
        <v>1457254413</v>
      </c>
      <c r="K62" s="78">
        <f t="shared" si="32"/>
        <v>4.5409961840160145E-3</v>
      </c>
      <c r="L62" s="78">
        <f t="shared" si="33"/>
        <v>0.14181663813653805</v>
      </c>
      <c r="M62" s="80">
        <f t="shared" si="27"/>
        <v>4.6424798440462848E-3</v>
      </c>
      <c r="N62" s="81">
        <f t="shared" si="28"/>
        <v>4.7957981857214664E-3</v>
      </c>
      <c r="O62" s="89">
        <f t="shared" si="29"/>
        <v>99.916339371624375</v>
      </c>
      <c r="P62" s="89">
        <f t="shared" si="30"/>
        <v>0.47917859908236649</v>
      </c>
      <c r="Q62" s="65">
        <v>99.916300000000007</v>
      </c>
      <c r="R62" s="65">
        <v>99.916300000000007</v>
      </c>
      <c r="S62" s="65">
        <v>117</v>
      </c>
      <c r="T62" s="65">
        <v>12314307.664000001</v>
      </c>
      <c r="U62" s="65">
        <v>14584745.82</v>
      </c>
    </row>
    <row r="63" spans="1:21" ht="15.75">
      <c r="A63" s="36">
        <v>53</v>
      </c>
      <c r="B63" s="43" t="s">
        <v>102</v>
      </c>
      <c r="C63" s="37" t="s">
        <v>58</v>
      </c>
      <c r="D63" s="42">
        <v>3402756972.6100001</v>
      </c>
      <c r="E63" s="42">
        <v>27495413.780000001</v>
      </c>
      <c r="F63" s="42">
        <v>5849509.29</v>
      </c>
      <c r="G63" s="39">
        <v>21645904.489999998</v>
      </c>
      <c r="H63" s="65">
        <v>3358973503.3499999</v>
      </c>
      <c r="I63" s="78">
        <f t="shared" si="31"/>
        <v>1.0475370549487795E-2</v>
      </c>
      <c r="J63" s="65">
        <v>3374324163.1100001</v>
      </c>
      <c r="K63" s="78">
        <f t="shared" si="32"/>
        <v>1.0514837362386868E-2</v>
      </c>
      <c r="L63" s="78">
        <f t="shared" si="33"/>
        <v>4.5700449094613514E-3</v>
      </c>
      <c r="M63" s="80">
        <f t="shared" si="27"/>
        <v>1.7335350746529065E-3</v>
      </c>
      <c r="N63" s="81">
        <f t="shared" si="28"/>
        <v>6.4148858982326414E-3</v>
      </c>
      <c r="O63" s="89">
        <f t="shared" si="29"/>
        <v>3877.7508837153205</v>
      </c>
      <c r="P63" s="89">
        <f t="shared" si="30"/>
        <v>24.875329460804572</v>
      </c>
      <c r="Q63" s="65">
        <v>3877.75</v>
      </c>
      <c r="R63" s="65">
        <v>3877.75</v>
      </c>
      <c r="S63" s="65">
        <v>1033</v>
      </c>
      <c r="T63" s="65">
        <v>871794.86</v>
      </c>
      <c r="U63" s="65">
        <v>870175.59</v>
      </c>
    </row>
    <row r="64" spans="1:21" ht="15.75">
      <c r="A64" s="36">
        <v>54</v>
      </c>
      <c r="B64" s="37" t="s">
        <v>103</v>
      </c>
      <c r="C64" s="37" t="s">
        <v>60</v>
      </c>
      <c r="D64" s="42">
        <v>312197869.06</v>
      </c>
      <c r="E64" s="42">
        <v>3272278.14</v>
      </c>
      <c r="F64" s="42">
        <v>647524.4</v>
      </c>
      <c r="G64" s="39">
        <v>2624753.7400000002</v>
      </c>
      <c r="H64" s="136">
        <v>338368185.02999997</v>
      </c>
      <c r="I64" s="78">
        <f t="shared" si="31"/>
        <v>1.0552426557732103E-3</v>
      </c>
      <c r="J64" s="65">
        <v>349946497.24000001</v>
      </c>
      <c r="K64" s="78">
        <f t="shared" si="32"/>
        <v>1.0904792563332666E-3</v>
      </c>
      <c r="L64" s="78">
        <f t="shared" si="33"/>
        <v>3.4218087640164797E-2</v>
      </c>
      <c r="M64" s="80">
        <f t="shared" si="27"/>
        <v>1.8503525684839628E-3</v>
      </c>
      <c r="N64" s="81">
        <f t="shared" si="28"/>
        <v>7.50044295542668E-3</v>
      </c>
      <c r="O64" s="89">
        <f t="shared" si="29"/>
        <v>112.56696659305807</v>
      </c>
      <c r="P64" s="89">
        <f t="shared" si="30"/>
        <v>0.8443021115966528</v>
      </c>
      <c r="Q64" s="65">
        <v>106.93</v>
      </c>
      <c r="R64" s="65">
        <v>106.93</v>
      </c>
      <c r="S64" s="65">
        <v>117</v>
      </c>
      <c r="T64" s="65">
        <v>2964140</v>
      </c>
      <c r="U64" s="65">
        <v>3108785</v>
      </c>
    </row>
    <row r="65" spans="1:21" ht="15.75">
      <c r="A65" s="36">
        <v>55</v>
      </c>
      <c r="B65" s="43" t="s">
        <v>104</v>
      </c>
      <c r="C65" s="43" t="s">
        <v>64</v>
      </c>
      <c r="D65" s="44">
        <v>356300426.92000002</v>
      </c>
      <c r="E65" s="44">
        <v>2866911.4</v>
      </c>
      <c r="F65" s="49">
        <v>1275791.07</v>
      </c>
      <c r="G65" s="44">
        <v>-625703721.65999997</v>
      </c>
      <c r="H65" s="63">
        <v>359969041.68000001</v>
      </c>
      <c r="I65" s="78">
        <f t="shared" si="31"/>
        <v>1.1226075746597231E-3</v>
      </c>
      <c r="J65" s="123">
        <v>354179150.51999998</v>
      </c>
      <c r="K65" s="78">
        <f t="shared" si="32"/>
        <v>1.1036687599788066E-3</v>
      </c>
      <c r="L65" s="78">
        <f t="shared" si="33"/>
        <v>-1.6084414184559345E-2</v>
      </c>
      <c r="M65" s="80">
        <f t="shared" si="27"/>
        <v>3.6021066404583802E-3</v>
      </c>
      <c r="N65" s="81">
        <f t="shared" si="28"/>
        <v>-1.7666305900314914</v>
      </c>
      <c r="O65" s="89">
        <f t="shared" si="29"/>
        <v>1.4080926855954332</v>
      </c>
      <c r="P65" s="89">
        <f t="shared" si="30"/>
        <v>-2.4875796119724876</v>
      </c>
      <c r="Q65" s="65">
        <v>1.4</v>
      </c>
      <c r="R65" s="65">
        <v>1.4</v>
      </c>
      <c r="S65" s="65">
        <v>287</v>
      </c>
      <c r="T65" s="123">
        <v>244850164.30000001</v>
      </c>
      <c r="U65" s="123">
        <v>251531134.38</v>
      </c>
    </row>
    <row r="66" spans="1:21" ht="15.75">
      <c r="A66" s="36">
        <v>56</v>
      </c>
      <c r="B66" s="37" t="s">
        <v>222</v>
      </c>
      <c r="C66" s="37" t="s">
        <v>46</v>
      </c>
      <c r="D66" s="42">
        <f>34282450.83+34791182.95+8503906.9</f>
        <v>77577540.680000007</v>
      </c>
      <c r="E66" s="42">
        <v>540611.05000000005</v>
      </c>
      <c r="F66" s="42">
        <v>106554.87</v>
      </c>
      <c r="G66" s="39">
        <v>434056.18</v>
      </c>
      <c r="H66" s="65">
        <v>69991061.420000002</v>
      </c>
      <c r="I66" s="78">
        <f t="shared" si="31"/>
        <v>2.1827570321565081E-4</v>
      </c>
      <c r="J66" s="65">
        <v>70436025.890000001</v>
      </c>
      <c r="K66" s="78">
        <f t="shared" si="32"/>
        <v>2.1948790954441475E-4</v>
      </c>
      <c r="L66" s="78">
        <f t="shared" si="33"/>
        <v>6.3574470935634344E-3</v>
      </c>
      <c r="M66" s="80">
        <f t="shared" ref="M66" si="34">(F66/J66)</f>
        <v>1.5127893525169467E-3</v>
      </c>
      <c r="N66" s="81">
        <f t="shared" ref="N66" si="35">G66/J66</f>
        <v>6.1624172362856741E-3</v>
      </c>
      <c r="O66" s="89">
        <f t="shared" ref="O66" si="36">J66/U66</f>
        <v>107.08043644824193</v>
      </c>
      <c r="P66" s="89">
        <f t="shared" ref="P66" si="37">G66/U66</f>
        <v>0.65987432723763872</v>
      </c>
      <c r="Q66" s="65">
        <v>107.0804</v>
      </c>
      <c r="R66" s="65">
        <v>107.0804</v>
      </c>
      <c r="S66" s="65">
        <v>59</v>
      </c>
      <c r="T66" s="65">
        <v>657786.13</v>
      </c>
      <c r="U66" s="65">
        <v>657786.13</v>
      </c>
    </row>
    <row r="67" spans="1:21" ht="15.75">
      <c r="A67" s="36">
        <v>57</v>
      </c>
      <c r="B67" s="37" t="s">
        <v>105</v>
      </c>
      <c r="C67" s="37" t="s">
        <v>106</v>
      </c>
      <c r="D67" s="42">
        <v>509058537.66000003</v>
      </c>
      <c r="E67" s="44">
        <v>11652148.640000001</v>
      </c>
      <c r="F67" s="44">
        <v>3587846.72</v>
      </c>
      <c r="G67" s="39">
        <v>8064301.9299999997</v>
      </c>
      <c r="H67" s="65">
        <v>846859161.44000006</v>
      </c>
      <c r="I67" s="78">
        <f t="shared" si="31"/>
        <v>2.6410340868914394E-3</v>
      </c>
      <c r="J67" s="123">
        <v>689555451.47000003</v>
      </c>
      <c r="K67" s="78">
        <f t="shared" si="32"/>
        <v>2.1487453706497783E-3</v>
      </c>
      <c r="L67" s="78">
        <f t="shared" si="33"/>
        <v>-0.18574955214810532</v>
      </c>
      <c r="M67" s="80">
        <f t="shared" si="27"/>
        <v>5.2031300925130808E-3</v>
      </c>
      <c r="N67" s="81">
        <f t="shared" si="28"/>
        <v>1.1694928831043906E-2</v>
      </c>
      <c r="O67" s="89">
        <f t="shared" si="29"/>
        <v>1151.9102263678228</v>
      </c>
      <c r="P67" s="89">
        <f t="shared" si="30"/>
        <v>13.471508117123362</v>
      </c>
      <c r="Q67" s="65">
        <v>1000</v>
      </c>
      <c r="R67" s="65">
        <v>1000</v>
      </c>
      <c r="S67" s="65">
        <v>230</v>
      </c>
      <c r="T67" s="123">
        <v>766091.98</v>
      </c>
      <c r="U67" s="123">
        <v>598619.09</v>
      </c>
    </row>
    <row r="68" spans="1:21" ht="15.75">
      <c r="A68" s="36">
        <v>58</v>
      </c>
      <c r="B68" s="37" t="s">
        <v>107</v>
      </c>
      <c r="C68" s="37" t="s">
        <v>66</v>
      </c>
      <c r="D68" s="42">
        <v>274237636.61000001</v>
      </c>
      <c r="E68" s="42">
        <v>2840191.43</v>
      </c>
      <c r="F68" s="42">
        <v>627818.84</v>
      </c>
      <c r="G68" s="39">
        <v>2212372.59</v>
      </c>
      <c r="H68" s="65">
        <v>281329015.79000002</v>
      </c>
      <c r="I68" s="78">
        <f t="shared" si="31"/>
        <v>8.7735901571828429E-4</v>
      </c>
      <c r="J68" s="65">
        <v>275124069.97000003</v>
      </c>
      <c r="K68" s="78">
        <f t="shared" si="32"/>
        <v>8.5732274386649953E-4</v>
      </c>
      <c r="L68" s="78">
        <f t="shared" si="33"/>
        <v>-2.2055833105504189E-2</v>
      </c>
      <c r="M68" s="80">
        <f t="shared" si="27"/>
        <v>2.28194806826047E-3</v>
      </c>
      <c r="N68" s="81">
        <f t="shared" si="28"/>
        <v>8.0413632665482185E-3</v>
      </c>
      <c r="O68" s="89">
        <f t="shared" si="29"/>
        <v>1108.74534524865</v>
      </c>
      <c r="P68" s="89">
        <f t="shared" si="30"/>
        <v>8.9158240912388163</v>
      </c>
      <c r="Q68" s="65">
        <v>1106.22</v>
      </c>
      <c r="R68" s="65">
        <v>1109.7</v>
      </c>
      <c r="S68" s="65">
        <v>281</v>
      </c>
      <c r="T68" s="65">
        <v>239369</v>
      </c>
      <c r="U68" s="65">
        <v>248140</v>
      </c>
    </row>
    <row r="69" spans="1:21" ht="15.75">
      <c r="A69" s="36">
        <v>59</v>
      </c>
      <c r="B69" s="37" t="s">
        <v>108</v>
      </c>
      <c r="C69" s="43" t="s">
        <v>69</v>
      </c>
      <c r="D69" s="44">
        <v>214313635.11000001</v>
      </c>
      <c r="E69" s="44">
        <v>7086022.7300000004</v>
      </c>
      <c r="F69" s="49">
        <v>1601618.97</v>
      </c>
      <c r="G69" s="49">
        <v>5484403.7599999998</v>
      </c>
      <c r="H69" s="63" t="s">
        <v>228</v>
      </c>
      <c r="I69" s="78">
        <f t="shared" si="31"/>
        <v>2.2504255118377297E-3</v>
      </c>
      <c r="J69" s="125">
        <v>728144212.71000004</v>
      </c>
      <c r="K69" s="78">
        <f t="shared" si="32"/>
        <v>2.2689930199095956E-3</v>
      </c>
      <c r="L69" s="78">
        <f t="shared" si="33"/>
        <v>9.0567128324133654E-3</v>
      </c>
      <c r="M69" s="80">
        <f t="shared" si="27"/>
        <v>2.1995903312052845E-3</v>
      </c>
      <c r="N69" s="81">
        <f t="shared" si="28"/>
        <v>7.532029595604694E-3</v>
      </c>
      <c r="O69" s="89">
        <f t="shared" si="29"/>
        <v>1.0707771286731147</v>
      </c>
      <c r="P69" s="89">
        <f t="shared" si="30"/>
        <v>8.065125023462516E-3</v>
      </c>
      <c r="Q69" s="65">
        <v>1.07</v>
      </c>
      <c r="R69" s="65">
        <v>1.07</v>
      </c>
      <c r="S69" s="65">
        <v>45</v>
      </c>
      <c r="T69" s="123">
        <v>679214816.92999995</v>
      </c>
      <c r="U69" s="123">
        <v>680014723.14999998</v>
      </c>
    </row>
    <row r="70" spans="1:21" ht="15.75">
      <c r="A70" s="36">
        <v>60</v>
      </c>
      <c r="B70" s="37" t="s">
        <v>230</v>
      </c>
      <c r="C70" s="37" t="s">
        <v>30</v>
      </c>
      <c r="D70" s="44">
        <v>67596057640.660004</v>
      </c>
      <c r="E70" s="44">
        <v>731240680.15999997</v>
      </c>
      <c r="F70" s="47">
        <v>79512420.390000001</v>
      </c>
      <c r="G70" s="44">
        <v>651728259.76999998</v>
      </c>
      <c r="H70" s="137">
        <v>67394318452.419998</v>
      </c>
      <c r="I70" s="78">
        <f t="shared" si="31"/>
        <v>0.21017744201173003</v>
      </c>
      <c r="J70" s="123">
        <v>67596057640.660004</v>
      </c>
      <c r="K70" s="78">
        <f t="shared" si="32"/>
        <v>0.21063819540532325</v>
      </c>
      <c r="L70" s="78">
        <f t="shared" si="33"/>
        <v>2.9934153630833465E-3</v>
      </c>
      <c r="M70" s="80">
        <f t="shared" si="27"/>
        <v>1.1762878363807438E-3</v>
      </c>
      <c r="N70" s="81">
        <f t="shared" si="28"/>
        <v>9.6415128709810439E-3</v>
      </c>
      <c r="O70" s="89">
        <f t="shared" si="29"/>
        <v>1572.2751456154574</v>
      </c>
      <c r="P70" s="89">
        <f t="shared" si="30"/>
        <v>15.159111053175028</v>
      </c>
      <c r="Q70" s="39">
        <v>1572.27</v>
      </c>
      <c r="R70" s="39">
        <v>1572.27</v>
      </c>
      <c r="S70" s="65">
        <v>2415</v>
      </c>
      <c r="T70" s="125">
        <v>43282203.689999998</v>
      </c>
      <c r="U70" s="125">
        <v>42992511.729999997</v>
      </c>
    </row>
    <row r="71" spans="1:21" ht="15" customHeight="1">
      <c r="A71" s="36">
        <v>61</v>
      </c>
      <c r="B71" s="37" t="s">
        <v>109</v>
      </c>
      <c r="C71" s="37" t="s">
        <v>75</v>
      </c>
      <c r="D71" s="42">
        <v>23239853.530000001</v>
      </c>
      <c r="E71" s="42">
        <v>278296.81</v>
      </c>
      <c r="F71" s="42">
        <v>246747.16</v>
      </c>
      <c r="G71" s="39">
        <v>31549.65</v>
      </c>
      <c r="H71" s="65">
        <v>21811589.719999999</v>
      </c>
      <c r="I71" s="78">
        <f t="shared" si="31"/>
        <v>6.802211579297206E-5</v>
      </c>
      <c r="J71" s="65">
        <v>22023612.440000001</v>
      </c>
      <c r="K71" s="78">
        <f t="shared" si="32"/>
        <v>6.8628469508218688E-5</v>
      </c>
      <c r="L71" s="78">
        <f t="shared" si="33"/>
        <v>9.7206449746113487E-3</v>
      </c>
      <c r="M71" s="80">
        <f t="shared" si="27"/>
        <v>1.1203755091142532E-2</v>
      </c>
      <c r="N71" s="81">
        <f t="shared" si="28"/>
        <v>1.4325374679540991E-3</v>
      </c>
      <c r="O71" s="89">
        <f t="shared" si="29"/>
        <v>0.65709322180323815</v>
      </c>
      <c r="P71" s="89">
        <f t="shared" si="30"/>
        <v>9.4131066017181207E-4</v>
      </c>
      <c r="Q71" s="39">
        <v>0.55700000000000005</v>
      </c>
      <c r="R71" s="39">
        <v>0.75700000000000001</v>
      </c>
      <c r="S71" s="65">
        <v>750</v>
      </c>
      <c r="T71" s="65">
        <v>33516724.43</v>
      </c>
      <c r="U71" s="65">
        <v>33516724.43</v>
      </c>
    </row>
    <row r="72" spans="1:21" ht="15.75">
      <c r="A72" s="36">
        <v>62</v>
      </c>
      <c r="B72" s="43" t="s">
        <v>110</v>
      </c>
      <c r="C72" s="43" t="s">
        <v>111</v>
      </c>
      <c r="D72" s="57">
        <v>1111724608.9000001</v>
      </c>
      <c r="E72" s="57">
        <v>45773471.210000001</v>
      </c>
      <c r="F72" s="57">
        <v>10340198.67</v>
      </c>
      <c r="G72" s="57">
        <v>35433272.539999999</v>
      </c>
      <c r="H72" s="65">
        <v>979392387.12</v>
      </c>
      <c r="I72" s="78">
        <f t="shared" si="31"/>
        <v>3.0543551945846873E-3</v>
      </c>
      <c r="J72" s="127">
        <v>1105604970.48</v>
      </c>
      <c r="K72" s="78">
        <f t="shared" si="32"/>
        <v>3.4452103264818305E-3</v>
      </c>
      <c r="L72" s="78">
        <f t="shared" si="33"/>
        <v>0.12886825037627725</v>
      </c>
      <c r="M72" s="80">
        <f t="shared" si="27"/>
        <v>9.3525254915512793E-3</v>
      </c>
      <c r="N72" s="81">
        <f t="shared" si="28"/>
        <v>3.2048763786415135E-2</v>
      </c>
      <c r="O72" s="89">
        <f t="shared" si="29"/>
        <v>207.56662178140004</v>
      </c>
      <c r="P72" s="89">
        <f t="shared" si="30"/>
        <v>6.6522536314162615</v>
      </c>
      <c r="Q72" s="39">
        <v>207.56</v>
      </c>
      <c r="R72" s="39">
        <v>208.71</v>
      </c>
      <c r="S72" s="65">
        <v>481</v>
      </c>
      <c r="T72" s="127">
        <v>4768236.7699999996</v>
      </c>
      <c r="U72" s="127">
        <v>5326506.55</v>
      </c>
    </row>
    <row r="73" spans="1:21" ht="15.75">
      <c r="A73" s="36">
        <v>63</v>
      </c>
      <c r="B73" s="37" t="s">
        <v>112</v>
      </c>
      <c r="C73" s="43" t="s">
        <v>36</v>
      </c>
      <c r="D73" s="42">
        <v>1249795289.0899999</v>
      </c>
      <c r="E73" s="42">
        <v>13485194.33</v>
      </c>
      <c r="F73" s="42">
        <v>1582937.49</v>
      </c>
      <c r="G73" s="39">
        <v>1902256.84</v>
      </c>
      <c r="H73" s="65">
        <v>1241553264.1600001</v>
      </c>
      <c r="I73" s="78">
        <f t="shared" si="31"/>
        <v>3.8719360203440484E-3</v>
      </c>
      <c r="J73" s="65">
        <v>1241430106.8900001</v>
      </c>
      <c r="K73" s="78">
        <f t="shared" si="32"/>
        <v>3.8684592942866479E-3</v>
      </c>
      <c r="L73" s="78">
        <f t="shared" si="33"/>
        <v>-9.9196122756203833E-5</v>
      </c>
      <c r="M73" s="80">
        <f t="shared" si="27"/>
        <v>1.2750919131206957E-3</v>
      </c>
      <c r="N73" s="81">
        <f t="shared" si="28"/>
        <v>1.5323108642543613E-3</v>
      </c>
      <c r="O73" s="89">
        <f t="shared" si="29"/>
        <v>3.1016792882180946</v>
      </c>
      <c r="P73" s="89">
        <f t="shared" si="30"/>
        <v>4.7527368707693208E-3</v>
      </c>
      <c r="Q73" s="39">
        <v>3.52</v>
      </c>
      <c r="R73" s="39">
        <v>3.52</v>
      </c>
      <c r="S73" s="65">
        <v>789</v>
      </c>
      <c r="T73" s="65">
        <v>401385858</v>
      </c>
      <c r="U73" s="65">
        <v>400244510</v>
      </c>
    </row>
    <row r="74" spans="1:21" ht="15.75">
      <c r="A74" s="36">
        <v>64</v>
      </c>
      <c r="B74" s="43" t="s">
        <v>113</v>
      </c>
      <c r="C74" s="37" t="s">
        <v>114</v>
      </c>
      <c r="D74" s="44">
        <v>14000478824.139999</v>
      </c>
      <c r="E74" s="44">
        <v>212620570.03999999</v>
      </c>
      <c r="F74" s="44">
        <v>27407124.149999999</v>
      </c>
      <c r="G74" s="44">
        <v>177159947.83000001</v>
      </c>
      <c r="H74" s="65">
        <v>16321830787.17</v>
      </c>
      <c r="I74" s="78">
        <f t="shared" si="31"/>
        <v>5.0901629730369519E-2</v>
      </c>
      <c r="J74" s="125">
        <v>16747846518.85</v>
      </c>
      <c r="K74" s="78">
        <f t="shared" si="32"/>
        <v>5.2188489843731728E-2</v>
      </c>
      <c r="L74" s="78">
        <f t="shared" si="33"/>
        <v>2.6100977104533876E-2</v>
      </c>
      <c r="M74" s="80">
        <f t="shared" si="27"/>
        <v>1.6364566106545574E-3</v>
      </c>
      <c r="N74" s="81">
        <f t="shared" si="28"/>
        <v>1.0578073284263939E-2</v>
      </c>
      <c r="O74" s="89">
        <f t="shared" si="29"/>
        <v>1184.0929561003716</v>
      </c>
      <c r="P74" s="89">
        <f t="shared" si="30"/>
        <v>12.525422065010455</v>
      </c>
      <c r="Q74" s="39">
        <v>1184.0899999999999</v>
      </c>
      <c r="R74" s="39">
        <v>1184.0899999999999</v>
      </c>
      <c r="S74" s="65">
        <v>7729</v>
      </c>
      <c r="T74" s="125">
        <v>13637416.23</v>
      </c>
      <c r="U74" s="125">
        <v>14144030.189999999</v>
      </c>
    </row>
    <row r="75" spans="1:21" ht="15.75">
      <c r="A75" s="36">
        <v>65</v>
      </c>
      <c r="B75" s="37" t="s">
        <v>115</v>
      </c>
      <c r="C75" s="37" t="s">
        <v>22</v>
      </c>
      <c r="D75" s="42">
        <v>1612435680.6199999</v>
      </c>
      <c r="E75" s="42">
        <v>15380569.439999999</v>
      </c>
      <c r="F75" s="42">
        <v>2140377.25</v>
      </c>
      <c r="G75" s="39">
        <v>13240192.189999999</v>
      </c>
      <c r="H75" s="65">
        <v>1579142949.23</v>
      </c>
      <c r="I75" s="78">
        <f t="shared" si="31"/>
        <v>4.9247508285782332E-3</v>
      </c>
      <c r="J75" s="65">
        <v>1592420649.72</v>
      </c>
      <c r="K75" s="78">
        <f t="shared" si="32"/>
        <v>4.9621919338300353E-3</v>
      </c>
      <c r="L75" s="78">
        <f t="shared" si="33"/>
        <v>8.4081688085770184E-3</v>
      </c>
      <c r="M75" s="80">
        <f t="shared" si="27"/>
        <v>1.3441029230413138E-3</v>
      </c>
      <c r="N75" s="81">
        <f t="shared" si="28"/>
        <v>8.3145067180132714E-3</v>
      </c>
      <c r="O75" s="89">
        <f t="shared" si="29"/>
        <v>331.9753719984019</v>
      </c>
      <c r="P75" s="89">
        <f t="shared" si="30"/>
        <v>2.7602114606956674</v>
      </c>
      <c r="Q75" s="65">
        <v>331.97539999999998</v>
      </c>
      <c r="R75" s="65">
        <v>331.97539999999998</v>
      </c>
      <c r="S75" s="65">
        <v>100</v>
      </c>
      <c r="T75" s="65">
        <v>4637967.5114000002</v>
      </c>
      <c r="U75" s="65">
        <v>4796803.5705000004</v>
      </c>
    </row>
    <row r="76" spans="1:21" ht="15.75">
      <c r="A76" s="36">
        <v>66</v>
      </c>
      <c r="B76" s="43" t="s">
        <v>116</v>
      </c>
      <c r="C76" s="43" t="s">
        <v>40</v>
      </c>
      <c r="D76" s="42">
        <v>53608766.880000003</v>
      </c>
      <c r="E76" s="42">
        <v>515726.86</v>
      </c>
      <c r="F76" s="42">
        <v>153586.93</v>
      </c>
      <c r="G76" s="39">
        <v>362139.93</v>
      </c>
      <c r="H76" s="65">
        <v>54776342.729999997</v>
      </c>
      <c r="I76" s="78">
        <f t="shared" si="31"/>
        <v>1.7082673824911755E-4</v>
      </c>
      <c r="J76" s="65">
        <v>55840293.229999997</v>
      </c>
      <c r="K76" s="78">
        <f t="shared" si="32"/>
        <v>1.7400568919859931E-4</v>
      </c>
      <c r="L76" s="78">
        <f t="shared" si="33"/>
        <v>1.9423540290821457E-2</v>
      </c>
      <c r="M76" s="80">
        <f t="shared" si="27"/>
        <v>2.7504678273696094E-3</v>
      </c>
      <c r="N76" s="81">
        <f t="shared" si="28"/>
        <v>6.4852798768155759E-3</v>
      </c>
      <c r="O76" s="89">
        <f t="shared" si="29"/>
        <v>12.162533156151305</v>
      </c>
      <c r="P76" s="89">
        <f t="shared" si="30"/>
        <v>7.8877431528690284E-2</v>
      </c>
      <c r="Q76" s="65">
        <v>11.84</v>
      </c>
      <c r="R76" s="65">
        <v>12.2</v>
      </c>
      <c r="S76" s="65">
        <v>54</v>
      </c>
      <c r="T76" s="65">
        <v>4591172.95</v>
      </c>
      <c r="U76" s="65">
        <v>4591172.95</v>
      </c>
    </row>
    <row r="77" spans="1:21" ht="15.75">
      <c r="A77" s="36">
        <v>67</v>
      </c>
      <c r="B77" s="37" t="s">
        <v>117</v>
      </c>
      <c r="C77" s="37" t="s">
        <v>118</v>
      </c>
      <c r="D77" s="42">
        <v>6941256956.0600004</v>
      </c>
      <c r="E77" s="42">
        <v>67637245.140000001</v>
      </c>
      <c r="F77" s="42">
        <v>9666028.25</v>
      </c>
      <c r="G77" s="39">
        <v>57971216.890000001</v>
      </c>
      <c r="H77" s="65">
        <v>6677781948</v>
      </c>
      <c r="I77" s="78">
        <f t="shared" si="31"/>
        <v>2.0825481440748216E-2</v>
      </c>
      <c r="J77" s="65">
        <v>6923768306</v>
      </c>
      <c r="K77" s="78">
        <f t="shared" si="32"/>
        <v>2.1575371586510354E-2</v>
      </c>
      <c r="L77" s="78">
        <f t="shared" si="33"/>
        <v>3.6836536430135021E-2</v>
      </c>
      <c r="M77" s="80">
        <f t="shared" si="27"/>
        <v>1.3960646605727133E-3</v>
      </c>
      <c r="N77" s="81">
        <f t="shared" si="28"/>
        <v>8.3727840574565875E-3</v>
      </c>
      <c r="O77" s="89">
        <f t="shared" si="29"/>
        <v>1.0699999999891823</v>
      </c>
      <c r="P77" s="89">
        <f t="shared" si="30"/>
        <v>8.9588789413879728E-3</v>
      </c>
      <c r="Q77" s="65">
        <v>1.07</v>
      </c>
      <c r="R77" s="65">
        <v>1.07</v>
      </c>
      <c r="S77" s="65">
        <v>3316</v>
      </c>
      <c r="T77" s="65">
        <v>6299794291</v>
      </c>
      <c r="U77" s="65">
        <v>6470811501</v>
      </c>
    </row>
    <row r="78" spans="1:21" ht="15.75">
      <c r="A78" s="36">
        <v>68</v>
      </c>
      <c r="B78" s="43" t="s">
        <v>119</v>
      </c>
      <c r="C78" s="37" t="s">
        <v>44</v>
      </c>
      <c r="D78" s="48">
        <v>23573977086.049999</v>
      </c>
      <c r="E78" s="44">
        <v>216606504.88</v>
      </c>
      <c r="F78" s="44">
        <v>27727629.379999999</v>
      </c>
      <c r="G78" s="44">
        <v>188878875.5</v>
      </c>
      <c r="H78" s="137">
        <v>23969004408.560001</v>
      </c>
      <c r="I78" s="78">
        <f t="shared" si="31"/>
        <v>7.4750277914237523E-2</v>
      </c>
      <c r="J78" s="123">
        <v>23540018055.41</v>
      </c>
      <c r="K78" s="78">
        <f t="shared" si="32"/>
        <v>7.3353788609377774E-2</v>
      </c>
      <c r="L78" s="78">
        <f t="shared" si="33"/>
        <v>-1.7897545756919236E-2</v>
      </c>
      <c r="M78" s="80">
        <f t="shared" si="27"/>
        <v>1.1778932928060179E-3</v>
      </c>
      <c r="N78" s="81">
        <f t="shared" si="28"/>
        <v>8.0237353707802959E-3</v>
      </c>
      <c r="O78" s="89">
        <f t="shared" si="29"/>
        <v>4811.617747900902</v>
      </c>
      <c r="P78" s="89">
        <f t="shared" si="30"/>
        <v>38.607147514506693</v>
      </c>
      <c r="Q78" s="65">
        <v>4811.62</v>
      </c>
      <c r="R78" s="65">
        <v>4811.62</v>
      </c>
      <c r="S78" s="65">
        <v>447</v>
      </c>
      <c r="T78" s="123">
        <v>5027604.6100000003</v>
      </c>
      <c r="U78" s="123">
        <v>4892329.21</v>
      </c>
    </row>
    <row r="79" spans="1:21" ht="15.75">
      <c r="A79" s="36">
        <v>69</v>
      </c>
      <c r="B79" s="37" t="s">
        <v>120</v>
      </c>
      <c r="C79" s="37" t="s">
        <v>44</v>
      </c>
      <c r="D79" s="48">
        <v>43424028062.260002</v>
      </c>
      <c r="E79" s="44">
        <v>306267473.91000003</v>
      </c>
      <c r="F79" s="44">
        <v>71193276.530000001</v>
      </c>
      <c r="G79" s="44">
        <v>235074197.38</v>
      </c>
      <c r="H79" s="137">
        <v>44437097763.730003</v>
      </c>
      <c r="I79" s="78">
        <f t="shared" si="31"/>
        <v>0.13858253563317358</v>
      </c>
      <c r="J79" s="123">
        <v>43172077367.309998</v>
      </c>
      <c r="K79" s="78">
        <f t="shared" si="32"/>
        <v>0.13452986440261261</v>
      </c>
      <c r="L79" s="78">
        <f t="shared" si="33"/>
        <v>-2.8467664633411948E-2</v>
      </c>
      <c r="M79" s="80">
        <f t="shared" si="27"/>
        <v>1.6490583930971023E-3</v>
      </c>
      <c r="N79" s="81">
        <f t="shared" si="28"/>
        <v>5.4450517953995598E-3</v>
      </c>
      <c r="O79" s="89">
        <f t="shared" si="29"/>
        <v>252.22861261813847</v>
      </c>
      <c r="P79" s="89">
        <f t="shared" si="30"/>
        <v>1.3733978599875349</v>
      </c>
      <c r="Q79" s="65">
        <v>252.23</v>
      </c>
      <c r="R79" s="65">
        <v>252.23</v>
      </c>
      <c r="S79" s="65">
        <v>6245</v>
      </c>
      <c r="T79" s="123">
        <v>177722447.31999999</v>
      </c>
      <c r="U79" s="123">
        <v>171162489.93000001</v>
      </c>
    </row>
    <row r="80" spans="1:21" ht="15.75">
      <c r="A80" s="36">
        <v>70</v>
      </c>
      <c r="B80" s="43" t="s">
        <v>121</v>
      </c>
      <c r="C80" s="37" t="s">
        <v>44</v>
      </c>
      <c r="D80" s="48">
        <v>241746409.11000001</v>
      </c>
      <c r="E80" s="44">
        <v>7426527.5</v>
      </c>
      <c r="F80" s="44">
        <v>668773.72</v>
      </c>
      <c r="G80" s="49">
        <v>5888536.7599999998</v>
      </c>
      <c r="H80" s="137">
        <v>273138855.94999999</v>
      </c>
      <c r="I80" s="78">
        <f t="shared" si="31"/>
        <v>8.5181699846272442E-4</v>
      </c>
      <c r="J80" s="123">
        <v>279791550.33999997</v>
      </c>
      <c r="K80" s="78">
        <f t="shared" si="32"/>
        <v>8.7186722584580334E-4</v>
      </c>
      <c r="L80" s="78">
        <f t="shared" si="33"/>
        <v>2.4356455499022111E-2</v>
      </c>
      <c r="M80" s="80">
        <f t="shared" si="27"/>
        <v>2.3902570295182704E-3</v>
      </c>
      <c r="N80" s="81">
        <f t="shared" si="28"/>
        <v>2.1046156514892275E-2</v>
      </c>
      <c r="O80" s="89">
        <f t="shared" si="29"/>
        <v>4956.7695757121583</v>
      </c>
      <c r="P80" s="89">
        <f t="shared" si="30"/>
        <v>104.32094829869425</v>
      </c>
      <c r="Q80" s="65">
        <v>4943.42</v>
      </c>
      <c r="R80" s="65">
        <v>4965.92</v>
      </c>
      <c r="S80" s="65">
        <v>15</v>
      </c>
      <c r="T80" s="65">
        <v>56446.35</v>
      </c>
      <c r="U80" s="65">
        <v>56446.35</v>
      </c>
    </row>
    <row r="81" spans="1:21" ht="15.75">
      <c r="A81" s="36">
        <v>71</v>
      </c>
      <c r="B81" s="37" t="s">
        <v>122</v>
      </c>
      <c r="C81" s="37" t="s">
        <v>44</v>
      </c>
      <c r="D81" s="48">
        <v>178356862.34999999</v>
      </c>
      <c r="E81" s="44">
        <v>181798575.94999999</v>
      </c>
      <c r="F81" s="44">
        <v>26267267.440000001</v>
      </c>
      <c r="G81" s="44">
        <v>155531308.50999999</v>
      </c>
      <c r="H81" s="137">
        <v>18866705976.860001</v>
      </c>
      <c r="I81" s="78">
        <f t="shared" si="31"/>
        <v>5.8838134911971429E-2</v>
      </c>
      <c r="J81" s="123">
        <v>18877777076.810001</v>
      </c>
      <c r="K81" s="78">
        <f t="shared" si="32"/>
        <v>5.8825633261952052E-2</v>
      </c>
      <c r="L81" s="78">
        <f t="shared" si="33"/>
        <v>5.8680619518740882E-4</v>
      </c>
      <c r="M81" s="80">
        <f t="shared" si="27"/>
        <v>1.3914385858633462E-3</v>
      </c>
      <c r="N81" s="81">
        <f t="shared" si="28"/>
        <v>8.2388571428284891E-3</v>
      </c>
      <c r="O81" s="89">
        <f t="shared" si="29"/>
        <v>121.10328448844385</v>
      </c>
      <c r="P81" s="89">
        <f t="shared" si="30"/>
        <v>0.99775266042760613</v>
      </c>
      <c r="Q81" s="39">
        <v>121.1</v>
      </c>
      <c r="R81" s="39">
        <v>121.1</v>
      </c>
      <c r="S81" s="65">
        <v>4043</v>
      </c>
      <c r="T81" s="123">
        <v>157049288.27000001</v>
      </c>
      <c r="U81" s="123">
        <v>155881627.46000001</v>
      </c>
    </row>
    <row r="82" spans="1:21" ht="15.75">
      <c r="A82" s="36">
        <v>72</v>
      </c>
      <c r="B82" s="37" t="s">
        <v>123</v>
      </c>
      <c r="C82" s="37" t="s">
        <v>44</v>
      </c>
      <c r="D82" s="48">
        <v>13973073870.48</v>
      </c>
      <c r="E82" s="44">
        <v>102096352.31999999</v>
      </c>
      <c r="F82" s="44">
        <v>23639231.710000001</v>
      </c>
      <c r="G82" s="44">
        <v>78457120.609999999</v>
      </c>
      <c r="H82" s="65">
        <v>14426908306.959999</v>
      </c>
      <c r="I82" s="78">
        <f t="shared" si="31"/>
        <v>4.4992081732161959E-2</v>
      </c>
      <c r="J82" s="123">
        <v>14272702002.73</v>
      </c>
      <c r="K82" s="78">
        <f t="shared" si="32"/>
        <v>4.4475614382644288E-2</v>
      </c>
      <c r="L82" s="78">
        <f t="shared" si="33"/>
        <v>-1.068879769310002E-2</v>
      </c>
      <c r="M82" s="80">
        <f t="shared" si="27"/>
        <v>1.6562548356631019E-3</v>
      </c>
      <c r="N82" s="81">
        <f t="shared" si="28"/>
        <v>5.49700544402827E-3</v>
      </c>
      <c r="O82" s="89">
        <f t="shared" si="29"/>
        <v>343.59957183912826</v>
      </c>
      <c r="P82" s="89">
        <f t="shared" si="30"/>
        <v>1.8887687169654706</v>
      </c>
      <c r="Q82" s="65">
        <v>343.6</v>
      </c>
      <c r="R82" s="65">
        <v>343.6</v>
      </c>
      <c r="S82" s="65">
        <v>10165</v>
      </c>
      <c r="T82" s="123">
        <v>42171863.189999998</v>
      </c>
      <c r="U82" s="123">
        <v>41538765.390000001</v>
      </c>
    </row>
    <row r="83" spans="1:21" ht="15.75">
      <c r="A83" s="36">
        <v>73</v>
      </c>
      <c r="B83" s="37" t="s">
        <v>124</v>
      </c>
      <c r="C83" s="37" t="s">
        <v>48</v>
      </c>
      <c r="D83" s="45">
        <v>88748812057</v>
      </c>
      <c r="E83" s="45">
        <v>750845845</v>
      </c>
      <c r="F83" s="45">
        <v>167179014</v>
      </c>
      <c r="G83" s="53">
        <v>583666831</v>
      </c>
      <c r="H83" s="63">
        <v>102014221846</v>
      </c>
      <c r="I83" s="78">
        <f t="shared" si="31"/>
        <v>0.31814385379602456</v>
      </c>
      <c r="J83" s="125">
        <v>102040249551</v>
      </c>
      <c r="K83" s="78">
        <f t="shared" si="32"/>
        <v>0.31797082218006145</v>
      </c>
      <c r="L83" s="78">
        <f t="shared" si="33"/>
        <v>2.5513800457441368E-4</v>
      </c>
      <c r="M83" s="80">
        <f t="shared" si="27"/>
        <v>1.638363437326204E-3</v>
      </c>
      <c r="N83" s="81">
        <f t="shared" si="28"/>
        <v>5.7199667147842647E-3</v>
      </c>
      <c r="O83" s="89">
        <f t="shared" si="29"/>
        <v>1.894143434317491</v>
      </c>
      <c r="P83" s="89">
        <f t="shared" si="30"/>
        <v>1.0834437397323204E-2</v>
      </c>
      <c r="Q83" s="65">
        <v>1.89</v>
      </c>
      <c r="R83" s="65">
        <v>1.89</v>
      </c>
      <c r="S83" s="65">
        <v>1995</v>
      </c>
      <c r="T83" s="125">
        <v>54133639603</v>
      </c>
      <c r="U83" s="125">
        <v>53871448013</v>
      </c>
    </row>
    <row r="84" spans="1:21" ht="15.75">
      <c r="A84" s="36">
        <v>74</v>
      </c>
      <c r="B84" s="37" t="s">
        <v>125</v>
      </c>
      <c r="C84" s="37" t="s">
        <v>204</v>
      </c>
      <c r="D84" s="44">
        <v>11040667334.82</v>
      </c>
      <c r="E84" s="44">
        <v>58990278.420000002</v>
      </c>
      <c r="F84" s="44">
        <v>2401129.7000000002</v>
      </c>
      <c r="G84" s="44">
        <v>56589148.719999999</v>
      </c>
      <c r="H84" s="65">
        <v>9587404556.8799992</v>
      </c>
      <c r="I84" s="78">
        <f t="shared" si="31"/>
        <v>2.9899496152917704E-2</v>
      </c>
      <c r="J84" s="123">
        <v>9613478628.8500004</v>
      </c>
      <c r="K84" s="78">
        <f t="shared" si="32"/>
        <v>2.9956862287935551E-2</v>
      </c>
      <c r="L84" s="78">
        <f t="shared" si="33"/>
        <v>2.7196173704060766E-3</v>
      </c>
      <c r="M84" s="80">
        <f t="shared" si="27"/>
        <v>2.4976699826369014E-4</v>
      </c>
      <c r="N84" s="81">
        <f t="shared" si="28"/>
        <v>5.886438291980621E-3</v>
      </c>
      <c r="O84" s="89">
        <f t="shared" si="29"/>
        <v>1</v>
      </c>
      <c r="P84" s="89">
        <f t="shared" si="30"/>
        <v>5.886438291980621E-3</v>
      </c>
      <c r="Q84" s="65">
        <v>1</v>
      </c>
      <c r="R84" s="65">
        <v>1</v>
      </c>
      <c r="S84" s="65">
        <v>5482</v>
      </c>
      <c r="T84" s="123">
        <v>9587404556.8799992</v>
      </c>
      <c r="U84" s="123">
        <v>9613478628.8500004</v>
      </c>
    </row>
    <row r="85" spans="1:21" ht="15.75">
      <c r="A85" s="36">
        <v>75</v>
      </c>
      <c r="B85" s="43" t="s">
        <v>126</v>
      </c>
      <c r="C85" s="43" t="s">
        <v>91</v>
      </c>
      <c r="D85" s="44">
        <v>2544099054.1900001</v>
      </c>
      <c r="E85" s="44">
        <v>20733066.460000001</v>
      </c>
      <c r="F85" s="44">
        <v>2532485.59</v>
      </c>
      <c r="G85" s="49">
        <v>16288253.41</v>
      </c>
      <c r="H85" s="63">
        <v>2568680834.8899999</v>
      </c>
      <c r="I85" s="78">
        <f t="shared" si="31"/>
        <v>8.0107460038027767E-3</v>
      </c>
      <c r="J85" s="123">
        <v>2557202717.4699998</v>
      </c>
      <c r="K85" s="78">
        <f t="shared" si="32"/>
        <v>7.9685795961193309E-3</v>
      </c>
      <c r="L85" s="78">
        <f t="shared" si="33"/>
        <v>-4.4684871954874883E-3</v>
      </c>
      <c r="M85" s="80">
        <f t="shared" si="27"/>
        <v>9.9033431049437722E-4</v>
      </c>
      <c r="N85" s="81">
        <f t="shared" si="28"/>
        <v>6.3695589320016781E-3</v>
      </c>
      <c r="O85" s="89">
        <f t="shared" si="29"/>
        <v>24.566010248113368</v>
      </c>
      <c r="P85" s="89">
        <f t="shared" si="30"/>
        <v>0.15647464999951524</v>
      </c>
      <c r="Q85" s="65">
        <v>24.58</v>
      </c>
      <c r="R85" s="65">
        <v>24.58</v>
      </c>
      <c r="S85" s="39">
        <v>1321</v>
      </c>
      <c r="T85" s="123">
        <v>105229640.01000001</v>
      </c>
      <c r="U85" s="123">
        <v>104095157.97</v>
      </c>
    </row>
    <row r="86" spans="1:21" ht="15.75">
      <c r="A86" s="149" t="s">
        <v>229</v>
      </c>
      <c r="B86" s="150"/>
      <c r="C86" s="150"/>
      <c r="D86" s="150"/>
      <c r="E86" s="150"/>
      <c r="F86" s="150"/>
      <c r="G86" s="151"/>
      <c r="H86" s="126">
        <f>SUM(H56:H85)</f>
        <v>320654385205.90002</v>
      </c>
      <c r="I86" s="101">
        <f>(H86/$H$167)</f>
        <v>0.17543952186984563</v>
      </c>
      <c r="J86" s="126">
        <f>SUM(J56:J85)</f>
        <v>320910732787.97998</v>
      </c>
      <c r="K86" s="101">
        <f>(J86/$J$167)</f>
        <v>0.16765804075277593</v>
      </c>
      <c r="L86" s="78">
        <f t="shared" si="33"/>
        <v>7.9945135294297938E-4</v>
      </c>
      <c r="M86" s="80"/>
      <c r="N86" s="80"/>
      <c r="O86" s="90"/>
      <c r="P86" s="90"/>
      <c r="Q86" s="126"/>
      <c r="R86" s="126"/>
      <c r="S86" s="126">
        <f>SUM(S56:S85)</f>
        <v>50519</v>
      </c>
      <c r="T86" s="126"/>
      <c r="U86" s="65">
        <v>0</v>
      </c>
    </row>
    <row r="87" spans="1:21" ht="6.75" customHeight="1">
      <c r="A87" s="174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6"/>
    </row>
    <row r="88" spans="1:21">
      <c r="A88" s="161" t="s">
        <v>127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</row>
    <row r="89" spans="1:21">
      <c r="A89" s="180" t="s">
        <v>128</v>
      </c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</row>
    <row r="90" spans="1:21" ht="16.5" customHeight="1">
      <c r="A90" s="59">
        <v>76</v>
      </c>
      <c r="B90" s="37" t="s">
        <v>129</v>
      </c>
      <c r="C90" s="37" t="s">
        <v>22</v>
      </c>
      <c r="D90" s="38">
        <v>1312920358.8599999</v>
      </c>
      <c r="E90" s="38">
        <v>8865901.1300000008</v>
      </c>
      <c r="F90" s="38">
        <v>2680711.2799999998</v>
      </c>
      <c r="G90" s="60">
        <v>6185189.8600000003</v>
      </c>
      <c r="H90" s="61">
        <v>1327238436.2</v>
      </c>
      <c r="I90" s="78">
        <f>(H90/$H$111)</f>
        <v>2.559992157592081E-3</v>
      </c>
      <c r="J90" s="61">
        <v>1328948782.01</v>
      </c>
      <c r="K90" s="88">
        <f>(J90/$J$111)</f>
        <v>2.3753750212245797E-3</v>
      </c>
      <c r="L90" s="88">
        <f>((J90-H90)/H90)</f>
        <v>1.2886499993903227E-3</v>
      </c>
      <c r="M90" s="80">
        <f t="shared" ref="M90:M99" si="38">(F90/J90)</f>
        <v>2.0171667383189098E-3</v>
      </c>
      <c r="N90" s="81">
        <f t="shared" ref="N90:N99" si="39">G90/J90</f>
        <v>4.6541973202647163E-3</v>
      </c>
      <c r="O90" s="82">
        <f t="shared" ref="O90:O99" si="40">J90/U90</f>
        <v>81446.244798531421</v>
      </c>
      <c r="P90" s="82">
        <f t="shared" ref="P90:P99" si="41">G90/U90</f>
        <v>379.06689428694904</v>
      </c>
      <c r="Q90" s="65">
        <f>107.5167*758.022</f>
        <v>81500.023967400004</v>
      </c>
      <c r="R90" s="65">
        <f>107.5167*758.022</f>
        <v>81500.023967400004</v>
      </c>
      <c r="S90" s="65">
        <v>225</v>
      </c>
      <c r="T90" s="65">
        <v>15806.442800000001</v>
      </c>
      <c r="U90" s="65">
        <v>16316.8822</v>
      </c>
    </row>
    <row r="91" spans="1:21" ht="15" customHeight="1">
      <c r="A91" s="36">
        <v>77</v>
      </c>
      <c r="B91" s="37" t="s">
        <v>130</v>
      </c>
      <c r="C91" s="43" t="s">
        <v>26</v>
      </c>
      <c r="D91" s="42">
        <v>7259060529.0405998</v>
      </c>
      <c r="E91" s="40">
        <v>59664899.842799999</v>
      </c>
      <c r="F91" s="40">
        <v>16018282.279999999</v>
      </c>
      <c r="G91" s="61">
        <v>43646617.562799998</v>
      </c>
      <c r="H91" s="61">
        <f>11518944*770.88</f>
        <v>8879723550.7199993</v>
      </c>
      <c r="I91" s="78">
        <f t="shared" ref="I91:I99" si="42">(H91/$H$111)</f>
        <v>1.7127308877907935E-2</v>
      </c>
      <c r="J91" s="61">
        <v>9007154023.1399994</v>
      </c>
      <c r="K91" s="88">
        <f t="shared" ref="K91:K99" si="43">(J91/$J$111)</f>
        <v>1.6099468217676008E-2</v>
      </c>
      <c r="L91" s="88">
        <f t="shared" ref="L91:L99" si="44">((J91-H91)/H91)</f>
        <v>1.4350725187797942E-2</v>
      </c>
      <c r="M91" s="80">
        <f t="shared" si="38"/>
        <v>1.7783955108181706E-3</v>
      </c>
      <c r="N91" s="81">
        <f t="shared" si="39"/>
        <v>4.8457723106176305E-3</v>
      </c>
      <c r="O91" s="82">
        <f t="shared" si="40"/>
        <v>1.1463151545069035</v>
      </c>
      <c r="P91" s="82">
        <f t="shared" si="41"/>
        <v>5.5547822349509236E-3</v>
      </c>
      <c r="Q91" s="65">
        <v>1.1399999999999999</v>
      </c>
      <c r="R91" s="65">
        <v>1.1399999999999999</v>
      </c>
      <c r="S91" s="65">
        <v>322</v>
      </c>
      <c r="T91" s="65">
        <v>8439809068.6000004</v>
      </c>
      <c r="U91" s="65">
        <v>7857484905.1999998</v>
      </c>
    </row>
    <row r="92" spans="1:21" ht="15" customHeight="1">
      <c r="A92" s="59">
        <v>78</v>
      </c>
      <c r="B92" s="37" t="s">
        <v>131</v>
      </c>
      <c r="C92" s="43" t="s">
        <v>69</v>
      </c>
      <c r="D92" s="44">
        <v>136250374.38</v>
      </c>
      <c r="E92" s="44">
        <v>11889943.57</v>
      </c>
      <c r="F92" s="49">
        <v>3395234.98</v>
      </c>
      <c r="G92" s="49">
        <v>8494708.5899999999</v>
      </c>
      <c r="H92" s="61">
        <v>1877255833.4100001</v>
      </c>
      <c r="I92" s="78">
        <f t="shared" si="42"/>
        <v>3.6208717893093114E-3</v>
      </c>
      <c r="J92" s="125">
        <v>1908278759.5999999</v>
      </c>
      <c r="K92" s="88">
        <f t="shared" si="43"/>
        <v>3.4108746405045096E-3</v>
      </c>
      <c r="L92" s="88">
        <f t="shared" si="44"/>
        <v>1.6525678406681125E-2</v>
      </c>
      <c r="M92" s="80">
        <f t="shared" si="38"/>
        <v>1.7792133161465809E-3</v>
      </c>
      <c r="N92" s="81">
        <f t="shared" si="39"/>
        <v>4.4515029826043872E-3</v>
      </c>
      <c r="O92" s="82">
        <f t="shared" si="40"/>
        <v>79375.552057847512</v>
      </c>
      <c r="P92" s="82">
        <f t="shared" si="41"/>
        <v>353.34050673137796</v>
      </c>
      <c r="Q92" s="61">
        <v>104.72</v>
      </c>
      <c r="R92" s="61">
        <v>104.72</v>
      </c>
      <c r="S92" s="65">
        <v>39</v>
      </c>
      <c r="T92" s="65">
        <v>23360.66</v>
      </c>
      <c r="U92" s="65">
        <v>24041.14</v>
      </c>
    </row>
    <row r="93" spans="1:21" ht="15.75">
      <c r="A93" s="36">
        <v>79</v>
      </c>
      <c r="B93" s="37" t="s">
        <v>132</v>
      </c>
      <c r="C93" s="37" t="s">
        <v>133</v>
      </c>
      <c r="D93" s="44">
        <v>22052137758.240002</v>
      </c>
      <c r="E93" s="44">
        <v>132092172.63</v>
      </c>
      <c r="F93" s="47">
        <v>36003963.670000002</v>
      </c>
      <c r="G93" s="44">
        <v>96088208.959999993</v>
      </c>
      <c r="H93" s="63" t="s">
        <v>231</v>
      </c>
      <c r="I93" s="78">
        <f t="shared" si="42"/>
        <v>4.224043200828724E-2</v>
      </c>
      <c r="J93" s="125">
        <v>22052137758.240002</v>
      </c>
      <c r="K93" s="88">
        <f t="shared" si="43"/>
        <v>3.9416189626435533E-2</v>
      </c>
      <c r="L93" s="88">
        <f t="shared" si="44"/>
        <v>6.9595620415073564E-3</v>
      </c>
      <c r="M93" s="80">
        <f t="shared" si="38"/>
        <v>1.6326745309101273E-3</v>
      </c>
      <c r="N93" s="81">
        <f t="shared" si="39"/>
        <v>4.3573194587039829E-3</v>
      </c>
      <c r="O93" s="82">
        <f t="shared" si="40"/>
        <v>96809.255693017723</v>
      </c>
      <c r="P93" s="82">
        <f t="shared" si="41"/>
        <v>421.82885361383546</v>
      </c>
      <c r="Q93" s="63">
        <v>124.79</v>
      </c>
      <c r="R93" s="63">
        <v>124.79</v>
      </c>
      <c r="S93" s="65">
        <v>1913</v>
      </c>
      <c r="T93" s="123">
        <v>229050.58</v>
      </c>
      <c r="U93" s="123">
        <v>227789.56</v>
      </c>
    </row>
    <row r="94" spans="1:21" ht="13.5" customHeight="1">
      <c r="A94" s="59">
        <v>80</v>
      </c>
      <c r="B94" s="37" t="s">
        <v>134</v>
      </c>
      <c r="C94" s="37" t="s">
        <v>133</v>
      </c>
      <c r="D94" s="44">
        <v>16353080115.139999</v>
      </c>
      <c r="E94" s="44">
        <v>97776138.469999999</v>
      </c>
      <c r="F94" s="44">
        <v>25814990.539999999</v>
      </c>
      <c r="G94" s="44">
        <v>71961147.930000007</v>
      </c>
      <c r="H94" s="63" t="s">
        <v>232</v>
      </c>
      <c r="I94" s="78">
        <f t="shared" si="42"/>
        <v>2.4300182723188297E-2</v>
      </c>
      <c r="J94" s="125">
        <v>16353080115.139999</v>
      </c>
      <c r="K94" s="88">
        <f t="shared" si="43"/>
        <v>2.922964267052967E-2</v>
      </c>
      <c r="L94" s="88">
        <f t="shared" si="44"/>
        <v>0.29801499585302338</v>
      </c>
      <c r="M94" s="80">
        <f t="shared" si="38"/>
        <v>1.5786011172353996E-3</v>
      </c>
      <c r="N94" s="81">
        <f t="shared" si="39"/>
        <v>4.4004644643902266E-3</v>
      </c>
      <c r="O94" s="82">
        <f t="shared" si="40"/>
        <v>85510.522010289031</v>
      </c>
      <c r="P94" s="82">
        <f t="shared" si="41"/>
        <v>376.28601343773522</v>
      </c>
      <c r="Q94" s="63">
        <v>110.23</v>
      </c>
      <c r="R94" s="63">
        <v>110.23</v>
      </c>
      <c r="S94" s="65">
        <v>64</v>
      </c>
      <c r="T94" s="125">
        <v>164123.85999999999</v>
      </c>
      <c r="U94" s="65">
        <v>191240.56</v>
      </c>
    </row>
    <row r="95" spans="1:21" ht="15" customHeight="1">
      <c r="A95" s="36">
        <v>81</v>
      </c>
      <c r="B95" s="51" t="s">
        <v>135</v>
      </c>
      <c r="C95" s="52" t="s">
        <v>136</v>
      </c>
      <c r="D95" s="38">
        <v>48508580.276000001</v>
      </c>
      <c r="E95" s="38">
        <v>250146.6</v>
      </c>
      <c r="F95" s="38">
        <v>76203.750599999999</v>
      </c>
      <c r="G95" s="61">
        <v>174147.5148</v>
      </c>
      <c r="H95" s="61">
        <v>38502826.149999999</v>
      </c>
      <c r="I95" s="78">
        <f t="shared" si="42"/>
        <v>7.4264676414387954E-5</v>
      </c>
      <c r="J95" s="61">
        <v>64100460.420400001</v>
      </c>
      <c r="K95" s="88">
        <f t="shared" si="43"/>
        <v>1.1457374023197476E-4</v>
      </c>
      <c r="L95" s="88">
        <f t="shared" si="44"/>
        <v>0.66482481495452517</v>
      </c>
      <c r="M95" s="80">
        <f t="shared" si="38"/>
        <v>1.1888175233098345E-3</v>
      </c>
      <c r="N95" s="81">
        <f t="shared" si="39"/>
        <v>2.7167903889903648E-3</v>
      </c>
      <c r="O95" s="82">
        <f t="shared" si="40"/>
        <v>77273.227514857819</v>
      </c>
      <c r="P95" s="82">
        <f t="shared" si="41"/>
        <v>209.93516183863153</v>
      </c>
      <c r="Q95" s="63">
        <v>77067.893400000001</v>
      </c>
      <c r="R95" s="63">
        <v>77067.893400000001</v>
      </c>
      <c r="S95" s="65">
        <v>2</v>
      </c>
      <c r="T95" s="65">
        <v>790.25</v>
      </c>
      <c r="U95" s="65">
        <v>829.53</v>
      </c>
    </row>
    <row r="96" spans="1:21" ht="15" customHeight="1">
      <c r="A96" s="59">
        <v>82</v>
      </c>
      <c r="B96" s="37" t="s">
        <v>137</v>
      </c>
      <c r="C96" s="37" t="s">
        <v>138</v>
      </c>
      <c r="D96" s="39">
        <f>12799787.4*758.022</f>
        <v>9702520444.5228004</v>
      </c>
      <c r="E96" s="39">
        <f>74185.67*758.022</f>
        <v>56234369.944740005</v>
      </c>
      <c r="F96" s="39">
        <f>21176.97*758.022</f>
        <v>16052609.153340003</v>
      </c>
      <c r="G96" s="39">
        <f>53008.7*758.022</f>
        <v>40181760.7914</v>
      </c>
      <c r="H96" s="137">
        <f>12875245.38*770.88</f>
        <v>9925269158.5344009</v>
      </c>
      <c r="I96" s="78">
        <f t="shared" si="42"/>
        <v>1.9143968796281774E-2</v>
      </c>
      <c r="J96" s="61">
        <f>12757179.25*758.022</f>
        <v>9670222529.4435005</v>
      </c>
      <c r="K96" s="88">
        <f t="shared" si="43"/>
        <v>1.7284642837311709E-2</v>
      </c>
      <c r="L96" s="88">
        <f t="shared" si="44"/>
        <v>-2.5696696484205118E-2</v>
      </c>
      <c r="M96" s="80">
        <f t="shared" si="38"/>
        <v>1.6600041110185076E-3</v>
      </c>
      <c r="N96" s="81">
        <f t="shared" si="39"/>
        <v>4.1552053915053363E-3</v>
      </c>
      <c r="O96" s="82">
        <f t="shared" si="40"/>
        <v>965.44452350403969</v>
      </c>
      <c r="P96" s="82">
        <f t="shared" si="41"/>
        <v>4.011620289263286</v>
      </c>
      <c r="Q96" s="63">
        <f>1.3*758.022</f>
        <v>985.42860000000007</v>
      </c>
      <c r="R96" s="63">
        <f>1.3*758.022</f>
        <v>985.42860000000007</v>
      </c>
      <c r="S96" s="65">
        <v>115</v>
      </c>
      <c r="T96" s="65">
        <v>10145221</v>
      </c>
      <c r="U96" s="65">
        <v>10016342</v>
      </c>
    </row>
    <row r="97" spans="1:21" ht="15.75">
      <c r="A97" s="36">
        <v>83</v>
      </c>
      <c r="B97" s="37" t="s">
        <v>139</v>
      </c>
      <c r="C97" s="37" t="s">
        <v>48</v>
      </c>
      <c r="D97" s="42">
        <v>10488008906.76</v>
      </c>
      <c r="E97" s="40">
        <v>774282561.08000004</v>
      </c>
      <c r="F97" s="58">
        <v>191561508.25999999</v>
      </c>
      <c r="G97" s="61">
        <v>582721810.84000003</v>
      </c>
      <c r="H97" s="61">
        <f>149352012*770.88</f>
        <v>115132479010.56</v>
      </c>
      <c r="I97" s="78">
        <f t="shared" si="42"/>
        <v>0.22206879737074967</v>
      </c>
      <c r="J97" s="61">
        <v>113443307654.14</v>
      </c>
      <c r="K97" s="88">
        <f t="shared" si="43"/>
        <v>0.20276958974985662</v>
      </c>
      <c r="L97" s="88">
        <f t="shared" si="44"/>
        <v>-1.4671545083860017E-2</v>
      </c>
      <c r="M97" s="80">
        <f t="shared" si="38"/>
        <v>1.6886100398625775E-3</v>
      </c>
      <c r="N97" s="81">
        <f t="shared" si="39"/>
        <v>5.1366786008794074E-3</v>
      </c>
      <c r="O97" s="82">
        <f t="shared" si="40"/>
        <v>758.02</v>
      </c>
      <c r="P97" s="82">
        <f t="shared" si="41"/>
        <v>3.8937051130386084</v>
      </c>
      <c r="Q97" s="61">
        <v>91606.717000000004</v>
      </c>
      <c r="R97" s="61">
        <v>91606.717000000004</v>
      </c>
      <c r="S97" s="65">
        <v>1193</v>
      </c>
      <c r="T97" s="125">
        <v>1238352</v>
      </c>
      <c r="U97" s="125">
        <v>149657407</v>
      </c>
    </row>
    <row r="98" spans="1:21" ht="15.75">
      <c r="A98" s="59">
        <v>84</v>
      </c>
      <c r="B98" s="98" t="s">
        <v>219</v>
      </c>
      <c r="C98" s="98" t="s">
        <v>190</v>
      </c>
      <c r="D98" s="42">
        <v>1943707107.3399999</v>
      </c>
      <c r="E98" s="40">
        <v>18395019.629999999</v>
      </c>
      <c r="F98" s="65">
        <v>3913690.15</v>
      </c>
      <c r="G98" s="61">
        <v>14481329.49</v>
      </c>
      <c r="H98" s="61">
        <f>2034908.64*769.250000301193</f>
        <v>1565353471.9329002</v>
      </c>
      <c r="I98" s="78">
        <f t="shared" si="42"/>
        <v>3.0192710689429625E-3</v>
      </c>
      <c r="J98" s="61">
        <v>1959587481.46</v>
      </c>
      <c r="K98" s="88">
        <f t="shared" si="43"/>
        <v>3.5025843120336619E-3</v>
      </c>
      <c r="L98" s="88">
        <f t="shared" si="44"/>
        <v>0.25184983238341641</v>
      </c>
      <c r="M98" s="80"/>
      <c r="N98" s="81"/>
      <c r="O98" s="82"/>
      <c r="P98" s="82"/>
      <c r="Q98" s="61">
        <v>77252.52</v>
      </c>
      <c r="R98" s="61">
        <v>77252.52</v>
      </c>
      <c r="S98" s="128">
        <v>149</v>
      </c>
      <c r="T98" s="65">
        <v>19792</v>
      </c>
      <c r="U98" s="125">
        <v>25366</v>
      </c>
    </row>
    <row r="99" spans="1:21" ht="15.75">
      <c r="A99" s="36">
        <v>85</v>
      </c>
      <c r="B99" s="37" t="s">
        <v>140</v>
      </c>
      <c r="C99" s="37" t="s">
        <v>40</v>
      </c>
      <c r="D99" s="42">
        <f>1767249.39*758.022</f>
        <v>1339613917.10658</v>
      </c>
      <c r="E99" s="42">
        <f>4781.25*758.022</f>
        <v>3624292.6875</v>
      </c>
      <c r="F99" s="42">
        <f>2417*758.022</f>
        <v>1832139.1740000001</v>
      </c>
      <c r="G99" s="61">
        <f>2363.94*758.022</f>
        <v>1791918.5266800001</v>
      </c>
      <c r="H99" s="61">
        <f>1751206.23*770.88</f>
        <v>1349969858.5824001</v>
      </c>
      <c r="I99" s="78">
        <f t="shared" si="42"/>
        <v>2.6038367761946485E-3</v>
      </c>
      <c r="J99" s="61">
        <f>1784680.47*758.022</f>
        <v>1352827059.23034</v>
      </c>
      <c r="K99" s="88">
        <f t="shared" si="43"/>
        <v>2.4180552689714377E-3</v>
      </c>
      <c r="L99" s="88">
        <f t="shared" si="44"/>
        <v>2.1164921792700317E-3</v>
      </c>
      <c r="M99" s="80">
        <f t="shared" si="38"/>
        <v>1.3543040564566722E-3</v>
      </c>
      <c r="N99" s="81">
        <f t="shared" si="39"/>
        <v>1.3245732441953602E-3</v>
      </c>
      <c r="O99" s="82">
        <f t="shared" si="40"/>
        <v>120464.38226109651</v>
      </c>
      <c r="P99" s="82">
        <f t="shared" si="41"/>
        <v>159.56389762157062</v>
      </c>
      <c r="Q99" s="61">
        <f>128.1*758.022</f>
        <v>97102.618199999997</v>
      </c>
      <c r="R99" s="61">
        <f>131.94*758.022</f>
        <v>100013.42268</v>
      </c>
      <c r="S99" s="65">
        <v>37</v>
      </c>
      <c r="T99" s="65">
        <v>13563.44</v>
      </c>
      <c r="U99" s="65">
        <v>11230.1</v>
      </c>
    </row>
    <row r="100" spans="1:21" ht="8.25" customHeight="1">
      <c r="A100" s="152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4"/>
    </row>
    <row r="101" spans="1:21">
      <c r="A101" s="180" t="s">
        <v>141</v>
      </c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</row>
    <row r="102" spans="1:21" ht="15.75">
      <c r="A102" s="36">
        <v>86</v>
      </c>
      <c r="B102" s="37" t="s">
        <v>142</v>
      </c>
      <c r="C102" s="43" t="s">
        <v>97</v>
      </c>
      <c r="D102" s="42">
        <v>575273930.81120002</v>
      </c>
      <c r="E102" s="42">
        <v>4939364.4428000003</v>
      </c>
      <c r="F102" s="42">
        <v>1091859.5882000001</v>
      </c>
      <c r="G102" s="39">
        <v>3847504.85</v>
      </c>
      <c r="H102" s="65">
        <f>885053.01*770.88</f>
        <v>682269664.34879994</v>
      </c>
      <c r="I102" s="78">
        <f>(H102/$H$111)</f>
        <v>1.3159692655500487E-3</v>
      </c>
      <c r="J102" s="65">
        <v>695519151.28460002</v>
      </c>
      <c r="K102" s="88">
        <f>(J102/$J$111)</f>
        <v>1.243177194719252E-3</v>
      </c>
      <c r="L102" s="88">
        <f>((J102-H102)/H102)</f>
        <v>1.9419721597099291E-2</v>
      </c>
      <c r="M102" s="80">
        <f t="shared" ref="M102:M110" si="45">(F102/J102)</f>
        <v>1.5698483444824961E-3</v>
      </c>
      <c r="N102" s="81">
        <f t="shared" ref="N102:N110" si="46">G102/J102</f>
        <v>5.5318460216282912E-3</v>
      </c>
      <c r="O102" s="82">
        <f t="shared" ref="O102:O110" si="47">J102/U102</f>
        <v>77357.262961250148</v>
      </c>
      <c r="P102" s="82">
        <f t="shared" ref="P102:P110" si="48">G102/U102</f>
        <v>427.92846735624516</v>
      </c>
      <c r="Q102" s="65">
        <v>102.04</v>
      </c>
      <c r="R102" s="65">
        <v>102.04</v>
      </c>
      <c r="S102" s="65">
        <v>27</v>
      </c>
      <c r="T102" s="65">
        <v>9023</v>
      </c>
      <c r="U102" s="65">
        <v>8991</v>
      </c>
    </row>
    <row r="103" spans="1:21" ht="15.75">
      <c r="A103" s="36">
        <v>87</v>
      </c>
      <c r="B103" s="37" t="s">
        <v>143</v>
      </c>
      <c r="C103" s="43" t="s">
        <v>28</v>
      </c>
      <c r="D103" s="42">
        <v>3735047319.3610001</v>
      </c>
      <c r="E103" s="42">
        <v>29064412.1708</v>
      </c>
      <c r="F103" s="38">
        <v>5360270.2082000002</v>
      </c>
      <c r="G103" s="39">
        <v>23704134.382399999</v>
      </c>
      <c r="H103" s="65">
        <f>6212294.3*770.88</f>
        <v>4788933429.9840002</v>
      </c>
      <c r="I103" s="78">
        <f t="shared" ref="I103:I110" si="49">(H103/$H$111)</f>
        <v>9.2369477025469413E-3</v>
      </c>
      <c r="J103" s="65">
        <v>4714274315.1831999</v>
      </c>
      <c r="K103" s="88">
        <f t="shared" ref="K103:K110" si="50">(J103/$J$111)</f>
        <v>8.4263363668160701E-3</v>
      </c>
      <c r="L103" s="88">
        <f t="shared" ref="L103:L111" si="51">((J103-H103)/H103)</f>
        <v>-1.5589925375314678E-2</v>
      </c>
      <c r="M103" s="80">
        <f t="shared" si="45"/>
        <v>1.1370297631888434E-3</v>
      </c>
      <c r="N103" s="81">
        <f t="shared" si="46"/>
        <v>5.0281618755311742E-3</v>
      </c>
      <c r="O103" s="82">
        <f t="shared" si="47"/>
        <v>124.6954422930249</v>
      </c>
      <c r="P103" s="82">
        <f t="shared" si="48"/>
        <v>0.62698886899028528</v>
      </c>
      <c r="Q103" s="65">
        <v>93577.569000000003</v>
      </c>
      <c r="R103" s="65">
        <v>95465.038799999995</v>
      </c>
      <c r="S103" s="65">
        <v>274</v>
      </c>
      <c r="T103" s="65">
        <v>37970578.6558</v>
      </c>
      <c r="U103" s="65">
        <v>37806308.141599998</v>
      </c>
    </row>
    <row r="104" spans="1:21" ht="15" customHeight="1">
      <c r="A104" s="36">
        <v>88</v>
      </c>
      <c r="B104" s="37" t="s">
        <v>144</v>
      </c>
      <c r="C104" s="37" t="s">
        <v>60</v>
      </c>
      <c r="D104" s="42">
        <f>10138047.24*758.022</f>
        <v>7684862844.959281</v>
      </c>
      <c r="E104" s="42">
        <f>70400.33*758.022</f>
        <v>53364998.947260007</v>
      </c>
      <c r="F104" s="42">
        <f>18456.56*758.022</f>
        <v>13990478.524320003</v>
      </c>
      <c r="G104" s="39">
        <f>51943.77*758.022</f>
        <v>39374520.422940001</v>
      </c>
      <c r="H104" s="65">
        <f>10890068.93*770.88</f>
        <v>8394936336.7584</v>
      </c>
      <c r="I104" s="78">
        <f t="shared" si="49"/>
        <v>1.6192245944230511E-2</v>
      </c>
      <c r="J104" s="65">
        <f>10507395.81*758.022</f>
        <v>7964837186.6878204</v>
      </c>
      <c r="K104" s="88">
        <f t="shared" si="50"/>
        <v>1.4236421717294249E-2</v>
      </c>
      <c r="L104" s="88">
        <f t="shared" si="51"/>
        <v>-5.1233163995220592E-2</v>
      </c>
      <c r="M104" s="80">
        <f t="shared" si="45"/>
        <v>1.7565303842874843E-3</v>
      </c>
      <c r="N104" s="81">
        <f t="shared" si="46"/>
        <v>4.9435436657448992E-3</v>
      </c>
      <c r="O104" s="82">
        <f t="shared" si="47"/>
        <v>85714.378428245109</v>
      </c>
      <c r="P104" s="82">
        <f t="shared" si="48"/>
        <v>423.73277254221239</v>
      </c>
      <c r="Q104" s="65">
        <f>112.44*758.022</f>
        <v>85231.99368</v>
      </c>
      <c r="R104" s="65">
        <f>112.44*758.022</f>
        <v>85231.99368</v>
      </c>
      <c r="S104" s="65">
        <v>534</v>
      </c>
      <c r="T104" s="65">
        <v>94889</v>
      </c>
      <c r="U104" s="65">
        <v>92923</v>
      </c>
    </row>
    <row r="105" spans="1:21" ht="15" customHeight="1">
      <c r="A105" s="36">
        <v>89</v>
      </c>
      <c r="B105" s="37" t="s">
        <v>145</v>
      </c>
      <c r="C105" s="43" t="s">
        <v>58</v>
      </c>
      <c r="D105" s="42">
        <f>3704462.13*758.022</f>
        <v>2808063792.7068601</v>
      </c>
      <c r="E105" s="42">
        <f>21493.15*758.022</f>
        <v>16292280.549300002</v>
      </c>
      <c r="F105" s="42">
        <f>4951.96*758.022</f>
        <v>3753694.6231200001</v>
      </c>
      <c r="G105" s="39">
        <f>17157.41*758.022</f>
        <v>13005694.24302</v>
      </c>
      <c r="H105" s="65">
        <f>3578464.25*770.88</f>
        <v>2758566521.04</v>
      </c>
      <c r="I105" s="78">
        <f t="shared" si="49"/>
        <v>5.3207535793473055E-3</v>
      </c>
      <c r="J105" s="65">
        <f>3680791.42*758.022</f>
        <v>2790120873.7712402</v>
      </c>
      <c r="K105" s="88">
        <f t="shared" si="50"/>
        <v>4.9870871770764996E-3</v>
      </c>
      <c r="L105" s="88">
        <f t="shared" si="51"/>
        <v>1.1438677476352481E-2</v>
      </c>
      <c r="M105" s="80">
        <f t="shared" si="45"/>
        <v>1.3453519732449278E-3</v>
      </c>
      <c r="N105" s="81">
        <f t="shared" si="46"/>
        <v>4.6613372077464795E-3</v>
      </c>
      <c r="O105" s="82">
        <f t="shared" si="47"/>
        <v>884.9745549980056</v>
      </c>
      <c r="P105" s="82">
        <f t="shared" si="48"/>
        <v>4.1251648211210865</v>
      </c>
      <c r="Q105" s="65">
        <f>1.14*461.5</f>
        <v>526.1099999999999</v>
      </c>
      <c r="R105" s="65">
        <f>1.17*758.022</f>
        <v>886.88574000000006</v>
      </c>
      <c r="S105" s="65">
        <v>144</v>
      </c>
      <c r="T105" s="65">
        <v>3079096.94</v>
      </c>
      <c r="U105" s="65">
        <v>3152769.6</v>
      </c>
    </row>
    <row r="106" spans="1:21" ht="15.75">
      <c r="A106" s="36">
        <v>90</v>
      </c>
      <c r="B106" s="43" t="s">
        <v>146</v>
      </c>
      <c r="C106" s="43" t="s">
        <v>42</v>
      </c>
      <c r="D106" s="42">
        <f>10353420.14*758.022</f>
        <v>7848120241.363081</v>
      </c>
      <c r="E106" s="42">
        <f>98764.55*758.022</f>
        <v>74865701.720100001</v>
      </c>
      <c r="F106" s="42">
        <f>39078.46*758.022</f>
        <v>29622332.406120002</v>
      </c>
      <c r="G106" s="39">
        <f>59686.09*758.022</f>
        <v>45243369.313979998</v>
      </c>
      <c r="H106" s="65">
        <f>10319597*770.88</f>
        <v>7955170935.3599997</v>
      </c>
      <c r="I106" s="78">
        <f t="shared" si="49"/>
        <v>1.5344021579975742E-2</v>
      </c>
      <c r="J106" s="65">
        <f>10573431*758.022</f>
        <v>8014893313.4820004</v>
      </c>
      <c r="K106" s="88">
        <f t="shared" si="50"/>
        <v>1.4325892489122121E-2</v>
      </c>
      <c r="L106" s="88">
        <f t="shared" si="51"/>
        <v>7.5073657885263339E-3</v>
      </c>
      <c r="M106" s="80">
        <f t="shared" si="45"/>
        <v>3.6959110056139772E-3</v>
      </c>
      <c r="N106" s="81">
        <f t="shared" si="46"/>
        <v>5.6449122333138597E-3</v>
      </c>
      <c r="O106" s="82">
        <f t="shared" si="47"/>
        <v>765.15853298034699</v>
      </c>
      <c r="P106" s="82">
        <f t="shared" si="48"/>
        <v>4.3192527632452471</v>
      </c>
      <c r="Q106" s="65">
        <f>1.0009*758.022</f>
        <v>758.70421979999992</v>
      </c>
      <c r="R106" s="65">
        <f>1.0009*758.022</f>
        <v>758.70421979999992</v>
      </c>
      <c r="S106" s="65">
        <v>350</v>
      </c>
      <c r="T106" s="65">
        <v>10083047</v>
      </c>
      <c r="U106" s="65">
        <v>10474814</v>
      </c>
    </row>
    <row r="107" spans="1:21" ht="15.75">
      <c r="A107" s="36">
        <v>91</v>
      </c>
      <c r="B107" s="37" t="s">
        <v>147</v>
      </c>
      <c r="C107" s="43" t="s">
        <v>81</v>
      </c>
      <c r="D107" s="42">
        <f>249459.24*758.022</f>
        <v>189095592.02327999</v>
      </c>
      <c r="E107" s="42">
        <f>758.022*522.92</f>
        <v>396384.86423999997</v>
      </c>
      <c r="F107" s="42">
        <f>758.022*104.78</f>
        <v>79425.545160000009</v>
      </c>
      <c r="G107" s="39">
        <f>758.022*418.14</f>
        <v>316959.31907999999</v>
      </c>
      <c r="H107" s="65">
        <f>243897.68*770.88</f>
        <v>188015843.55840001</v>
      </c>
      <c r="I107" s="78">
        <f t="shared" si="49"/>
        <v>3.6264703604472332E-4</v>
      </c>
      <c r="J107" s="65">
        <f>758.022*252983.1</f>
        <v>191766755.42820001</v>
      </c>
      <c r="K107" s="88">
        <f t="shared" si="50"/>
        <v>3.4276562566728152E-4</v>
      </c>
      <c r="L107" s="88">
        <f t="shared" si="51"/>
        <v>1.9949977612577753E-2</v>
      </c>
      <c r="M107" s="80">
        <f t="shared" si="45"/>
        <v>4.1417786405495075E-4</v>
      </c>
      <c r="N107" s="81">
        <f t="shared" si="46"/>
        <v>1.6528376796710925E-3</v>
      </c>
      <c r="O107" s="82">
        <f t="shared" si="47"/>
        <v>0.99020725287198852</v>
      </c>
      <c r="P107" s="82">
        <f t="shared" si="48"/>
        <v>1.6366518582304243E-3</v>
      </c>
      <c r="Q107" s="65">
        <f>0.99*758.022</f>
        <v>750.44177999999999</v>
      </c>
      <c r="R107" s="65">
        <f>0.99*758.022</f>
        <v>750.44177999999999</v>
      </c>
      <c r="S107" s="65">
        <v>3</v>
      </c>
      <c r="T107" s="65">
        <f>255485*758.022</f>
        <v>193663250.67000002</v>
      </c>
      <c r="U107" s="65">
        <f>255485*758.022</f>
        <v>193663250.67000002</v>
      </c>
    </row>
    <row r="108" spans="1:21" ht="14.25" customHeight="1">
      <c r="A108" s="36">
        <v>92</v>
      </c>
      <c r="B108" s="37" t="s">
        <v>148</v>
      </c>
      <c r="C108" s="37" t="s">
        <v>44</v>
      </c>
      <c r="D108" s="44">
        <v>332367341441.06</v>
      </c>
      <c r="E108" s="42">
        <v>2530069407.1473999</v>
      </c>
      <c r="F108" s="42">
        <v>539176032.98520005</v>
      </c>
      <c r="G108" s="39">
        <v>1990893381.7423999</v>
      </c>
      <c r="H108" s="65">
        <f>770.88*431713555.87</f>
        <v>332799345949.06561</v>
      </c>
      <c r="I108" s="78">
        <f t="shared" si="49"/>
        <v>0.64190705486244704</v>
      </c>
      <c r="J108" s="65">
        <v>335895627480.60602</v>
      </c>
      <c r="K108" s="88">
        <f t="shared" si="50"/>
        <v>0.6003828695709541</v>
      </c>
      <c r="L108" s="88">
        <f t="shared" si="51"/>
        <v>9.3037488481551456E-3</v>
      </c>
      <c r="M108" s="80">
        <f t="shared" si="45"/>
        <v>1.6051891982914576E-3</v>
      </c>
      <c r="N108" s="81">
        <f t="shared" si="46"/>
        <v>5.9271190776585816E-3</v>
      </c>
      <c r="O108" s="82">
        <f t="shared" si="47"/>
        <v>1076.9912148856347</v>
      </c>
      <c r="P108" s="82">
        <f t="shared" si="48"/>
        <v>6.3834551762193383</v>
      </c>
      <c r="Q108" s="65">
        <v>1.42</v>
      </c>
      <c r="R108" s="65">
        <v>1.42</v>
      </c>
      <c r="S108" s="65">
        <v>5116</v>
      </c>
      <c r="T108" s="123">
        <v>305685610.98000002</v>
      </c>
      <c r="U108" s="123">
        <v>311883349.5</v>
      </c>
    </row>
    <row r="109" spans="1:21" ht="14.25" customHeight="1">
      <c r="A109" s="36">
        <v>93</v>
      </c>
      <c r="B109" s="98" t="s">
        <v>220</v>
      </c>
      <c r="C109" s="98" t="s">
        <v>48</v>
      </c>
      <c r="D109" s="44">
        <f>6328765*758.022</f>
        <v>4797343102.8299999</v>
      </c>
      <c r="E109" s="42">
        <f>112401*758.022</f>
        <v>85202430.822000012</v>
      </c>
      <c r="F109" s="42">
        <f>26936*758.022</f>
        <v>20418080.592</v>
      </c>
      <c r="G109" s="39">
        <f>85465*758.022</f>
        <v>64784350.230000004</v>
      </c>
      <c r="H109" s="42">
        <f>12510099*770.88</f>
        <v>9643785117.1200008</v>
      </c>
      <c r="I109" s="78">
        <f t="shared" si="49"/>
        <v>1.8601039267680024E-2</v>
      </c>
      <c r="J109" s="65">
        <f>12830793*758.022</f>
        <v>9726023371.4460011</v>
      </c>
      <c r="K109" s="88">
        <f t="shared" si="50"/>
        <v>1.7384381764838745E-2</v>
      </c>
      <c r="L109" s="88"/>
      <c r="M109" s="80"/>
      <c r="N109" s="81"/>
      <c r="O109" s="82"/>
      <c r="P109" s="82"/>
      <c r="Q109" s="65">
        <f>1.05*758.022</f>
        <v>795.92310000000009</v>
      </c>
      <c r="R109" s="65">
        <f>1.05*758.022</f>
        <v>795.92310000000009</v>
      </c>
      <c r="S109" s="65">
        <v>49</v>
      </c>
      <c r="T109" s="123">
        <v>12054974</v>
      </c>
      <c r="U109" s="123">
        <v>12239460</v>
      </c>
    </row>
    <row r="110" spans="1:21" ht="15" customHeight="1">
      <c r="A110" s="36">
        <v>94</v>
      </c>
      <c r="B110" s="43" t="s">
        <v>149</v>
      </c>
      <c r="C110" s="43" t="s">
        <v>204</v>
      </c>
      <c r="D110" s="42">
        <v>12391851626.197599</v>
      </c>
      <c r="E110" s="42">
        <v>68829891.224199995</v>
      </c>
      <c r="F110" s="42">
        <v>798293.60259999998</v>
      </c>
      <c r="G110" s="39">
        <v>45290997.621600002</v>
      </c>
      <c r="H110" s="65">
        <f>14460469.14*770.88</f>
        <v>11147286450.6432</v>
      </c>
      <c r="I110" s="78">
        <f t="shared" si="49"/>
        <v>2.1501009248784935E-2</v>
      </c>
      <c r="J110" s="65">
        <v>12336332611.6546</v>
      </c>
      <c r="K110" s="88">
        <f t="shared" si="50"/>
        <v>2.2050072008736016E-2</v>
      </c>
      <c r="L110" s="88">
        <f t="shared" si="51"/>
        <v>0.10666687056766107</v>
      </c>
      <c r="M110" s="80">
        <f t="shared" si="45"/>
        <v>6.4710771647468534E-5</v>
      </c>
      <c r="N110" s="81">
        <f t="shared" si="46"/>
        <v>3.671350234089172E-3</v>
      </c>
      <c r="O110" s="82">
        <f t="shared" si="47"/>
        <v>803.43338597103809</v>
      </c>
      <c r="P110" s="82">
        <f t="shared" si="48"/>
        <v>2.949685349659827</v>
      </c>
      <c r="Q110" s="65">
        <v>826.24180000000001</v>
      </c>
      <c r="R110" s="65">
        <v>826.24180000000001</v>
      </c>
      <c r="S110" s="65">
        <v>625</v>
      </c>
      <c r="T110" s="123">
        <v>13796266</v>
      </c>
      <c r="U110" s="123">
        <v>15354518.279999999</v>
      </c>
    </row>
    <row r="111" spans="1:21">
      <c r="A111" s="149" t="s">
        <v>229</v>
      </c>
      <c r="B111" s="150"/>
      <c r="C111" s="150"/>
      <c r="D111" s="150"/>
      <c r="E111" s="150"/>
      <c r="F111" s="150"/>
      <c r="G111" s="151"/>
      <c r="H111" s="126">
        <f>SUM(H90:H110)</f>
        <v>518454102393.96808</v>
      </c>
      <c r="I111" s="101">
        <f>(H111/$H$167)</f>
        <v>0.28366161210317403</v>
      </c>
      <c r="J111" s="126">
        <f>SUM(J90:J110)</f>
        <v>559469039682.36792</v>
      </c>
      <c r="K111" s="101">
        <f>(J111/$J$167)</f>
        <v>0.29229151122519331</v>
      </c>
      <c r="L111" s="91">
        <f t="shared" si="51"/>
        <v>7.9110064129134808E-2</v>
      </c>
      <c r="M111" s="80"/>
      <c r="N111" s="80"/>
      <c r="O111" s="83"/>
      <c r="P111" s="83"/>
      <c r="Q111" s="126"/>
      <c r="R111" s="126"/>
      <c r="S111" s="62">
        <f>SUM(S90:S110)</f>
        <v>11181</v>
      </c>
      <c r="T111" s="62"/>
      <c r="U111" s="126"/>
    </row>
    <row r="112" spans="1:21" ht="8.25" customHeight="1">
      <c r="A112" s="155"/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7"/>
    </row>
    <row r="113" spans="1:21">
      <c r="A113" s="161" t="s">
        <v>150</v>
      </c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</row>
    <row r="114" spans="1:21" ht="15.75">
      <c r="A114" s="36">
        <v>95</v>
      </c>
      <c r="B114" s="37" t="s">
        <v>151</v>
      </c>
      <c r="C114" s="37" t="s">
        <v>42</v>
      </c>
      <c r="D114" s="42">
        <v>33171744812</v>
      </c>
      <c r="E114" s="42">
        <v>199062867</v>
      </c>
      <c r="F114" s="38">
        <v>98797920</v>
      </c>
      <c r="G114" s="63">
        <v>100264947</v>
      </c>
      <c r="H114" s="65">
        <v>53749872997</v>
      </c>
      <c r="I114" s="78">
        <f>(H114/$H$118)</f>
        <v>0.57853233010859217</v>
      </c>
      <c r="J114" s="65">
        <v>53852343622</v>
      </c>
      <c r="K114" s="78">
        <f>(J114/$J$118)</f>
        <v>0.57851336387431374</v>
      </c>
      <c r="L114" s="78">
        <f>((J114-H114)/H114)</f>
        <v>1.9064347371708079E-3</v>
      </c>
      <c r="M114" s="80">
        <f>(F114/J114)</f>
        <v>1.8346076206725874E-3</v>
      </c>
      <c r="N114" s="92">
        <f>G114/J114</f>
        <v>1.8618492763059493E-3</v>
      </c>
      <c r="O114" s="82">
        <f>J114/U114</f>
        <v>101.48411681943585</v>
      </c>
      <c r="P114" s="82">
        <f>G114/U114</f>
        <v>0.18894812945681505</v>
      </c>
      <c r="Q114" s="65">
        <v>101.48</v>
      </c>
      <c r="R114" s="65">
        <v>101.48</v>
      </c>
      <c r="S114" s="65">
        <v>675</v>
      </c>
      <c r="T114" s="65">
        <v>530648000</v>
      </c>
      <c r="U114" s="65">
        <v>530648000</v>
      </c>
    </row>
    <row r="115" spans="1:21" ht="15.75">
      <c r="A115" s="36">
        <v>96</v>
      </c>
      <c r="B115" s="37" t="s">
        <v>152</v>
      </c>
      <c r="C115" s="37" t="s">
        <v>118</v>
      </c>
      <c r="D115" s="42">
        <v>3040653475.1300001</v>
      </c>
      <c r="E115" s="42">
        <v>28567758.699999999</v>
      </c>
      <c r="F115" s="38">
        <v>5321687.9800000004</v>
      </c>
      <c r="G115" s="63">
        <v>23246070.719999999</v>
      </c>
      <c r="H115" s="65">
        <v>2401381024.9099998</v>
      </c>
      <c r="I115" s="78">
        <f t="shared" ref="I115:I117" si="52">(H115/$H$118)</f>
        <v>2.5847066836739926E-2</v>
      </c>
      <c r="J115" s="65">
        <v>2424627095.6300001</v>
      </c>
      <c r="K115" s="78">
        <f t="shared" ref="K115:K117" si="53">(J115/$J$118)</f>
        <v>2.6046761995715446E-2</v>
      </c>
      <c r="L115" s="78">
        <f>((J115-H115)/H115)</f>
        <v>9.6802924978852505E-3</v>
      </c>
      <c r="M115" s="80">
        <f>(F115/J115)</f>
        <v>2.1948480199662397E-3</v>
      </c>
      <c r="N115" s="92">
        <f>G115/J115</f>
        <v>9.5874828594868459E-3</v>
      </c>
      <c r="O115" s="82">
        <f>J115/U115</f>
        <v>121.2313547815</v>
      </c>
      <c r="P115" s="82">
        <f>G115/U115</f>
        <v>1.162303536</v>
      </c>
      <c r="Q115" s="63">
        <v>69.3</v>
      </c>
      <c r="R115" s="63">
        <v>69.3</v>
      </c>
      <c r="S115" s="65">
        <v>2733</v>
      </c>
      <c r="T115" s="65">
        <v>20000000</v>
      </c>
      <c r="U115" s="65">
        <v>20000000</v>
      </c>
    </row>
    <row r="116" spans="1:21" ht="15.75">
      <c r="A116" s="36">
        <v>97</v>
      </c>
      <c r="B116" s="37" t="s">
        <v>153</v>
      </c>
      <c r="C116" s="37" t="s">
        <v>118</v>
      </c>
      <c r="D116" s="42">
        <v>11176011653.75</v>
      </c>
      <c r="E116" s="42">
        <v>57031861.289999999</v>
      </c>
      <c r="F116" s="64" t="s">
        <v>208</v>
      </c>
      <c r="G116" s="63">
        <v>39895413.859999999</v>
      </c>
      <c r="H116" s="136">
        <v>9889080762</v>
      </c>
      <c r="I116" s="78">
        <f t="shared" si="52"/>
        <v>0.10644030612297881</v>
      </c>
      <c r="J116" s="65">
        <v>9928976176</v>
      </c>
      <c r="K116" s="78">
        <f t="shared" si="53"/>
        <v>0.10666286778017024</v>
      </c>
      <c r="L116" s="78">
        <f>((J116-H116)/H116)</f>
        <v>4.0342894309553018E-3</v>
      </c>
      <c r="M116" s="80">
        <f>(F116/J116)</f>
        <v>1.7259027644181146E-3</v>
      </c>
      <c r="N116" s="92">
        <f>G116/J116</f>
        <v>4.0180793218573636E-3</v>
      </c>
      <c r="O116" s="82">
        <f>J116/U116</f>
        <v>52.778031290829787</v>
      </c>
      <c r="P116" s="82">
        <f>G116/U116</f>
        <v>0.21206631617802404</v>
      </c>
      <c r="Q116" s="63">
        <v>36.6</v>
      </c>
      <c r="R116" s="63">
        <v>36.6</v>
      </c>
      <c r="S116" s="65">
        <v>5267</v>
      </c>
      <c r="T116" s="65">
        <v>188127066</v>
      </c>
      <c r="U116" s="65">
        <v>188127066</v>
      </c>
    </row>
    <row r="117" spans="1:21" ht="15.75" customHeight="1">
      <c r="A117" s="36">
        <v>98</v>
      </c>
      <c r="B117" s="37" t="s">
        <v>154</v>
      </c>
      <c r="C117" s="43" t="s">
        <v>155</v>
      </c>
      <c r="D117" s="48">
        <v>22090000000</v>
      </c>
      <c r="E117" s="42">
        <v>151614370</v>
      </c>
      <c r="F117" s="44">
        <v>19651112.829999998</v>
      </c>
      <c r="G117" s="63">
        <v>22221963257.169998</v>
      </c>
      <c r="H117" s="137">
        <v>26866958723.630001</v>
      </c>
      <c r="I117" s="78">
        <f t="shared" si="52"/>
        <v>0.28918029693168901</v>
      </c>
      <c r="J117" s="123">
        <v>26881520025.630001</v>
      </c>
      <c r="K117" s="78">
        <f t="shared" si="53"/>
        <v>0.28877700634980064</v>
      </c>
      <c r="L117" s="78">
        <f>((J117-H117)/H117)</f>
        <v>5.4197805377923392E-4</v>
      </c>
      <c r="M117" s="80">
        <f>(F117/J117)</f>
        <v>7.3102684711518471E-4</v>
      </c>
      <c r="N117" s="92">
        <f>G117/J117</f>
        <v>0.82666319597934268</v>
      </c>
      <c r="O117" s="82">
        <f>J117/U117</f>
        <v>10.074514596681482</v>
      </c>
      <c r="P117" s="82">
        <f>G117/U117</f>
        <v>8.3282304344332534</v>
      </c>
      <c r="Q117" s="63">
        <v>10.07</v>
      </c>
      <c r="R117" s="63">
        <v>10.07</v>
      </c>
      <c r="S117" s="65">
        <v>28836</v>
      </c>
      <c r="T117" s="123">
        <v>2668269500</v>
      </c>
      <c r="U117" s="123">
        <v>2668269500</v>
      </c>
    </row>
    <row r="118" spans="1:21" ht="12" customHeight="1">
      <c r="A118" s="149" t="s">
        <v>229</v>
      </c>
      <c r="B118" s="150"/>
      <c r="C118" s="150"/>
      <c r="D118" s="150"/>
      <c r="E118" s="150"/>
      <c r="F118" s="150"/>
      <c r="G118" s="151"/>
      <c r="H118" s="126">
        <f>SUM(H114:H117)</f>
        <v>92907293507.540009</v>
      </c>
      <c r="I118" s="101">
        <f>(H118/$H$167)</f>
        <v>5.0832335072286176E-2</v>
      </c>
      <c r="J118" s="126">
        <f>SUM(J114:J117)</f>
        <v>93087466919.259995</v>
      </c>
      <c r="K118" s="101">
        <f>(J118/$J$167)</f>
        <v>4.8633033201270805E-2</v>
      </c>
      <c r="L118" s="79">
        <f>((J118-H118)/H118)</f>
        <v>1.9392816744291852E-3</v>
      </c>
      <c r="M118" s="80"/>
      <c r="N118" s="93"/>
      <c r="O118" s="83"/>
      <c r="P118" s="83"/>
      <c r="Q118" s="126"/>
      <c r="R118" s="126"/>
      <c r="S118" s="126">
        <f>SUM(S114:S117)</f>
        <v>37511</v>
      </c>
      <c r="T118" s="126"/>
      <c r="U118" s="126"/>
    </row>
    <row r="119" spans="1:21" ht="6.75" customHeight="1">
      <c r="A119" s="155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7"/>
    </row>
    <row r="120" spans="1:21" ht="15" customHeight="1">
      <c r="A120" s="161" t="s">
        <v>3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</row>
    <row r="121" spans="1:21" ht="15.75">
      <c r="A121" s="36">
        <v>99</v>
      </c>
      <c r="B121" s="37" t="s">
        <v>156</v>
      </c>
      <c r="C121" s="37" t="s">
        <v>52</v>
      </c>
      <c r="D121" s="40">
        <v>208640101.13999999</v>
      </c>
      <c r="E121" s="40">
        <v>1429027.23</v>
      </c>
      <c r="F121" s="42">
        <v>487492.59</v>
      </c>
      <c r="G121" s="39">
        <v>941534.64</v>
      </c>
      <c r="H121" s="65">
        <v>191093109</v>
      </c>
      <c r="I121" s="78">
        <f t="shared" ref="I121:I134" si="54">(H121/$H$145)</f>
        <v>6.2120637358470043E-3</v>
      </c>
      <c r="J121" s="65">
        <v>194316104</v>
      </c>
      <c r="K121" s="78">
        <f t="shared" ref="K121:K134" si="55">(J121/$J$145)</f>
        <v>5.0279439506158152E-3</v>
      </c>
      <c r="L121" s="78">
        <f>((J121-H121)/H121)</f>
        <v>1.6866097458281451E-2</v>
      </c>
      <c r="M121" s="80">
        <f t="shared" ref="M121:M144" si="56">(F121/J121)</f>
        <v>2.5087606223311272E-3</v>
      </c>
      <c r="N121" s="92">
        <f t="shared" ref="N121:N144" si="57">G121/J121</f>
        <v>4.8453762741146765E-3</v>
      </c>
      <c r="O121" s="82">
        <f t="shared" ref="O121:O144" si="58">J121/U121</f>
        <v>4.4051909396907956</v>
      </c>
      <c r="P121" s="82">
        <f t="shared" ref="P121:P144" si="59">G121/U121</f>
        <v>2.1344807662122718E-2</v>
      </c>
      <c r="Q121" s="65">
        <v>4.3592000000000004</v>
      </c>
      <c r="R121" s="65">
        <v>4.4420000000000002</v>
      </c>
      <c r="S121" s="65">
        <v>11818</v>
      </c>
      <c r="T121" s="65">
        <v>44236824.329999998</v>
      </c>
      <c r="U121" s="65">
        <v>44110710.899999999</v>
      </c>
    </row>
    <row r="122" spans="1:21" ht="15.75">
      <c r="A122" s="36">
        <v>100</v>
      </c>
      <c r="B122" s="37" t="s">
        <v>157</v>
      </c>
      <c r="C122" s="43" t="s">
        <v>26</v>
      </c>
      <c r="D122" s="44">
        <v>4481883460.6800003</v>
      </c>
      <c r="E122" s="44">
        <v>177287775.72</v>
      </c>
      <c r="F122" s="44">
        <v>34248711.469999999</v>
      </c>
      <c r="G122" s="44">
        <v>252114010.43000001</v>
      </c>
      <c r="H122" s="65">
        <v>5467902900</v>
      </c>
      <c r="I122" s="78">
        <f t="shared" si="54"/>
        <v>0.17775084352320977</v>
      </c>
      <c r="J122" s="123">
        <v>5901850628</v>
      </c>
      <c r="K122" s="78">
        <f t="shared" si="55"/>
        <v>0.15271083328477372</v>
      </c>
      <c r="L122" s="78">
        <f t="shared" ref="L122:L145" si="60">((J122-H122)/H122)</f>
        <v>7.936273484300535E-2</v>
      </c>
      <c r="M122" s="80">
        <f t="shared" si="56"/>
        <v>5.8030461339557979E-3</v>
      </c>
      <c r="N122" s="92">
        <f t="shared" si="57"/>
        <v>4.2717789100574978E-2</v>
      </c>
      <c r="O122" s="82">
        <f t="shared" si="58"/>
        <v>631.47939486864527</v>
      </c>
      <c r="P122" s="82">
        <f t="shared" si="59"/>
        <v>26.975403611357503</v>
      </c>
      <c r="Q122" s="65">
        <v>628.32000000000005</v>
      </c>
      <c r="R122" s="65">
        <v>647.26</v>
      </c>
      <c r="S122" s="65">
        <v>1973</v>
      </c>
      <c r="T122" s="123">
        <v>9064001</v>
      </c>
      <c r="U122" s="123">
        <v>9346070</v>
      </c>
    </row>
    <row r="123" spans="1:21" ht="15.75">
      <c r="A123" s="36">
        <v>101</v>
      </c>
      <c r="B123" s="37" t="s">
        <v>158</v>
      </c>
      <c r="C123" s="37" t="s">
        <v>100</v>
      </c>
      <c r="D123" s="65">
        <v>1231911589.52</v>
      </c>
      <c r="E123" s="58">
        <v>11656384.539999999</v>
      </c>
      <c r="F123" s="58">
        <v>11656384.539999999</v>
      </c>
      <c r="G123" s="39">
        <v>-5551969.7000000002</v>
      </c>
      <c r="H123" s="65">
        <v>1183279978.28</v>
      </c>
      <c r="I123" s="78">
        <f t="shared" si="54"/>
        <v>3.8466120944356072E-2</v>
      </c>
      <c r="J123" s="65">
        <v>1177612653.5699999</v>
      </c>
      <c r="K123" s="78">
        <f t="shared" si="55"/>
        <v>3.0470816858729932E-2</v>
      </c>
      <c r="L123" s="78">
        <f t="shared" si="60"/>
        <v>-4.7895044402238478E-3</v>
      </c>
      <c r="M123" s="80">
        <f t="shared" si="56"/>
        <v>9.8983180120076029E-3</v>
      </c>
      <c r="N123" s="92">
        <f t="shared" si="57"/>
        <v>-4.7145975233612572E-3</v>
      </c>
      <c r="O123" s="82">
        <f t="shared" si="58"/>
        <v>2.7800540370050522</v>
      </c>
      <c r="P123" s="82">
        <f t="shared" si="59"/>
        <v>-1.3106835877674484E-2</v>
      </c>
      <c r="Q123" s="65">
        <v>2.7061000000000002</v>
      </c>
      <c r="R123" s="65">
        <v>2.7684000000000002</v>
      </c>
      <c r="S123" s="65">
        <v>2761</v>
      </c>
      <c r="T123" s="65">
        <v>423634508.15350002</v>
      </c>
      <c r="U123" s="65">
        <v>423593440.2335</v>
      </c>
    </row>
    <row r="124" spans="1:21" ht="16.5" customHeight="1">
      <c r="A124" s="36">
        <v>102</v>
      </c>
      <c r="B124" s="37" t="s">
        <v>159</v>
      </c>
      <c r="C124" s="37" t="s">
        <v>58</v>
      </c>
      <c r="D124" s="40">
        <v>2746267230.7800002</v>
      </c>
      <c r="E124" s="40">
        <v>35353915.759999998</v>
      </c>
      <c r="F124" s="42">
        <v>7508441.5599999996</v>
      </c>
      <c r="G124" s="39">
        <v>28312989.32</v>
      </c>
      <c r="H124" s="65">
        <v>2677193555.4099998</v>
      </c>
      <c r="I124" s="78">
        <f t="shared" si="54"/>
        <v>8.7030333466424303E-2</v>
      </c>
      <c r="J124" s="65">
        <v>2732899103.4200001</v>
      </c>
      <c r="K124" s="78">
        <f t="shared" si="55"/>
        <v>7.071397188307138E-2</v>
      </c>
      <c r="L124" s="78">
        <f t="shared" si="60"/>
        <v>2.0807441396021583E-2</v>
      </c>
      <c r="M124" s="80">
        <f t="shared" si="56"/>
        <v>2.7474272835772817E-3</v>
      </c>
      <c r="N124" s="92">
        <f t="shared" si="57"/>
        <v>1.0360056573097999E-2</v>
      </c>
      <c r="O124" s="82">
        <f t="shared" si="58"/>
        <v>5086.7265920320351</v>
      </c>
      <c r="P124" s="82">
        <f t="shared" si="59"/>
        <v>52.698775265333865</v>
      </c>
      <c r="Q124" s="65">
        <v>5086.7299999999996</v>
      </c>
      <c r="R124" s="65">
        <v>5120.88</v>
      </c>
      <c r="S124" s="65">
        <v>834</v>
      </c>
      <c r="T124" s="65">
        <v>534664.18999999994</v>
      </c>
      <c r="U124" s="65">
        <v>537260.86</v>
      </c>
    </row>
    <row r="125" spans="1:21" ht="15" customHeight="1">
      <c r="A125" s="36">
        <v>103</v>
      </c>
      <c r="B125" s="37" t="s">
        <v>160</v>
      </c>
      <c r="C125" s="43" t="s">
        <v>60</v>
      </c>
      <c r="D125" s="40">
        <v>343194339.88</v>
      </c>
      <c r="E125" s="40">
        <v>2160223.59</v>
      </c>
      <c r="F125" s="42">
        <v>774152.06</v>
      </c>
      <c r="G125" s="39">
        <v>3578009.41</v>
      </c>
      <c r="H125" s="65">
        <v>389833851.67000002</v>
      </c>
      <c r="I125" s="78">
        <f t="shared" si="54"/>
        <v>1.2672737105160432E-2</v>
      </c>
      <c r="J125" s="65">
        <v>393330628.58999997</v>
      </c>
      <c r="K125" s="78">
        <f t="shared" si="55"/>
        <v>1.0177459890874544E-2</v>
      </c>
      <c r="L125" s="78">
        <f t="shared" si="60"/>
        <v>8.9699160424888628E-3</v>
      </c>
      <c r="M125" s="80">
        <f t="shared" si="56"/>
        <v>1.9681967376279784E-3</v>
      </c>
      <c r="N125" s="92">
        <f t="shared" si="57"/>
        <v>9.0966966463464655E-3</v>
      </c>
      <c r="O125" s="82">
        <f t="shared" si="58"/>
        <v>148.75717389807994</v>
      </c>
      <c r="P125" s="82">
        <f t="shared" si="59"/>
        <v>1.3531988849186418</v>
      </c>
      <c r="Q125" s="65">
        <v>155.49</v>
      </c>
      <c r="R125" s="65">
        <v>156.55000000000001</v>
      </c>
      <c r="S125" s="65">
        <v>602</v>
      </c>
      <c r="T125" s="65">
        <v>2641804</v>
      </c>
      <c r="U125" s="65">
        <v>2644112</v>
      </c>
    </row>
    <row r="126" spans="1:21" ht="15.75" customHeight="1">
      <c r="A126" s="36">
        <v>104</v>
      </c>
      <c r="B126" s="37" t="s">
        <v>161</v>
      </c>
      <c r="C126" s="43" t="s">
        <v>62</v>
      </c>
      <c r="D126" s="69">
        <v>248331135.28999999</v>
      </c>
      <c r="E126" s="69">
        <v>1956454.75</v>
      </c>
      <c r="F126" s="70">
        <v>691169.45</v>
      </c>
      <c r="G126" s="71">
        <v>3676035.92</v>
      </c>
      <c r="H126" s="65">
        <v>331444396.5</v>
      </c>
      <c r="I126" s="78">
        <f t="shared" si="54"/>
        <v>1.0774609962242781E-2</v>
      </c>
      <c r="J126" s="76">
        <v>331444396.5</v>
      </c>
      <c r="K126" s="78">
        <f t="shared" si="55"/>
        <v>8.5761489348699822E-3</v>
      </c>
      <c r="L126" s="72">
        <f t="shared" si="60"/>
        <v>0</v>
      </c>
      <c r="M126" s="73">
        <f t="shared" si="56"/>
        <v>2.0853254944076267E-3</v>
      </c>
      <c r="N126" s="74">
        <f t="shared" si="57"/>
        <v>1.1090958117917675E-2</v>
      </c>
      <c r="O126" s="75">
        <f t="shared" si="58"/>
        <v>137.41595449214111</v>
      </c>
      <c r="P126" s="75">
        <f t="shared" si="59"/>
        <v>1.5240745960060182</v>
      </c>
      <c r="Q126" s="76">
        <v>141.68</v>
      </c>
      <c r="R126" s="76">
        <v>142.58000000000001</v>
      </c>
      <c r="S126" s="76">
        <f>549+27+3</f>
        <v>579</v>
      </c>
      <c r="T126" s="76">
        <v>2411979</v>
      </c>
      <c r="U126" s="76">
        <v>2411979</v>
      </c>
    </row>
    <row r="127" spans="1:21" ht="15" customHeight="1">
      <c r="A127" s="36">
        <v>105</v>
      </c>
      <c r="B127" s="37" t="s">
        <v>162</v>
      </c>
      <c r="C127" s="43" t="s">
        <v>64</v>
      </c>
      <c r="D127" s="44">
        <v>153137097.69</v>
      </c>
      <c r="E127" s="44">
        <v>816229.6</v>
      </c>
      <c r="F127" s="49">
        <v>442910.66</v>
      </c>
      <c r="G127" s="44">
        <v>2407018.52</v>
      </c>
      <c r="H127" s="63">
        <v>156159173.36000001</v>
      </c>
      <c r="I127" s="78">
        <f t="shared" si="54"/>
        <v>5.0764297201815979E-3</v>
      </c>
      <c r="J127" s="123">
        <v>161479444.72</v>
      </c>
      <c r="K127" s="78">
        <f t="shared" si="55"/>
        <v>4.1782928975805577E-3</v>
      </c>
      <c r="L127" s="78">
        <f t="shared" si="60"/>
        <v>3.4069541004388831E-2</v>
      </c>
      <c r="M127" s="80">
        <f t="shared" si="56"/>
        <v>2.7428299667985132E-3</v>
      </c>
      <c r="N127" s="92">
        <f t="shared" si="57"/>
        <v>1.4906036642457437E-2</v>
      </c>
      <c r="O127" s="82">
        <f t="shared" si="58"/>
        <v>1.4252467394196817</v>
      </c>
      <c r="P127" s="82">
        <f t="shared" si="59"/>
        <v>2.124478012233276E-2</v>
      </c>
      <c r="Q127" s="65">
        <v>1.41</v>
      </c>
      <c r="R127" s="65">
        <v>1.42</v>
      </c>
      <c r="S127" s="65">
        <v>228</v>
      </c>
      <c r="T127" s="123">
        <v>111927426.67</v>
      </c>
      <c r="U127" s="123">
        <v>113299290.75</v>
      </c>
    </row>
    <row r="128" spans="1:21" ht="15" customHeight="1">
      <c r="A128" s="36">
        <v>106</v>
      </c>
      <c r="B128" s="51" t="s">
        <v>224</v>
      </c>
      <c r="C128" s="52" t="s">
        <v>46</v>
      </c>
      <c r="D128" s="40">
        <f>32189167.6+13752050+13703873.31+22082737.02</f>
        <v>81727827.930000007</v>
      </c>
      <c r="E128" s="57">
        <v>458326.99</v>
      </c>
      <c r="F128" s="57">
        <v>129035.18</v>
      </c>
      <c r="G128" s="57">
        <v>129035.18</v>
      </c>
      <c r="H128" s="65">
        <v>82608118.099999994</v>
      </c>
      <c r="I128" s="78">
        <f t="shared" si="54"/>
        <v>2.6854285715534436E-3</v>
      </c>
      <c r="J128" s="65">
        <v>81807956.609999999</v>
      </c>
      <c r="K128" s="78">
        <f t="shared" si="55"/>
        <v>2.1167870911486092E-3</v>
      </c>
      <c r="L128" s="78">
        <f t="shared" ref="L128" si="61">((J128-H128)/H128)</f>
        <v>-9.6862331257972899E-3</v>
      </c>
      <c r="M128" s="80">
        <f t="shared" ref="M128" si="62">(F128/J128)</f>
        <v>1.5772937663648607E-3</v>
      </c>
      <c r="N128" s="92">
        <f t="shared" ref="N128" si="63">G128/J128</f>
        <v>1.5772937663648607E-3</v>
      </c>
      <c r="O128" s="82">
        <f t="shared" ref="O128" si="64">J128/U128</f>
        <v>117.22224599077295</v>
      </c>
      <c r="P128" s="82">
        <f t="shared" ref="P128" si="65">G128/U128</f>
        <v>0.18489391788053444</v>
      </c>
      <c r="Q128" s="65">
        <v>120.28749999999999</v>
      </c>
      <c r="R128" s="65">
        <v>120.6657</v>
      </c>
      <c r="S128" s="65">
        <v>59</v>
      </c>
      <c r="T128" s="127">
        <v>688552.81</v>
      </c>
      <c r="U128" s="127">
        <v>697887.64</v>
      </c>
    </row>
    <row r="129" spans="1:21" ht="15.75">
      <c r="A129" s="36">
        <v>107</v>
      </c>
      <c r="B129" s="51" t="s">
        <v>163</v>
      </c>
      <c r="C129" s="52" t="s">
        <v>164</v>
      </c>
      <c r="D129" s="40">
        <v>79034951.680000007</v>
      </c>
      <c r="E129" s="40">
        <v>1287366.1200000001</v>
      </c>
      <c r="F129" s="42">
        <v>385267.41</v>
      </c>
      <c r="G129" s="39">
        <v>902098.71</v>
      </c>
      <c r="H129" s="65">
        <v>174893840.34</v>
      </c>
      <c r="I129" s="78">
        <f t="shared" si="54"/>
        <v>5.6854571516711779E-3</v>
      </c>
      <c r="J129" s="65">
        <v>174893840.34</v>
      </c>
      <c r="K129" s="78">
        <f t="shared" si="55"/>
        <v>4.5253914031616813E-3</v>
      </c>
      <c r="L129" s="78">
        <f t="shared" si="60"/>
        <v>0</v>
      </c>
      <c r="M129" s="80">
        <f t="shared" si="56"/>
        <v>2.2028643733308507E-3</v>
      </c>
      <c r="N129" s="92">
        <f t="shared" si="57"/>
        <v>5.1579787386810605E-3</v>
      </c>
      <c r="O129" s="82">
        <f t="shared" si="58"/>
        <v>111.66798536580694</v>
      </c>
      <c r="P129" s="82">
        <f t="shared" si="59"/>
        <v>0.57598109430818001</v>
      </c>
      <c r="Q129" s="65">
        <v>110.17</v>
      </c>
      <c r="R129" s="65">
        <v>111.67</v>
      </c>
      <c r="S129" s="65">
        <v>47</v>
      </c>
      <c r="T129" s="65">
        <v>1566195</v>
      </c>
      <c r="U129" s="65">
        <v>1566195</v>
      </c>
    </row>
    <row r="130" spans="1:21" ht="15.75">
      <c r="A130" s="36">
        <v>108</v>
      </c>
      <c r="B130" s="37" t="s">
        <v>196</v>
      </c>
      <c r="C130" s="43" t="s">
        <v>69</v>
      </c>
      <c r="D130" s="44">
        <v>473364449.95999998</v>
      </c>
      <c r="E130" s="44">
        <v>10068511.880000001</v>
      </c>
      <c r="F130" s="49">
        <v>9226943.9399999995</v>
      </c>
      <c r="G130" s="39">
        <v>841567.94</v>
      </c>
      <c r="H130" s="65">
        <v>366261210.38</v>
      </c>
      <c r="I130" s="78">
        <f t="shared" si="54"/>
        <v>1.190643657824955E-2</v>
      </c>
      <c r="J130" s="125">
        <v>442982711.25999999</v>
      </c>
      <c r="K130" s="78">
        <f t="shared" si="55"/>
        <v>1.1462211301370623E-2</v>
      </c>
      <c r="L130" s="78">
        <f t="shared" si="60"/>
        <v>0.20947208906015627</v>
      </c>
      <c r="M130" s="80">
        <f t="shared" si="56"/>
        <v>2.0829128779665685E-2</v>
      </c>
      <c r="N130" s="92">
        <f t="shared" si="57"/>
        <v>1.8997760377742106E-3</v>
      </c>
      <c r="O130" s="82">
        <f t="shared" si="58"/>
        <v>1.2528554374838023</v>
      </c>
      <c r="P130" s="82">
        <f t="shared" si="59"/>
        <v>2.3801447389268531E-3</v>
      </c>
      <c r="Q130" s="65">
        <v>1.25</v>
      </c>
      <c r="R130" s="65">
        <v>1.25</v>
      </c>
      <c r="S130" s="65">
        <v>107</v>
      </c>
      <c r="T130" s="65">
        <v>301100394.69999999</v>
      </c>
      <c r="U130" s="123">
        <v>353578472.02999997</v>
      </c>
    </row>
    <row r="131" spans="1:21" ht="15.75">
      <c r="A131" s="36">
        <v>109</v>
      </c>
      <c r="B131" s="43" t="s">
        <v>165</v>
      </c>
      <c r="C131" s="43" t="s">
        <v>73</v>
      </c>
      <c r="D131" s="40">
        <v>5985241799.6499996</v>
      </c>
      <c r="E131" s="40">
        <v>30605710.59</v>
      </c>
      <c r="F131" s="42">
        <v>17586593.579999998</v>
      </c>
      <c r="G131" s="39">
        <v>263601000.15000001</v>
      </c>
      <c r="H131" s="65">
        <v>5829414310.0799999</v>
      </c>
      <c r="I131" s="78">
        <f t="shared" si="54"/>
        <v>0.18950287337088409</v>
      </c>
      <c r="J131" s="125">
        <v>5985241799.6499996</v>
      </c>
      <c r="K131" s="78">
        <f t="shared" si="55"/>
        <v>0.15486858618533814</v>
      </c>
      <c r="L131" s="78">
        <f t="shared" si="60"/>
        <v>2.6731242845537462E-2</v>
      </c>
      <c r="M131" s="80">
        <f t="shared" si="56"/>
        <v>2.9383263314488668E-3</v>
      </c>
      <c r="N131" s="92">
        <f t="shared" si="57"/>
        <v>4.4041829716121854E-2</v>
      </c>
      <c r="O131" s="82">
        <f t="shared" si="58"/>
        <v>246.53882076686378</v>
      </c>
      <c r="P131" s="82">
        <f t="shared" si="59"/>
        <v>10.858020762627701</v>
      </c>
      <c r="Q131" s="65">
        <v>246.54</v>
      </c>
      <c r="R131" s="65">
        <v>248.85</v>
      </c>
      <c r="S131" s="65">
        <v>5454</v>
      </c>
      <c r="T131" s="125">
        <v>24271331</v>
      </c>
      <c r="U131" s="65">
        <v>24277076.449999999</v>
      </c>
    </row>
    <row r="132" spans="1:21" ht="15.75" customHeight="1">
      <c r="A132" s="36">
        <v>110</v>
      </c>
      <c r="B132" s="66" t="s">
        <v>166</v>
      </c>
      <c r="C132" s="37" t="s">
        <v>75</v>
      </c>
      <c r="D132" s="40">
        <v>2268875780.7399998</v>
      </c>
      <c r="E132" s="40">
        <v>12981344.359999999</v>
      </c>
      <c r="F132" s="42">
        <v>6484642.6799999997</v>
      </c>
      <c r="G132" s="39">
        <v>6496701.6799999997</v>
      </c>
      <c r="H132" s="65">
        <v>2276133824.9699998</v>
      </c>
      <c r="I132" s="78">
        <f t="shared" si="54"/>
        <v>7.3992664968525204E-2</v>
      </c>
      <c r="J132" s="65">
        <v>2251366892.8699999</v>
      </c>
      <c r="K132" s="78">
        <f t="shared" si="55"/>
        <v>5.8254289359478101E-2</v>
      </c>
      <c r="L132" s="78">
        <f t="shared" si="60"/>
        <v>-1.0881140567526315E-2</v>
      </c>
      <c r="M132" s="80">
        <f t="shared" si="56"/>
        <v>2.880313599945276E-3</v>
      </c>
      <c r="N132" s="92">
        <f t="shared" si="57"/>
        <v>2.8856699015050928E-3</v>
      </c>
      <c r="O132" s="82">
        <f t="shared" si="58"/>
        <v>1.5804446340329545</v>
      </c>
      <c r="P132" s="82">
        <f t="shared" si="59"/>
        <v>4.5606415114241286E-3</v>
      </c>
      <c r="Q132" s="65">
        <v>1.5639000000000001</v>
      </c>
      <c r="R132" s="65">
        <v>1.5940000000000001</v>
      </c>
      <c r="S132" s="65">
        <v>10319</v>
      </c>
      <c r="T132" s="65">
        <v>1435678485.04</v>
      </c>
      <c r="U132" s="65">
        <v>1424514876.6300001</v>
      </c>
    </row>
    <row r="133" spans="1:21" ht="15.75">
      <c r="A133" s="36">
        <v>111</v>
      </c>
      <c r="B133" s="37" t="s">
        <v>214</v>
      </c>
      <c r="C133" s="43" t="s">
        <v>76</v>
      </c>
      <c r="D133" s="42">
        <v>110091770.54000001</v>
      </c>
      <c r="E133" s="40">
        <v>463540.22</v>
      </c>
      <c r="F133" s="42">
        <v>274321.18</v>
      </c>
      <c r="G133" s="39">
        <v>189219.04</v>
      </c>
      <c r="H133" s="65">
        <v>173575254.71000001</v>
      </c>
      <c r="I133" s="78">
        <f t="shared" si="54"/>
        <v>5.6425925082646379E-3</v>
      </c>
      <c r="J133" s="65">
        <v>144856285.88999999</v>
      </c>
      <c r="K133" s="78">
        <f t="shared" si="55"/>
        <v>3.7481674002135226E-3</v>
      </c>
      <c r="L133" s="78">
        <f t="shared" si="60"/>
        <v>-0.1654554323885746</v>
      </c>
      <c r="M133" s="80">
        <f t="shared" si="56"/>
        <v>1.8937471599148427E-3</v>
      </c>
      <c r="N133" s="92">
        <f t="shared" si="57"/>
        <v>1.3062535659908326E-3</v>
      </c>
      <c r="O133" s="82">
        <f t="shared" si="58"/>
        <v>94.625948939989414</v>
      </c>
      <c r="P133" s="82">
        <f t="shared" si="59"/>
        <v>0.12360548323812762</v>
      </c>
      <c r="Q133" s="65">
        <v>94.63</v>
      </c>
      <c r="R133" s="65">
        <v>99.33</v>
      </c>
      <c r="S133" s="65">
        <v>37</v>
      </c>
      <c r="T133" s="65">
        <v>2009899.47</v>
      </c>
      <c r="U133" s="65">
        <v>1530830.47</v>
      </c>
    </row>
    <row r="134" spans="1:21" ht="15.75">
      <c r="A134" s="36">
        <v>112</v>
      </c>
      <c r="B134" s="43" t="s">
        <v>217</v>
      </c>
      <c r="C134" s="43" t="s">
        <v>216</v>
      </c>
      <c r="D134" s="42">
        <v>2577919105.3699999</v>
      </c>
      <c r="E134" s="40">
        <v>10107359.609999999</v>
      </c>
      <c r="F134" s="42">
        <v>6842913.6600000001</v>
      </c>
      <c r="G134" s="39">
        <v>5074314.24</v>
      </c>
      <c r="H134" s="137">
        <v>1423791743.95</v>
      </c>
      <c r="I134" s="78">
        <f t="shared" si="54"/>
        <v>4.6284688685399734E-2</v>
      </c>
      <c r="J134" s="65">
        <v>2559551591.46</v>
      </c>
      <c r="K134" s="78">
        <f t="shared" si="55"/>
        <v>6.6228591844196244E-2</v>
      </c>
      <c r="L134" s="78">
        <f t="shared" si="60"/>
        <v>0.79770082411004972</v>
      </c>
      <c r="M134" s="80">
        <f t="shared" si="56"/>
        <v>2.6734814343385505E-3</v>
      </c>
      <c r="N134" s="92">
        <f t="shared" si="57"/>
        <v>1.9825012540987887E-3</v>
      </c>
      <c r="O134" s="82">
        <f t="shared" si="58"/>
        <v>3.6335772763062173</v>
      </c>
      <c r="P134" s="82">
        <f t="shared" si="59"/>
        <v>7.2035715071419358E-3</v>
      </c>
      <c r="Q134" s="65">
        <v>3.59</v>
      </c>
      <c r="R134" s="65">
        <v>3.67</v>
      </c>
      <c r="S134" s="65">
        <v>2214</v>
      </c>
      <c r="T134" s="65">
        <v>701642575.25</v>
      </c>
      <c r="U134" s="65">
        <v>704416446.05999994</v>
      </c>
    </row>
    <row r="135" spans="1:21" ht="15.75">
      <c r="A135" s="36">
        <v>113</v>
      </c>
      <c r="B135" s="43" t="s">
        <v>167</v>
      </c>
      <c r="C135" s="43" t="s">
        <v>111</v>
      </c>
      <c r="D135" s="57">
        <v>189326854.52000001</v>
      </c>
      <c r="E135" s="57">
        <v>6438436.5999999996</v>
      </c>
      <c r="F135" s="57">
        <v>3206162.96</v>
      </c>
      <c r="G135" s="57">
        <v>3232273.64</v>
      </c>
      <c r="H135" s="65">
        <v>158086008.36000001</v>
      </c>
      <c r="I135" s="78">
        <f t="shared" ref="I135:I136" si="66">(H135/$H$145)</f>
        <v>5.1390673625910941E-3</v>
      </c>
      <c r="J135" s="127">
        <v>184363101.75</v>
      </c>
      <c r="K135" s="78">
        <f t="shared" ref="K135:K136" si="67">(J135/$J$145)</f>
        <v>4.7704092613995623E-3</v>
      </c>
      <c r="L135" s="78">
        <f t="shared" ref="L135:L136" si="68">((J135-H135)/H135)</f>
        <v>0.16622023455839746</v>
      </c>
      <c r="M135" s="80">
        <f t="shared" ref="M135:M136" si="69">(F135/J135)</f>
        <v>1.7390480684945409E-2</v>
      </c>
      <c r="N135" s="92">
        <f t="shared" ref="N135:N136" si="70">G135/J135</f>
        <v>1.7532107071961865E-2</v>
      </c>
      <c r="O135" s="82">
        <f t="shared" ref="O135:O136" si="71">J135/U135</f>
        <v>166.06892864247365</v>
      </c>
      <c r="P135" s="82">
        <f t="shared" ref="P135:P136" si="72">G135/U135</f>
        <v>2.9115382382858428</v>
      </c>
      <c r="Q135" s="65">
        <v>166.06</v>
      </c>
      <c r="R135" s="65">
        <v>170.54</v>
      </c>
      <c r="S135" s="65">
        <v>136</v>
      </c>
      <c r="T135" s="127">
        <v>1106950.44</v>
      </c>
      <c r="U135" s="127">
        <v>1110160.1200000001</v>
      </c>
    </row>
    <row r="136" spans="1:21" ht="15.75">
      <c r="A136" s="36">
        <v>114</v>
      </c>
      <c r="B136" s="37" t="s">
        <v>168</v>
      </c>
      <c r="C136" s="43" t="s">
        <v>32</v>
      </c>
      <c r="D136" s="44">
        <v>1493450477.0799999</v>
      </c>
      <c r="E136" s="123">
        <v>85822665.780000001</v>
      </c>
      <c r="F136" s="42">
        <v>3509157.62</v>
      </c>
      <c r="G136" s="39">
        <v>82313508.159999996</v>
      </c>
      <c r="H136" s="137">
        <v>2463292256.5700002</v>
      </c>
      <c r="I136" s="78">
        <f t="shared" si="66"/>
        <v>8.0076820027200624E-2</v>
      </c>
      <c r="J136" s="65">
        <v>1521972664.45</v>
      </c>
      <c r="K136" s="78">
        <f t="shared" si="67"/>
        <v>3.9381158296710253E-2</v>
      </c>
      <c r="L136" s="78">
        <f t="shared" si="68"/>
        <v>-0.3821388183271181</v>
      </c>
      <c r="M136" s="80">
        <f t="shared" si="69"/>
        <v>2.3056640253575878E-3</v>
      </c>
      <c r="N136" s="92">
        <f t="shared" si="70"/>
        <v>5.4083434008156697E-2</v>
      </c>
      <c r="O136" s="82">
        <f t="shared" si="71"/>
        <v>2040.314584690663</v>
      </c>
      <c r="P136" s="82">
        <f t="shared" si="72"/>
        <v>110.34721919699712</v>
      </c>
      <c r="Q136" s="65">
        <v>552.20000000000005</v>
      </c>
      <c r="R136" s="65">
        <v>552.20000000000005</v>
      </c>
      <c r="S136" s="65">
        <v>830</v>
      </c>
      <c r="T136" s="65">
        <v>745950</v>
      </c>
      <c r="U136" s="65">
        <v>745950</v>
      </c>
    </row>
    <row r="137" spans="1:21" ht="15.75">
      <c r="A137" s="36">
        <v>115</v>
      </c>
      <c r="B137" s="37" t="s">
        <v>169</v>
      </c>
      <c r="C137" s="43" t="s">
        <v>81</v>
      </c>
      <c r="D137" s="44">
        <v>23907753.620000001</v>
      </c>
      <c r="E137" s="44">
        <v>176645.48</v>
      </c>
      <c r="F137" s="49">
        <v>10097.07</v>
      </c>
      <c r="G137" s="49">
        <v>166548.41</v>
      </c>
      <c r="H137" s="65">
        <v>22861441.489999998</v>
      </c>
      <c r="I137" s="78">
        <f t="shared" ref="I137:I144" si="73">(H137/$H$145)</f>
        <v>7.4318081050854165E-4</v>
      </c>
      <c r="J137" s="123">
        <v>23312711.59</v>
      </c>
      <c r="K137" s="78">
        <f t="shared" ref="K137:K144" si="74">(J137/$J$145)</f>
        <v>6.0321818314858612E-4</v>
      </c>
      <c r="L137" s="78">
        <f t="shared" si="60"/>
        <v>1.973935458957805E-2</v>
      </c>
      <c r="M137" s="80">
        <f t="shared" si="56"/>
        <v>4.331143531296095E-4</v>
      </c>
      <c r="N137" s="92">
        <f t="shared" si="57"/>
        <v>7.1441028795398058E-3</v>
      </c>
      <c r="O137" s="82">
        <f t="shared" si="58"/>
        <v>1.4371974610055556</v>
      </c>
      <c r="P137" s="82">
        <f t="shared" si="59"/>
        <v>1.0267486519637088E-2</v>
      </c>
      <c r="Q137" s="65">
        <v>1.46</v>
      </c>
      <c r="R137" s="65">
        <v>1.46</v>
      </c>
      <c r="S137" s="65">
        <v>5</v>
      </c>
      <c r="T137" s="123">
        <v>16125952.390000001</v>
      </c>
      <c r="U137" s="123">
        <v>16220952.390000001</v>
      </c>
    </row>
    <row r="138" spans="1:21" ht="15.75">
      <c r="A138" s="36">
        <v>116</v>
      </c>
      <c r="B138" s="43" t="s">
        <v>170</v>
      </c>
      <c r="C138" s="43" t="s">
        <v>40</v>
      </c>
      <c r="D138" s="40">
        <v>198644255.97</v>
      </c>
      <c r="E138" s="40">
        <v>38013082.729999997</v>
      </c>
      <c r="F138" s="42">
        <v>332299.68</v>
      </c>
      <c r="G138" s="39">
        <v>37680783.079999998</v>
      </c>
      <c r="H138" s="65">
        <v>196015717.11000001</v>
      </c>
      <c r="I138" s="78">
        <f t="shared" si="73"/>
        <v>6.3720881108019246E-3</v>
      </c>
      <c r="J138" s="65">
        <v>199211117.53</v>
      </c>
      <c r="K138" s="78">
        <f t="shared" si="74"/>
        <v>5.1546027975137854E-3</v>
      </c>
      <c r="L138" s="78">
        <f t="shared" si="60"/>
        <v>1.6301756140334366E-2</v>
      </c>
      <c r="M138" s="80">
        <f t="shared" si="56"/>
        <v>1.6680779874143202E-3</v>
      </c>
      <c r="N138" s="92">
        <f t="shared" si="57"/>
        <v>0.18915000099994669</v>
      </c>
      <c r="O138" s="82">
        <f t="shared" si="58"/>
        <v>2.0014058260418937</v>
      </c>
      <c r="P138" s="82">
        <f t="shared" si="59"/>
        <v>0.37856591399712336</v>
      </c>
      <c r="Q138" s="65">
        <v>1.8</v>
      </c>
      <c r="R138" s="65">
        <v>1.86</v>
      </c>
      <c r="S138" s="65">
        <v>111</v>
      </c>
      <c r="T138" s="65">
        <v>99535593.900000006</v>
      </c>
      <c r="U138" s="65">
        <v>99535593.900000006</v>
      </c>
    </row>
    <row r="139" spans="1:21" ht="15.75">
      <c r="A139" s="36">
        <v>117</v>
      </c>
      <c r="B139" s="37" t="s">
        <v>171</v>
      </c>
      <c r="C139" s="37" t="s">
        <v>44</v>
      </c>
      <c r="D139" s="48">
        <v>1905331094.3</v>
      </c>
      <c r="E139" s="44">
        <v>28806373.48</v>
      </c>
      <c r="F139" s="44">
        <v>3618043.62</v>
      </c>
      <c r="G139" s="39">
        <v>77560441.140000001</v>
      </c>
      <c r="H139" s="137">
        <v>1962718539.1800001</v>
      </c>
      <c r="I139" s="78">
        <f t="shared" si="73"/>
        <v>6.3804146181507176E-2</v>
      </c>
      <c r="J139" s="65">
        <v>1953267684.6400001</v>
      </c>
      <c r="K139" s="78">
        <f t="shared" si="74"/>
        <v>5.0540949703885833E-2</v>
      </c>
      <c r="L139" s="78">
        <f t="shared" si="60"/>
        <v>-4.8151858513286443E-3</v>
      </c>
      <c r="M139" s="80">
        <f t="shared" si="56"/>
        <v>1.8523030143033513E-3</v>
      </c>
      <c r="N139" s="92">
        <f t="shared" si="57"/>
        <v>3.9708045010888968E-2</v>
      </c>
      <c r="O139" s="82">
        <f t="shared" si="58"/>
        <v>4546.8554763907969</v>
      </c>
      <c r="P139" s="82">
        <f t="shared" si="59"/>
        <v>180.54674191453276</v>
      </c>
      <c r="Q139" s="65">
        <v>4525.1499999999996</v>
      </c>
      <c r="R139" s="65">
        <v>4561.7299999999996</v>
      </c>
      <c r="S139" s="65">
        <v>1689</v>
      </c>
      <c r="T139" s="65">
        <v>446645.91</v>
      </c>
      <c r="U139" s="65">
        <v>429586.49</v>
      </c>
    </row>
    <row r="140" spans="1:21" ht="15.75">
      <c r="A140" s="36">
        <v>118</v>
      </c>
      <c r="B140" s="37" t="s">
        <v>172</v>
      </c>
      <c r="C140" s="37" t="s">
        <v>48</v>
      </c>
      <c r="D140" s="53">
        <v>1259038096</v>
      </c>
      <c r="E140" s="45">
        <v>38113240</v>
      </c>
      <c r="F140" s="45">
        <v>2781702</v>
      </c>
      <c r="G140" s="53">
        <v>61766531</v>
      </c>
      <c r="H140" s="65">
        <v>1341514767.02</v>
      </c>
      <c r="I140" s="78">
        <f t="shared" si="73"/>
        <v>4.3610024866507273E-2</v>
      </c>
      <c r="J140" s="123">
        <v>1455917962.3299999</v>
      </c>
      <c r="K140" s="78">
        <f t="shared" si="74"/>
        <v>3.7671987862056083E-2</v>
      </c>
      <c r="L140" s="78">
        <f t="shared" si="60"/>
        <v>8.5279117399603227E-2</v>
      </c>
      <c r="M140" s="80">
        <f t="shared" si="56"/>
        <v>1.9106172682616415E-3</v>
      </c>
      <c r="N140" s="92">
        <f t="shared" si="57"/>
        <v>4.2424458381673524E-2</v>
      </c>
      <c r="O140" s="82">
        <f t="shared" si="58"/>
        <v>1.6149720290938874</v>
      </c>
      <c r="P140" s="82">
        <f t="shared" si="59"/>
        <v>6.8514313635860469E-2</v>
      </c>
      <c r="Q140" s="65">
        <v>1.61</v>
      </c>
      <c r="R140" s="65">
        <v>1.64</v>
      </c>
      <c r="S140" s="65">
        <v>1392</v>
      </c>
      <c r="T140" s="123">
        <v>865843254</v>
      </c>
      <c r="U140" s="123">
        <v>901512804</v>
      </c>
    </row>
    <row r="141" spans="1:21" ht="15.75">
      <c r="A141" s="36">
        <v>119</v>
      </c>
      <c r="B141" s="56" t="s">
        <v>173</v>
      </c>
      <c r="C141" s="37" t="s">
        <v>87</v>
      </c>
      <c r="D141" s="49">
        <v>5968514459.21</v>
      </c>
      <c r="E141" s="44">
        <v>21271589.890000001</v>
      </c>
      <c r="F141" s="44">
        <v>8380656.6699999999</v>
      </c>
      <c r="G141" s="44">
        <v>464233286.26999998</v>
      </c>
      <c r="H141" s="63" t="s">
        <v>233</v>
      </c>
      <c r="I141" s="78">
        <f t="shared" si="73"/>
        <v>0.20139871075345353</v>
      </c>
      <c r="J141" s="123">
        <v>6659582758.3599997</v>
      </c>
      <c r="K141" s="78">
        <f t="shared" si="74"/>
        <v>0.17231720971269343</v>
      </c>
      <c r="L141" s="78">
        <f t="shared" si="60"/>
        <v>7.4932542282137068E-2</v>
      </c>
      <c r="M141" s="80">
        <f t="shared" si="56"/>
        <v>1.2584356969630684E-3</v>
      </c>
      <c r="N141" s="92">
        <f t="shared" si="57"/>
        <v>6.9709064834014151E-2</v>
      </c>
      <c r="O141" s="82">
        <f t="shared" si="58"/>
        <v>297.58352766472166</v>
      </c>
      <c r="P141" s="82">
        <f t="shared" si="59"/>
        <v>20.744269423514723</v>
      </c>
      <c r="Q141" s="65">
        <v>293.45</v>
      </c>
      <c r="R141" s="65">
        <v>300.24</v>
      </c>
      <c r="S141" s="65">
        <v>28</v>
      </c>
      <c r="T141" s="123">
        <v>22378868.920000002</v>
      </c>
      <c r="U141" s="123">
        <v>22378868.920000002</v>
      </c>
    </row>
    <row r="142" spans="1:21" ht="15.75">
      <c r="A142" s="36">
        <v>120</v>
      </c>
      <c r="B142" s="37" t="s">
        <v>174</v>
      </c>
      <c r="C142" s="37" t="s">
        <v>48</v>
      </c>
      <c r="D142" s="44">
        <v>520197820.08999997</v>
      </c>
      <c r="E142" s="44">
        <v>29912763.579999998</v>
      </c>
      <c r="F142" s="45">
        <v>1469811</v>
      </c>
      <c r="G142" s="53">
        <v>52207177</v>
      </c>
      <c r="H142" s="63">
        <v>761658441</v>
      </c>
      <c r="I142" s="78">
        <f t="shared" si="73"/>
        <v>2.4760028266837528E-2</v>
      </c>
      <c r="J142" s="125">
        <v>810470571</v>
      </c>
      <c r="K142" s="78">
        <f t="shared" si="74"/>
        <v>2.0970987585319206E-2</v>
      </c>
      <c r="L142" s="78">
        <f t="shared" si="60"/>
        <v>6.4086639591249536E-2</v>
      </c>
      <c r="M142" s="80">
        <f t="shared" si="56"/>
        <v>1.813527909084314E-3</v>
      </c>
      <c r="N142" s="92">
        <f t="shared" si="57"/>
        <v>6.4415882412095629E-2</v>
      </c>
      <c r="O142" s="82">
        <f t="shared" si="58"/>
        <v>1.3353838043533197</v>
      </c>
      <c r="P142" s="82">
        <f t="shared" si="59"/>
        <v>8.6019926116240361E-2</v>
      </c>
      <c r="Q142" s="65">
        <v>1.34</v>
      </c>
      <c r="R142" s="65">
        <v>1.35</v>
      </c>
      <c r="S142" s="65">
        <v>121</v>
      </c>
      <c r="T142" s="123">
        <v>603823707</v>
      </c>
      <c r="U142" s="123">
        <v>606919575</v>
      </c>
    </row>
    <row r="143" spans="1:21" ht="15.75">
      <c r="A143" s="36">
        <v>121</v>
      </c>
      <c r="B143" s="37" t="s">
        <v>175</v>
      </c>
      <c r="C143" s="37" t="s">
        <v>42</v>
      </c>
      <c r="D143" s="40">
        <v>249068851.83000001</v>
      </c>
      <c r="E143" s="40">
        <v>1296075.01</v>
      </c>
      <c r="F143" s="42">
        <v>475192.06</v>
      </c>
      <c r="G143" s="39">
        <v>820882.95</v>
      </c>
      <c r="H143" s="65">
        <v>239757115.62</v>
      </c>
      <c r="I143" s="78">
        <f t="shared" si="73"/>
        <v>7.7940355418796362E-3</v>
      </c>
      <c r="J143" s="65">
        <v>248088844.72</v>
      </c>
      <c r="K143" s="78">
        <f t="shared" si="74"/>
        <v>6.4193177011473545E-3</v>
      </c>
      <c r="L143" s="78">
        <f t="shared" si="60"/>
        <v>3.4750706265607827E-2</v>
      </c>
      <c r="M143" s="80">
        <f t="shared" si="56"/>
        <v>1.9154108300851456E-3</v>
      </c>
      <c r="N143" s="92">
        <f t="shared" si="57"/>
        <v>3.3088265251364742E-3</v>
      </c>
      <c r="O143" s="82">
        <f t="shared" si="58"/>
        <v>191.89535912576557</v>
      </c>
      <c r="P143" s="82">
        <f t="shared" si="59"/>
        <v>0.63494845432592273</v>
      </c>
      <c r="Q143" s="65">
        <v>189.73</v>
      </c>
      <c r="R143" s="65">
        <v>192.93</v>
      </c>
      <c r="S143" s="65">
        <v>732</v>
      </c>
      <c r="T143" s="65">
        <v>1293807</v>
      </c>
      <c r="U143" s="65">
        <v>1292834</v>
      </c>
    </row>
    <row r="144" spans="1:21" ht="15.75">
      <c r="A144" s="36">
        <v>122</v>
      </c>
      <c r="B144" s="37" t="s">
        <v>176</v>
      </c>
      <c r="C144" s="37" t="s">
        <v>91</v>
      </c>
      <c r="D144" s="44">
        <v>3009262374.4000001</v>
      </c>
      <c r="E144" s="44">
        <v>14160543.310000001</v>
      </c>
      <c r="F144" s="44">
        <v>24713684.210000001</v>
      </c>
      <c r="G144" s="44">
        <v>87987813.849999994</v>
      </c>
      <c r="H144" s="137">
        <v>2892124803.3800001</v>
      </c>
      <c r="I144" s="78">
        <f t="shared" si="73"/>
        <v>9.4017328540196315E-2</v>
      </c>
      <c r="J144" s="123">
        <v>3057408091.98</v>
      </c>
      <c r="K144" s="78">
        <f t="shared" si="74"/>
        <v>7.9110666610702957E-2</v>
      </c>
      <c r="L144" s="78">
        <f t="shared" si="60"/>
        <v>5.7149431589824481E-2</v>
      </c>
      <c r="M144" s="80">
        <f t="shared" si="56"/>
        <v>8.0832141037460378E-3</v>
      </c>
      <c r="N144" s="92">
        <f t="shared" si="57"/>
        <v>2.8778563804028674E-2</v>
      </c>
      <c r="O144" s="82">
        <f t="shared" si="58"/>
        <v>17.11261568565644</v>
      </c>
      <c r="P144" s="82">
        <f t="shared" si="59"/>
        <v>0.49247650236348567</v>
      </c>
      <c r="Q144" s="65">
        <v>17.11</v>
      </c>
      <c r="R144" s="65">
        <v>17.14</v>
      </c>
      <c r="S144" s="65">
        <v>6290</v>
      </c>
      <c r="T144" s="123">
        <v>178860628.12</v>
      </c>
      <c r="U144" s="123">
        <v>178663983.81999999</v>
      </c>
    </row>
    <row r="145" spans="1:21">
      <c r="A145" s="149" t="s">
        <v>229</v>
      </c>
      <c r="B145" s="150"/>
      <c r="C145" s="150"/>
      <c r="D145" s="150"/>
      <c r="E145" s="150"/>
      <c r="F145" s="150"/>
      <c r="G145" s="151"/>
      <c r="H145" s="126">
        <f>SUM(H121:H144)</f>
        <v>30761614356.480003</v>
      </c>
      <c r="I145" s="101">
        <f>(H145/$H$167)</f>
        <v>1.6830591327107569E-2</v>
      </c>
      <c r="J145" s="126">
        <f>SUM(J121:J144)</f>
        <v>38647229545.230003</v>
      </c>
      <c r="K145" s="101">
        <f>(J145/$J$167)</f>
        <v>2.019103172332027E-2</v>
      </c>
      <c r="L145" s="79">
        <f t="shared" si="60"/>
        <v>0.25634594782210696</v>
      </c>
      <c r="M145" s="80"/>
      <c r="N145" s="93"/>
      <c r="O145" s="83"/>
      <c r="P145" s="83"/>
      <c r="Q145" s="126"/>
      <c r="R145" s="126"/>
      <c r="S145" s="126">
        <f>SUM(S121:S144)</f>
        <v>48366</v>
      </c>
      <c r="T145" s="126"/>
      <c r="U145" s="129"/>
    </row>
    <row r="146" spans="1:21" ht="6" customHeight="1">
      <c r="A146" s="155"/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7"/>
    </row>
    <row r="147" spans="1:21">
      <c r="A147" s="161" t="s">
        <v>4</v>
      </c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</row>
    <row r="148" spans="1:21" ht="15.75">
      <c r="A148" s="36">
        <v>123</v>
      </c>
      <c r="B148" s="96" t="s">
        <v>177</v>
      </c>
      <c r="C148" s="96" t="s">
        <v>26</v>
      </c>
      <c r="D148" s="94">
        <v>557066946.75999999</v>
      </c>
      <c r="E148" s="94">
        <v>3212830.01</v>
      </c>
      <c r="F148" s="94">
        <v>2453389.21</v>
      </c>
      <c r="G148" s="94">
        <v>6714580.3899999997</v>
      </c>
      <c r="H148" s="65">
        <v>564012366</v>
      </c>
      <c r="I148" s="88">
        <f>(H148/$H$151)</f>
        <v>0.20146289590112249</v>
      </c>
      <c r="J148" s="138">
        <v>648052008</v>
      </c>
      <c r="K148" s="88">
        <f>(J148/$J$151)</f>
        <v>0.17288305427523373</v>
      </c>
      <c r="L148" s="88">
        <f>((J148-H148)/H148)</f>
        <v>0.14900319047260038</v>
      </c>
      <c r="M148" s="80">
        <f>(F148/J148)</f>
        <v>3.7857906151260623E-3</v>
      </c>
      <c r="N148" s="81">
        <f>G148/J148</f>
        <v>1.0361175194445196E-2</v>
      </c>
      <c r="O148" s="89">
        <f>J148/U148</f>
        <v>49.128129676937213</v>
      </c>
      <c r="P148" s="89">
        <f>G148/U148</f>
        <v>0.50902515855816866</v>
      </c>
      <c r="Q148" s="130">
        <v>48.88</v>
      </c>
      <c r="R148" s="130">
        <v>50.35</v>
      </c>
      <c r="S148" s="130">
        <v>250</v>
      </c>
      <c r="T148" s="130">
        <v>11669549</v>
      </c>
      <c r="U148" s="130">
        <v>13191058</v>
      </c>
    </row>
    <row r="149" spans="1:21" ht="15.75">
      <c r="A149" s="36">
        <v>124</v>
      </c>
      <c r="B149" s="96" t="s">
        <v>178</v>
      </c>
      <c r="C149" s="97" t="s">
        <v>44</v>
      </c>
      <c r="D149" s="94">
        <v>2367153171.5900002</v>
      </c>
      <c r="E149" s="95">
        <v>84046035.969999999</v>
      </c>
      <c r="F149" s="94">
        <v>8156837.6399999997</v>
      </c>
      <c r="G149" s="94">
        <v>117779803.89</v>
      </c>
      <c r="H149" s="137">
        <v>2235571961.8099999</v>
      </c>
      <c r="I149" s="88">
        <f t="shared" ref="I149:I150" si="75">(H149/$H$151)</f>
        <v>0.79853710409887746</v>
      </c>
      <c r="J149" s="138">
        <v>2367028738.29</v>
      </c>
      <c r="K149" s="88">
        <f t="shared" ref="K149:K150" si="76">(J149/$J$151)</f>
        <v>0.63146036549712858</v>
      </c>
      <c r="L149" s="88">
        <f>((J149-H149)/H149)</f>
        <v>5.8802301480632209E-2</v>
      </c>
      <c r="M149" s="80">
        <f>(F149/J149)</f>
        <v>3.4460239151522516E-3</v>
      </c>
      <c r="N149" s="81">
        <f>G149/J149</f>
        <v>4.9758501865544327E-2</v>
      </c>
      <c r="O149" s="89">
        <f>J149/U149</f>
        <v>1.907861821368021</v>
      </c>
      <c r="P149" s="89">
        <f>G149/U149</f>
        <v>9.4932345997741474E-2</v>
      </c>
      <c r="Q149" s="130">
        <v>1.89</v>
      </c>
      <c r="R149" s="130">
        <v>1.92</v>
      </c>
      <c r="S149" s="130">
        <v>9795</v>
      </c>
      <c r="T149" s="131">
        <v>1234469792.6500001</v>
      </c>
      <c r="U149" s="132">
        <v>1240670949.95</v>
      </c>
    </row>
    <row r="150" spans="1:21" ht="15.75">
      <c r="A150" s="36">
        <v>125</v>
      </c>
      <c r="B150" s="96" t="s">
        <v>179</v>
      </c>
      <c r="C150" s="97" t="s">
        <v>91</v>
      </c>
      <c r="D150" s="94">
        <v>709939618.85000002</v>
      </c>
      <c r="E150" s="94">
        <v>3964034.48</v>
      </c>
      <c r="F150" s="94">
        <v>6232091.0800000001</v>
      </c>
      <c r="G150" s="94">
        <v>26255035.75</v>
      </c>
      <c r="H150" s="63" t="s">
        <v>234</v>
      </c>
      <c r="I150" s="88">
        <f t="shared" si="75"/>
        <v>0.24233265798809087</v>
      </c>
      <c r="J150" s="138">
        <v>733418554.10000002</v>
      </c>
      <c r="K150" s="88">
        <f t="shared" si="76"/>
        <v>0.19565658022763777</v>
      </c>
      <c r="L150" s="88">
        <f>((J150-H150)/H150)</f>
        <v>8.1051523397145317E-2</v>
      </c>
      <c r="M150" s="80">
        <f>(F150/J150)</f>
        <v>8.4973185436351371E-3</v>
      </c>
      <c r="N150" s="81">
        <f>G150/J150</f>
        <v>3.5798161368058579E-2</v>
      </c>
      <c r="O150" s="89">
        <f>J150/U150</f>
        <v>20.130450906586699</v>
      </c>
      <c r="P150" s="89">
        <f>G150/U150</f>
        <v>0.72063312996577167</v>
      </c>
      <c r="Q150" s="130">
        <v>20.13</v>
      </c>
      <c r="R150" s="130">
        <v>20.16</v>
      </c>
      <c r="S150" s="130">
        <v>1509</v>
      </c>
      <c r="T150" s="130">
        <v>36494245.43</v>
      </c>
      <c r="U150" s="130">
        <v>36433289.920000002</v>
      </c>
    </row>
    <row r="151" spans="1:21">
      <c r="A151" s="149" t="s">
        <v>229</v>
      </c>
      <c r="B151" s="150"/>
      <c r="C151" s="150"/>
      <c r="D151" s="150"/>
      <c r="E151" s="150"/>
      <c r="F151" s="150"/>
      <c r="G151" s="151"/>
      <c r="H151" s="133">
        <f>SUM(H148:H150)</f>
        <v>2799584327.8099999</v>
      </c>
      <c r="I151" s="101">
        <f>(H151/$H$167)</f>
        <v>1.5317355962243123E-3</v>
      </c>
      <c r="J151" s="133">
        <f>SUM(J148:J150)</f>
        <v>3748499300.3899999</v>
      </c>
      <c r="K151" s="101">
        <f>(J151/$J$167)</f>
        <v>1.9583827658445907E-3</v>
      </c>
      <c r="L151" s="91">
        <f>((J151-H151)/H151)</f>
        <v>0.33894852287671479</v>
      </c>
      <c r="M151" s="80"/>
      <c r="N151" s="80"/>
      <c r="O151" s="90"/>
      <c r="P151" s="90"/>
      <c r="Q151" s="133"/>
      <c r="R151" s="133"/>
      <c r="S151" s="133">
        <f>SUM(S148:S150)</f>
        <v>11554</v>
      </c>
      <c r="T151" s="133"/>
      <c r="U151" s="134"/>
    </row>
    <row r="152" spans="1:21" ht="6.75" customHeight="1">
      <c r="A152" s="163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5"/>
    </row>
    <row r="153" spans="1:21">
      <c r="A153" s="161" t="s">
        <v>180</v>
      </c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</row>
    <row r="154" spans="1:21" ht="15.75" customHeight="1">
      <c r="A154" s="162" t="s">
        <v>181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</row>
    <row r="155" spans="1:21" ht="13.5" customHeight="1">
      <c r="A155" s="36">
        <v>126</v>
      </c>
      <c r="B155" s="43" t="s">
        <v>182</v>
      </c>
      <c r="C155" s="37" t="s">
        <v>114</v>
      </c>
      <c r="D155" s="49">
        <v>3381883942.48</v>
      </c>
      <c r="E155" s="44">
        <v>60601600.469999999</v>
      </c>
      <c r="F155" s="44">
        <v>42117326.579999998</v>
      </c>
      <c r="G155" s="39">
        <v>79243309.969999999</v>
      </c>
      <c r="H155" s="61">
        <v>3622648512.77</v>
      </c>
      <c r="I155" s="78">
        <f>(H155/$H$166)</f>
        <v>0.13939828628477385</v>
      </c>
      <c r="J155" s="123">
        <v>3695456254.4400001</v>
      </c>
      <c r="K155" s="78">
        <f>(J155/$J$166)</f>
        <v>0.13457848666237274</v>
      </c>
      <c r="L155" s="78">
        <f>((J155-H155)/H155)</f>
        <v>2.0097931503249483E-2</v>
      </c>
      <c r="M155" s="80">
        <f>(F155/J155)</f>
        <v>1.1397057272534903E-2</v>
      </c>
      <c r="N155" s="81">
        <f>G155/J155</f>
        <v>2.1443444195771797E-2</v>
      </c>
      <c r="O155" s="82">
        <f>J155/U155</f>
        <v>1.8254045667057579</v>
      </c>
      <c r="P155" s="82">
        <f>G155/U155</f>
        <v>3.9142960960861915E-2</v>
      </c>
      <c r="Q155" s="61">
        <v>1.77</v>
      </c>
      <c r="R155" s="61">
        <v>1.8</v>
      </c>
      <c r="S155" s="61">
        <v>15345</v>
      </c>
      <c r="T155" s="123">
        <v>2021667122.3699999</v>
      </c>
      <c r="U155" s="65">
        <v>2024458753.8800001</v>
      </c>
    </row>
    <row r="156" spans="1:21" ht="15" customHeight="1">
      <c r="A156" s="36">
        <v>127</v>
      </c>
      <c r="B156" s="37" t="s">
        <v>183</v>
      </c>
      <c r="C156" s="37" t="s">
        <v>44</v>
      </c>
      <c r="D156" s="48">
        <v>373085847.83999997</v>
      </c>
      <c r="E156" s="44">
        <v>6473390.9199999999</v>
      </c>
      <c r="F156" s="44">
        <v>1070716.51</v>
      </c>
      <c r="G156" s="44">
        <v>13770013.140000001</v>
      </c>
      <c r="H156" s="137">
        <v>381416849.20999998</v>
      </c>
      <c r="I156" s="78">
        <f>(H156/$H$166)</f>
        <v>1.4676791014250864E-2</v>
      </c>
      <c r="J156" s="123">
        <v>413293650.38</v>
      </c>
      <c r="K156" s="78">
        <f>(J156/$J$166)</f>
        <v>1.5051032994500094E-2</v>
      </c>
      <c r="L156" s="78">
        <f>((J156-H156)/H156)</f>
        <v>8.357470635087054E-2</v>
      </c>
      <c r="M156" s="80">
        <f>(F156/J156)</f>
        <v>2.5906918942876019E-3</v>
      </c>
      <c r="N156" s="81">
        <f>G156/J156</f>
        <v>3.331774666109498E-2</v>
      </c>
      <c r="O156" s="82">
        <f>J156/U156</f>
        <v>332.47946316894723</v>
      </c>
      <c r="P156" s="82">
        <f>G156/U156</f>
        <v>11.077466523879842</v>
      </c>
      <c r="Q156" s="65">
        <v>330.3</v>
      </c>
      <c r="R156" s="65">
        <v>333.97</v>
      </c>
      <c r="S156" s="65">
        <v>596</v>
      </c>
      <c r="T156" s="123">
        <v>1191771.77</v>
      </c>
      <c r="U156" s="123">
        <v>1243065.2</v>
      </c>
    </row>
    <row r="157" spans="1:21" ht="6.75" customHeight="1">
      <c r="A157" s="152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4"/>
    </row>
    <row r="158" spans="1:21">
      <c r="A158" s="162" t="s">
        <v>141</v>
      </c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</row>
    <row r="159" spans="1:21" ht="15.75">
      <c r="A159" s="36">
        <v>128</v>
      </c>
      <c r="B159" s="43" t="s">
        <v>184</v>
      </c>
      <c r="C159" s="37" t="s">
        <v>185</v>
      </c>
      <c r="D159" s="67">
        <v>405340578.81436199</v>
      </c>
      <c r="E159" s="42">
        <v>62465701</v>
      </c>
      <c r="F159" s="42">
        <v>843357</v>
      </c>
      <c r="G159" s="67">
        <v>7435377.4722081898</v>
      </c>
      <c r="H159" s="65">
        <v>469678998</v>
      </c>
      <c r="I159" s="78">
        <f>(H159/$H$166)</f>
        <v>1.8073088568862361E-2</v>
      </c>
      <c r="J159" s="65">
        <v>488003214</v>
      </c>
      <c r="K159" s="78">
        <f>(J159/$J$166)</f>
        <v>1.7771752526521578E-2</v>
      </c>
      <c r="L159" s="78">
        <f>((J159-H159)/H159)</f>
        <v>3.9014339746994607E-2</v>
      </c>
      <c r="M159" s="80">
        <f t="shared" ref="M159:M166" si="77">(F159/J159)</f>
        <v>1.728179191869011E-3</v>
      </c>
      <c r="N159" s="81">
        <f t="shared" ref="N159:N165" si="78">G159/J159</f>
        <v>1.5236328898867026E-2</v>
      </c>
      <c r="O159" s="84">
        <f t="shared" ref="O159:O165" si="79">J159/U159</f>
        <v>1062.6553448163229</v>
      </c>
      <c r="P159" s="84">
        <f t="shared" ref="P159:P165" si="80">G159/U159</f>
        <v>16.190966339760447</v>
      </c>
      <c r="Q159" s="65">
        <v>1025.98</v>
      </c>
      <c r="R159" s="65">
        <v>1025.98</v>
      </c>
      <c r="S159" s="65">
        <v>22</v>
      </c>
      <c r="T159" s="65">
        <v>454713</v>
      </c>
      <c r="U159" s="65">
        <v>459230</v>
      </c>
    </row>
    <row r="160" spans="1:21" ht="15.75" customHeight="1">
      <c r="A160" s="36">
        <v>129</v>
      </c>
      <c r="B160" s="43" t="s">
        <v>186</v>
      </c>
      <c r="C160" s="52" t="s">
        <v>60</v>
      </c>
      <c r="D160" s="42">
        <v>19580590.510000002</v>
      </c>
      <c r="E160" s="42">
        <v>500438.16</v>
      </c>
      <c r="F160" s="42">
        <v>245653.54</v>
      </c>
      <c r="G160" s="39">
        <v>254784.62</v>
      </c>
      <c r="H160" s="136">
        <v>59227588.950000003</v>
      </c>
      <c r="I160" s="78">
        <f t="shared" ref="I160:I165" si="81">(H160/$H$166)</f>
        <v>2.2790575379602641E-3</v>
      </c>
      <c r="J160" s="65">
        <v>45677618.189999998</v>
      </c>
      <c r="K160" s="78">
        <f t="shared" ref="K160:K165" si="82">(J160/$J$166)</f>
        <v>1.6634548773148457E-3</v>
      </c>
      <c r="L160" s="78">
        <f t="shared" ref="L160:L166" si="83">((J160-H160)/H160)</f>
        <v>-0.2287780238942177</v>
      </c>
      <c r="M160" s="80">
        <f t="shared" si="77"/>
        <v>5.3779848804327516E-3</v>
      </c>
      <c r="N160" s="81">
        <f t="shared" si="78"/>
        <v>5.5778875978209144E-3</v>
      </c>
      <c r="O160" s="84">
        <f t="shared" si="79"/>
        <v>104.07010560203412</v>
      </c>
      <c r="P160" s="84">
        <f t="shared" si="80"/>
        <v>0.58049135134149898</v>
      </c>
      <c r="Q160" s="65">
        <v>104.39</v>
      </c>
      <c r="R160" s="65">
        <v>104.39</v>
      </c>
      <c r="S160" s="65">
        <v>53</v>
      </c>
      <c r="T160" s="65">
        <v>570612</v>
      </c>
      <c r="U160" s="65">
        <v>438912</v>
      </c>
    </row>
    <row r="161" spans="1:21" ht="14.25" customHeight="1">
      <c r="A161" s="36">
        <v>130</v>
      </c>
      <c r="B161" s="43" t="s">
        <v>187</v>
      </c>
      <c r="C161" s="52" t="s">
        <v>164</v>
      </c>
      <c r="D161" s="42">
        <v>34623256.369999997</v>
      </c>
      <c r="E161" s="42">
        <v>563429.18000000005</v>
      </c>
      <c r="F161" s="42">
        <v>141253.42000000001</v>
      </c>
      <c r="G161" s="39">
        <v>422175.76</v>
      </c>
      <c r="H161" s="65">
        <v>52573938.920000002</v>
      </c>
      <c r="I161" s="78">
        <f t="shared" si="81"/>
        <v>2.0230273411440043E-3</v>
      </c>
      <c r="J161" s="65">
        <v>52573938.920000002</v>
      </c>
      <c r="K161" s="78">
        <f t="shared" si="82"/>
        <v>1.9146001604626749E-3</v>
      </c>
      <c r="L161" s="78">
        <f t="shared" si="83"/>
        <v>0</v>
      </c>
      <c r="M161" s="80">
        <f t="shared" si="77"/>
        <v>2.6867574106429538E-3</v>
      </c>
      <c r="N161" s="81">
        <f t="shared" si="78"/>
        <v>8.0301337254264082E-3</v>
      </c>
      <c r="O161" s="84">
        <f t="shared" si="79"/>
        <v>105.79811304276082</v>
      </c>
      <c r="P161" s="84">
        <f t="shared" si="80"/>
        <v>0.84957299563114907</v>
      </c>
      <c r="Q161" s="65">
        <v>101.06</v>
      </c>
      <c r="R161" s="65">
        <v>105.8</v>
      </c>
      <c r="S161" s="65">
        <v>6</v>
      </c>
      <c r="T161" s="65">
        <v>496927</v>
      </c>
      <c r="U161" s="65">
        <v>496927</v>
      </c>
    </row>
    <row r="162" spans="1:21" ht="15" customHeight="1">
      <c r="A162" s="36">
        <v>131</v>
      </c>
      <c r="B162" s="37" t="s">
        <v>188</v>
      </c>
      <c r="C162" s="37" t="s">
        <v>73</v>
      </c>
      <c r="D162" s="44">
        <v>10021917927.59</v>
      </c>
      <c r="E162" s="44">
        <v>116246833.14</v>
      </c>
      <c r="F162" s="47">
        <v>16034888.74</v>
      </c>
      <c r="G162" s="44">
        <v>100211944.40000001</v>
      </c>
      <c r="H162" s="63">
        <v>9208704373.3500004</v>
      </c>
      <c r="I162" s="78">
        <f t="shared" si="81"/>
        <v>0.35434782149664001</v>
      </c>
      <c r="J162" s="123">
        <v>10021917927.59</v>
      </c>
      <c r="K162" s="78">
        <f t="shared" si="82"/>
        <v>0.36497104965837268</v>
      </c>
      <c r="L162" s="78">
        <f t="shared" si="83"/>
        <v>8.8309225844347944E-2</v>
      </c>
      <c r="M162" s="80">
        <f t="shared" si="77"/>
        <v>1.5999820449393719E-3</v>
      </c>
      <c r="N162" s="81">
        <f t="shared" si="78"/>
        <v>9.9992780946768604E-3</v>
      </c>
      <c r="O162" s="84">
        <f t="shared" si="79"/>
        <v>131.67906251319914</v>
      </c>
      <c r="P162" s="84">
        <f t="shared" si="80"/>
        <v>1.316695565315817</v>
      </c>
      <c r="Q162" s="65">
        <v>131</v>
      </c>
      <c r="R162" s="65">
        <v>131</v>
      </c>
      <c r="S162" s="65">
        <v>520</v>
      </c>
      <c r="T162" s="125">
        <v>70675985.549999997</v>
      </c>
      <c r="U162" s="125">
        <v>76108667.060000002</v>
      </c>
    </row>
    <row r="163" spans="1:21" ht="13.5" customHeight="1">
      <c r="A163" s="36">
        <v>132</v>
      </c>
      <c r="B163" s="37" t="s">
        <v>189</v>
      </c>
      <c r="C163" s="37" t="s">
        <v>190</v>
      </c>
      <c r="D163" s="48">
        <v>368679259.75</v>
      </c>
      <c r="E163" s="44">
        <v>6379737.5199999996</v>
      </c>
      <c r="F163" s="44">
        <v>1216804.49</v>
      </c>
      <c r="G163" s="44">
        <v>5162933.03</v>
      </c>
      <c r="H163" s="65">
        <v>508961373.81</v>
      </c>
      <c r="I163" s="78">
        <f t="shared" si="81"/>
        <v>1.9584661068873244E-2</v>
      </c>
      <c r="J163" s="123">
        <v>659058419.82000005</v>
      </c>
      <c r="K163" s="78">
        <f t="shared" si="82"/>
        <v>2.4001118848289805E-2</v>
      </c>
      <c r="L163" s="78">
        <f t="shared" si="83"/>
        <v>0.29490852102665194</v>
      </c>
      <c r="M163" s="80">
        <f t="shared" si="77"/>
        <v>1.846277133265864E-3</v>
      </c>
      <c r="N163" s="81">
        <f t="shared" si="78"/>
        <v>7.8338017916683086E-3</v>
      </c>
      <c r="O163" s="84">
        <f t="shared" si="79"/>
        <v>102.43955821843713</v>
      </c>
      <c r="P163" s="84">
        <f t="shared" si="80"/>
        <v>0.80249119470930264</v>
      </c>
      <c r="Q163" s="65">
        <v>102.44</v>
      </c>
      <c r="R163" s="65">
        <v>102.44</v>
      </c>
      <c r="S163" s="65">
        <v>471</v>
      </c>
      <c r="T163" s="123">
        <v>4918925</v>
      </c>
      <c r="U163" s="123">
        <v>6433632</v>
      </c>
    </row>
    <row r="164" spans="1:21" ht="15" customHeight="1">
      <c r="A164" s="36">
        <v>133</v>
      </c>
      <c r="B164" s="43" t="s">
        <v>191</v>
      </c>
      <c r="C164" s="43" t="s">
        <v>44</v>
      </c>
      <c r="D164" s="42">
        <v>8351682410.8199997</v>
      </c>
      <c r="E164" s="42">
        <v>61287425.240000002</v>
      </c>
      <c r="F164" s="42">
        <v>-13441557.74</v>
      </c>
      <c r="G164" s="39">
        <v>47845867.5</v>
      </c>
      <c r="H164" s="137">
        <v>8375626518.8999996</v>
      </c>
      <c r="I164" s="78">
        <f t="shared" si="81"/>
        <v>0.32229126816479892</v>
      </c>
      <c r="J164" s="65">
        <v>8349644078.1400003</v>
      </c>
      <c r="K164" s="78">
        <f t="shared" si="82"/>
        <v>0.3040713749095113</v>
      </c>
      <c r="L164" s="78">
        <f t="shared" si="83"/>
        <v>-3.1021489200083914E-3</v>
      </c>
      <c r="M164" s="80">
        <f t="shared" si="77"/>
        <v>-1.6098360138716589E-3</v>
      </c>
      <c r="N164" s="81">
        <f t="shared" si="78"/>
        <v>5.7302882676477313E-3</v>
      </c>
      <c r="O164" s="84">
        <f t="shared" si="79"/>
        <v>125.1192945229877</v>
      </c>
      <c r="P164" s="84">
        <f t="shared" si="80"/>
        <v>0.7169696254614375</v>
      </c>
      <c r="Q164" s="65">
        <v>125.12</v>
      </c>
      <c r="R164" s="65">
        <v>125.12</v>
      </c>
      <c r="S164" s="65">
        <v>1074</v>
      </c>
      <c r="T164" s="123">
        <v>67232922.040000007</v>
      </c>
      <c r="U164" s="123">
        <v>66733465.130000003</v>
      </c>
    </row>
    <row r="165" spans="1:21" ht="15.75">
      <c r="A165" s="36">
        <v>134</v>
      </c>
      <c r="B165" s="37" t="s">
        <v>192</v>
      </c>
      <c r="C165" s="37" t="s">
        <v>48</v>
      </c>
      <c r="D165" s="53">
        <v>2224873067</v>
      </c>
      <c r="E165" s="68" t="s">
        <v>207</v>
      </c>
      <c r="F165" s="45">
        <v>6176197</v>
      </c>
      <c r="G165" s="53">
        <v>28911905</v>
      </c>
      <c r="H165" s="137">
        <v>3308916856</v>
      </c>
      <c r="I165" s="78">
        <f t="shared" si="81"/>
        <v>0.12732599852269652</v>
      </c>
      <c r="J165" s="123">
        <v>3733862266</v>
      </c>
      <c r="K165" s="78">
        <f t="shared" si="82"/>
        <v>0.13597712936265433</v>
      </c>
      <c r="L165" s="78">
        <f t="shared" si="83"/>
        <v>0.12842432387790406</v>
      </c>
      <c r="M165" s="80">
        <f t="shared" si="77"/>
        <v>1.6541041313279123E-3</v>
      </c>
      <c r="N165" s="81">
        <f t="shared" si="78"/>
        <v>7.743163228935237E-3</v>
      </c>
      <c r="O165" s="84">
        <f t="shared" si="79"/>
        <v>1.1253643876836725</v>
      </c>
      <c r="P165" s="84">
        <f t="shared" si="80"/>
        <v>8.7138801458654328E-3</v>
      </c>
      <c r="Q165" s="39">
        <v>1.1299999999999999</v>
      </c>
      <c r="R165" s="39">
        <v>1.1299999999999999</v>
      </c>
      <c r="S165" s="65">
        <v>221</v>
      </c>
      <c r="T165" s="123">
        <v>2975673435</v>
      </c>
      <c r="U165" s="125">
        <v>3317914008</v>
      </c>
    </row>
    <row r="166" spans="1:21" ht="14.25" customHeight="1">
      <c r="A166" s="149" t="s">
        <v>229</v>
      </c>
      <c r="B166" s="150"/>
      <c r="C166" s="150"/>
      <c r="D166" s="150"/>
      <c r="E166" s="150"/>
      <c r="F166" s="150"/>
      <c r="G166" s="151"/>
      <c r="H166" s="126">
        <f>SUM(H155:H165)</f>
        <v>25987755009.91</v>
      </c>
      <c r="I166" s="101">
        <f>(H166/$H$167)</f>
        <v>1.4218671328887865E-2</v>
      </c>
      <c r="J166" s="126">
        <f>SUM(J155:J165)</f>
        <v>27459487367.48</v>
      </c>
      <c r="K166" s="101">
        <f>(J166/$J$167)</f>
        <v>1.4346057584645975E-2</v>
      </c>
      <c r="L166" s="79">
        <f t="shared" si="83"/>
        <v>5.6631762035958051E-2</v>
      </c>
      <c r="M166" s="80">
        <f t="shared" si="77"/>
        <v>0</v>
      </c>
      <c r="N166" s="80"/>
      <c r="O166" s="87"/>
      <c r="P166" s="87"/>
      <c r="Q166" s="126"/>
      <c r="R166" s="126"/>
      <c r="S166" s="126">
        <f>SUM(S155:S165)</f>
        <v>18308</v>
      </c>
      <c r="T166" s="126"/>
      <c r="U166" s="126"/>
    </row>
    <row r="167" spans="1:21" ht="15" customHeight="1">
      <c r="A167" s="158" t="s">
        <v>193</v>
      </c>
      <c r="B167" s="159"/>
      <c r="C167" s="159"/>
      <c r="D167" s="159"/>
      <c r="E167" s="159"/>
      <c r="F167" s="159"/>
      <c r="G167" s="160"/>
      <c r="H167" s="135">
        <f>SUM(H21,H53,H86,H111,H118,H145,H151,H166)</f>
        <v>1827720355073.6179</v>
      </c>
      <c r="I167" s="119"/>
      <c r="J167" s="135">
        <f>SUM(J21,J53,J86,J111,J118,J145,J151,J166)</f>
        <v>1914078986889.6677</v>
      </c>
      <c r="K167" s="119"/>
      <c r="L167" s="119"/>
      <c r="M167" s="120"/>
      <c r="N167" s="121"/>
      <c r="O167" s="122"/>
      <c r="P167" s="122"/>
      <c r="Q167" s="135"/>
      <c r="R167" s="135"/>
      <c r="S167" s="135">
        <f>SUM(S21,S53,S86,S111,S118,S145,S151,S166)</f>
        <v>523169</v>
      </c>
      <c r="T167" s="135"/>
      <c r="U167" s="135"/>
    </row>
    <row r="168" spans="1:21" ht="5.25" customHeight="1">
      <c r="A168" s="4"/>
      <c r="B168" s="4"/>
      <c r="C168" s="4"/>
      <c r="D168" s="5"/>
      <c r="E168" s="5"/>
      <c r="F168" s="5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>
      <c r="A169" s="99" t="s">
        <v>195</v>
      </c>
      <c r="B169" s="100" t="s">
        <v>225</v>
      </c>
      <c r="C169" s="7"/>
      <c r="D169" s="5"/>
      <c r="E169" s="5"/>
      <c r="F169" s="5"/>
      <c r="G169" s="6"/>
      <c r="H169" s="8"/>
      <c r="I169" s="5"/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9"/>
    </row>
    <row r="171" spans="1:21">
      <c r="B171" s="32"/>
    </row>
  </sheetData>
  <sheetProtection algorithmName="SHA-512" hashValue="3QwgQMNR3hI/AXW8nMZ4NDCZeEX5ksyEsxtOson0u9nQVRHu3QHINZWEjzteNJEHd64zPyQZgwiLzbZJ08PBNg==" saltValue="yWQhoN5gV8u2LrOyiygYkg==" spinCount="100000" sheet="1" objects="1" scenarios="1"/>
  <mergeCells count="32">
    <mergeCell ref="A1:U1"/>
    <mergeCell ref="A3:U3"/>
    <mergeCell ref="A4:U4"/>
    <mergeCell ref="A23:U23"/>
    <mergeCell ref="A147:U147"/>
    <mergeCell ref="A21:G21"/>
    <mergeCell ref="A53:G53"/>
    <mergeCell ref="A54:U54"/>
    <mergeCell ref="A22:U22"/>
    <mergeCell ref="A55:U55"/>
    <mergeCell ref="A88:U88"/>
    <mergeCell ref="A89:U89"/>
    <mergeCell ref="A101:U101"/>
    <mergeCell ref="A120:U120"/>
    <mergeCell ref="A113:U113"/>
    <mergeCell ref="A87:U87"/>
    <mergeCell ref="A86:G86"/>
    <mergeCell ref="A100:U100"/>
    <mergeCell ref="A112:U112"/>
    <mergeCell ref="A119:U119"/>
    <mergeCell ref="A167:G167"/>
    <mergeCell ref="A111:G111"/>
    <mergeCell ref="A118:G118"/>
    <mergeCell ref="A145:G145"/>
    <mergeCell ref="A151:G151"/>
    <mergeCell ref="A166:G166"/>
    <mergeCell ref="A157:U157"/>
    <mergeCell ref="A153:U153"/>
    <mergeCell ref="A154:U154"/>
    <mergeCell ref="A158:U158"/>
    <mergeCell ref="A146:U146"/>
    <mergeCell ref="A152:U152"/>
  </mergeCells>
  <pageMargins left="0.7" right="0.7" top="0.75" bottom="0.75" header="0.3" footer="0.3"/>
  <ignoredErrors>
    <ignoredError sqref="H10 H69 H93:H94 H141 H33 H150 F116" numberStoredAsText="1"/>
    <ignoredError sqref="I53 I21 I86 I111 I118 I145 I151 I1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F11" sqref="F11"/>
    </sheetView>
  </sheetViews>
  <sheetFormatPr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2"/>
      <c r="B1" s="2"/>
      <c r="C1" s="2"/>
      <c r="D1" s="2"/>
    </row>
    <row r="2" spans="1:4">
      <c r="A2" s="2"/>
      <c r="B2" s="2"/>
      <c r="C2" s="2"/>
      <c r="D2" s="2"/>
    </row>
    <row r="3" spans="1:4">
      <c r="A3" s="1"/>
      <c r="B3" s="1"/>
      <c r="C3" s="1"/>
      <c r="D3" s="1"/>
    </row>
    <row r="4" spans="1:4" ht="33" customHeight="1">
      <c r="A4" s="144" t="s">
        <v>5</v>
      </c>
      <c r="B4" s="145" t="s">
        <v>235</v>
      </c>
      <c r="C4" s="145" t="s">
        <v>236</v>
      </c>
      <c r="D4" s="1"/>
    </row>
    <row r="5" spans="1:4" ht="19.5" customHeight="1">
      <c r="A5" s="146" t="s">
        <v>0</v>
      </c>
      <c r="B5" s="147">
        <v>20.083601851879997</v>
      </c>
      <c r="C5" s="148">
        <f>'July 2023'!J21/1000000000</f>
        <v>21.703801741949999</v>
      </c>
      <c r="D5" s="1"/>
    </row>
    <row r="6" spans="1:4" ht="15.75">
      <c r="A6" s="144" t="s">
        <v>1</v>
      </c>
      <c r="B6" s="147">
        <v>816.07201842012989</v>
      </c>
      <c r="C6" s="148">
        <f>'July 2023'!J53/1000000000</f>
        <v>849.05272954500992</v>
      </c>
      <c r="D6" s="1"/>
    </row>
    <row r="7" spans="1:4" ht="15.75">
      <c r="A7" s="144" t="s">
        <v>6</v>
      </c>
      <c r="B7" s="147">
        <v>320.65438520590004</v>
      </c>
      <c r="C7" s="148">
        <f>'July 2023'!J86/1000000000</f>
        <v>320.91073278797995</v>
      </c>
      <c r="D7" s="1"/>
    </row>
    <row r="8" spans="1:4" ht="15.75">
      <c r="A8" s="144" t="s">
        <v>2</v>
      </c>
      <c r="B8" s="147">
        <v>508.82282737584808</v>
      </c>
      <c r="C8" s="148">
        <f>'July 2023'!J111/1000000000</f>
        <v>559.46903968236791</v>
      </c>
      <c r="D8" s="1"/>
    </row>
    <row r="9" spans="1:4" ht="15.75">
      <c r="A9" s="144" t="s">
        <v>7</v>
      </c>
      <c r="B9" s="147">
        <v>92.907293507540004</v>
      </c>
      <c r="C9" s="148">
        <f>'July 2023'!J118/1000000000</f>
        <v>93.087466919259995</v>
      </c>
      <c r="D9" s="1"/>
    </row>
    <row r="10" spans="1:4" ht="15.75">
      <c r="A10" s="144" t="s">
        <v>3</v>
      </c>
      <c r="B10" s="147">
        <v>30.761614356480003</v>
      </c>
      <c r="C10" s="148">
        <f>'July 2023'!J145/1000000000</f>
        <v>38.647229545230005</v>
      </c>
      <c r="D10" s="1"/>
    </row>
    <row r="11" spans="1:4" ht="15.75">
      <c r="A11" s="144" t="s">
        <v>4</v>
      </c>
      <c r="B11" s="147">
        <v>2.7995843278099999</v>
      </c>
      <c r="C11" s="148">
        <f>'July 2023'!J151/1000000000</f>
        <v>3.7484993003899998</v>
      </c>
      <c r="D11" s="1"/>
    </row>
    <row r="12" spans="1:4" ht="15.75">
      <c r="A12" s="144" t="s">
        <v>8</v>
      </c>
      <c r="B12" s="147">
        <v>25.98775500991</v>
      </c>
      <c r="C12" s="148">
        <f>'July 2023'!J166/1000000000</f>
        <v>27.459487367480001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2"/>
      <c r="B16" s="112"/>
      <c r="C16" s="113"/>
      <c r="D16" s="2"/>
    </row>
    <row r="17" spans="1:4" ht="16.5">
      <c r="A17" s="114"/>
      <c r="B17" s="115"/>
      <c r="C17" s="116"/>
      <c r="D17" s="2"/>
    </row>
    <row r="18" spans="1:4" ht="16.5">
      <c r="A18" s="111"/>
      <c r="B18" s="110"/>
      <c r="C18" s="117"/>
      <c r="D18" s="2"/>
    </row>
    <row r="19" spans="1:4" ht="16.5">
      <c r="A19" s="108"/>
      <c r="B19" s="115"/>
      <c r="C19" s="118"/>
      <c r="D19" s="2"/>
    </row>
    <row r="20" spans="1:4" ht="16.5">
      <c r="A20" s="11"/>
      <c r="B20" s="29"/>
      <c r="C20" s="30">
        <v>92979365311.570007</v>
      </c>
      <c r="D20" s="1"/>
    </row>
    <row r="21" spans="1:4" ht="16.5">
      <c r="A21" s="11"/>
      <c r="B21" s="28"/>
      <c r="C21" s="31">
        <v>33483827699.669998</v>
      </c>
      <c r="D21" s="1"/>
    </row>
    <row r="22" spans="1:4" ht="16.5">
      <c r="A22" s="11"/>
      <c r="B22" s="12"/>
      <c r="C22" s="13">
        <v>3211014587.77</v>
      </c>
      <c r="D22" s="1"/>
    </row>
    <row r="23" spans="1:4" ht="16.5">
      <c r="A23" s="11"/>
      <c r="B23" s="28"/>
      <c r="C23" s="31">
        <v>25485626359.523201</v>
      </c>
      <c r="D23" s="1"/>
    </row>
    <row r="24" spans="1:4" ht="16.5">
      <c r="A24" s="11"/>
      <c r="B24" s="28"/>
      <c r="C24" s="28"/>
      <c r="D24" s="1"/>
    </row>
    <row r="25" spans="1:4" ht="16.5">
      <c r="A25" s="11"/>
      <c r="B25" s="28"/>
      <c r="C25" s="28"/>
      <c r="D25" s="1"/>
    </row>
    <row r="26" spans="1:4" ht="16.5">
      <c r="A26" s="11"/>
      <c r="B26" s="28"/>
      <c r="C26" s="28"/>
      <c r="D26" s="1"/>
    </row>
    <row r="27" spans="1:4">
      <c r="B27" s="2"/>
      <c r="C27" s="2"/>
    </row>
    <row r="28" spans="1:4">
      <c r="B28" s="2"/>
      <c r="C28" s="2"/>
    </row>
  </sheetData>
  <sheetProtection algorithmName="SHA-512" hashValue="hKhsUJyOpqOP/IF9zaeTxL8SqXYVukOOBI3UeKB2/QJYTL+OK1sVvVFBn0dohy+KRevGvBkQkc5IdN31RXO99w==" saltValue="kxwxygA6EJ9cBVPCoSOkf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topLeftCell="A10" zoomScale="85" zoomScaleNormal="85" workbookViewId="0">
      <selection activeCell="K4" sqref="K4"/>
    </sheetView>
  </sheetViews>
  <sheetFormatPr defaultRowHeight="15"/>
  <cols>
    <col min="1" max="1" width="26.7109375" customWidth="1"/>
    <col min="2" max="2" width="21.28515625" customWidth="1"/>
  </cols>
  <sheetData>
    <row r="1" spans="1:3">
      <c r="A1" s="14" t="s">
        <v>5</v>
      </c>
      <c r="B1" s="15" t="s">
        <v>236</v>
      </c>
      <c r="C1" s="1"/>
    </row>
    <row r="2" spans="1:3">
      <c r="A2" s="14" t="s">
        <v>4</v>
      </c>
      <c r="B2" s="16">
        <f>'July 2023'!J151</f>
        <v>3748499300.3899999</v>
      </c>
      <c r="C2" s="1"/>
    </row>
    <row r="3" spans="1:3">
      <c r="A3" s="14" t="s">
        <v>0</v>
      </c>
      <c r="B3" s="17">
        <f>'July 2023'!J21</f>
        <v>21703801741.949997</v>
      </c>
      <c r="C3" s="1"/>
    </row>
    <row r="4" spans="1:3">
      <c r="A4" s="14" t="s">
        <v>8</v>
      </c>
      <c r="B4" s="18">
        <f>'July 2023'!J166</f>
        <v>27459487367.48</v>
      </c>
      <c r="C4" s="1"/>
    </row>
    <row r="5" spans="1:3">
      <c r="A5" s="14" t="s">
        <v>3</v>
      </c>
      <c r="B5" s="18">
        <f>'July 2023'!J145</f>
        <v>38647229545.230003</v>
      </c>
      <c r="C5" s="1"/>
    </row>
    <row r="6" spans="1:3">
      <c r="A6" s="14" t="s">
        <v>7</v>
      </c>
      <c r="B6" s="19">
        <f>'July 2023'!J118</f>
        <v>93087466919.259995</v>
      </c>
      <c r="C6" s="1"/>
    </row>
    <row r="7" spans="1:3">
      <c r="A7" s="14" t="s">
        <v>6</v>
      </c>
      <c r="B7" s="19">
        <f>'July 2023'!J86</f>
        <v>320910732787.97998</v>
      </c>
      <c r="C7" s="1"/>
    </row>
    <row r="8" spans="1:3">
      <c r="A8" s="14" t="s">
        <v>2</v>
      </c>
      <c r="B8" s="18">
        <f>'July 2023'!J111</f>
        <v>559469039682.36792</v>
      </c>
      <c r="C8" s="1"/>
    </row>
    <row r="9" spans="1:3">
      <c r="A9" s="14" t="s">
        <v>1</v>
      </c>
      <c r="B9" s="20">
        <f>'July 2023'!J53</f>
        <v>849052729545.00989</v>
      </c>
      <c r="C9" s="1"/>
    </row>
    <row r="10" spans="1:3">
      <c r="A10" s="1"/>
      <c r="B10" s="1"/>
      <c r="C10" s="1"/>
    </row>
    <row r="11" spans="1:3" ht="16.5">
      <c r="A11" s="21"/>
      <c r="B11" s="1"/>
      <c r="C11" s="1"/>
    </row>
    <row r="12" spans="1:3">
      <c r="A12" s="22"/>
      <c r="B12" s="1"/>
      <c r="C12" s="1"/>
    </row>
    <row r="13" spans="1:3" ht="15.75" customHeight="1">
      <c r="A13" s="23"/>
      <c r="B13" s="24"/>
      <c r="C13" s="1"/>
    </row>
    <row r="14" spans="1:3">
      <c r="A14" s="25"/>
      <c r="B14" s="24"/>
      <c r="C14" s="1"/>
    </row>
    <row r="15" spans="1:3">
      <c r="A15" s="104"/>
      <c r="B15" s="103"/>
      <c r="C15" s="2"/>
    </row>
    <row r="16" spans="1:3">
      <c r="A16" s="105"/>
      <c r="B16" s="103"/>
      <c r="C16" s="2"/>
    </row>
    <row r="17" spans="1:17">
      <c r="A17" s="105"/>
      <c r="B17" s="103"/>
      <c r="C17" s="2"/>
    </row>
    <row r="18" spans="1:17">
      <c r="A18" s="104"/>
      <c r="B18" s="103"/>
      <c r="C18" s="2"/>
    </row>
    <row r="19" spans="1:17" ht="15" customHeight="1">
      <c r="A19" s="106"/>
      <c r="B19" s="103"/>
      <c r="C19" s="2"/>
    </row>
    <row r="20" spans="1:17" ht="16.5">
      <c r="A20" s="107"/>
      <c r="B20" s="103"/>
      <c r="C20" s="2"/>
    </row>
    <row r="21" spans="1:17" ht="16.5">
      <c r="A21" s="108"/>
      <c r="B21" s="109"/>
      <c r="C21" s="2"/>
    </row>
    <row r="22" spans="1:17" ht="16.5">
      <c r="A22" s="2"/>
      <c r="B22" s="110"/>
      <c r="C22" s="2"/>
    </row>
    <row r="32" spans="1:17" ht="16.5" customHeight="1">
      <c r="A32" s="181" t="s">
        <v>237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3"/>
    </row>
    <row r="33" spans="1:17" ht="15" customHeigh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3"/>
    </row>
  </sheetData>
  <sheetProtection algorithmName="SHA-512" hashValue="bYQT6GTzh6kBRXtfdDlrJn86BP+UKa+UKrliRi0hKsdeG2e0ldHmb/KPR6+mIuAn1Ahf4GznKXg7XMIRpdSZlA==" saltValue="W3Uy86hq9W2zqvdUb0V6rw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2:C17"/>
  <sheetViews>
    <sheetView workbookViewId="0">
      <selection activeCell="L1" sqref="L1"/>
    </sheetView>
  </sheetViews>
  <sheetFormatPr defaultRowHeight="15"/>
  <cols>
    <col min="1" max="1" width="34.7109375" customWidth="1"/>
    <col min="2" max="2" width="15" customWidth="1"/>
  </cols>
  <sheetData>
    <row r="2" spans="1:3">
      <c r="A2" s="2"/>
      <c r="B2" s="2"/>
      <c r="C2" s="2"/>
    </row>
    <row r="3" spans="1:3">
      <c r="A3" s="1"/>
      <c r="B3" s="1"/>
      <c r="C3" s="1"/>
    </row>
    <row r="4" spans="1:3">
      <c r="A4" s="1"/>
      <c r="B4" s="1"/>
      <c r="C4" s="1"/>
    </row>
    <row r="5" spans="1:3" ht="15.75">
      <c r="A5" s="10" t="s">
        <v>5</v>
      </c>
      <c r="B5" s="26" t="s">
        <v>9</v>
      </c>
      <c r="C5" s="1"/>
    </row>
    <row r="6" spans="1:3" ht="16.5">
      <c r="A6" s="21" t="s">
        <v>0</v>
      </c>
      <c r="B6" s="27">
        <f>'July 2023'!S21</f>
        <v>40644</v>
      </c>
      <c r="C6" s="1"/>
    </row>
    <row r="7" spans="1:3" ht="16.5">
      <c r="A7" s="21" t="s">
        <v>1</v>
      </c>
      <c r="B7" s="27">
        <f>'July 2023'!S53</f>
        <v>305086</v>
      </c>
      <c r="C7" s="1"/>
    </row>
    <row r="8" spans="1:3" ht="16.5">
      <c r="A8" s="21" t="s">
        <v>6</v>
      </c>
      <c r="B8" s="27">
        <f>'July 2023'!S86</f>
        <v>50519</v>
      </c>
      <c r="C8" s="1"/>
    </row>
    <row r="9" spans="1:3" ht="16.5">
      <c r="A9" s="21" t="s">
        <v>2</v>
      </c>
      <c r="B9" s="27">
        <f>'July 2023'!S111</f>
        <v>11181</v>
      </c>
      <c r="C9" s="1"/>
    </row>
    <row r="10" spans="1:3" ht="16.5">
      <c r="A10" s="21" t="s">
        <v>7</v>
      </c>
      <c r="B10" s="27">
        <f>'July 2023'!S118</f>
        <v>37511</v>
      </c>
      <c r="C10" s="1"/>
    </row>
    <row r="11" spans="1:3" ht="16.5">
      <c r="A11" s="21" t="s">
        <v>3</v>
      </c>
      <c r="B11" s="27">
        <f>'July 2023'!S145</f>
        <v>48366</v>
      </c>
      <c r="C11" s="1"/>
    </row>
    <row r="12" spans="1:3" ht="16.5">
      <c r="A12" s="21" t="s">
        <v>4</v>
      </c>
      <c r="B12" s="27">
        <f>'July 2023'!S151</f>
        <v>11554</v>
      </c>
      <c r="C12" s="1"/>
    </row>
    <row r="13" spans="1:3" ht="16.5">
      <c r="A13" s="21" t="s">
        <v>8</v>
      </c>
      <c r="B13" s="27">
        <f>'July 2023'!S166</f>
        <v>18308</v>
      </c>
      <c r="C13" s="1"/>
    </row>
    <row r="14" spans="1:3">
      <c r="A14" s="1"/>
      <c r="B14" s="1"/>
      <c r="C14" s="1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</sheetData>
  <sheetProtection algorithmName="SHA-512" hashValue="Iz8t8a/mHF8BntsAqFyS+krmKLaJtrzTabuIhrZw/M+25+trvH6/5XyHX1IV7j0H/lXur3Vdog48QgpLW+AnYQ==" saltValue="ysub/BMVuwfnnj+QX/foO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2024-06-23T19:19:17Z</dcterms:modified>
</cp:coreProperties>
</file>