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24" i="1" l="1"/>
  <c r="M124" i="1"/>
  <c r="K124" i="1"/>
  <c r="N137" i="1" l="1"/>
  <c r="M137" i="1"/>
  <c r="K137" i="1"/>
  <c r="N127" i="1"/>
  <c r="M127" i="1"/>
  <c r="K127" i="1"/>
  <c r="N134" i="1"/>
  <c r="M134" i="1"/>
  <c r="K134" i="1"/>
  <c r="N116" i="1" l="1"/>
  <c r="M116" i="1"/>
  <c r="K116" i="1"/>
  <c r="N112" i="1"/>
  <c r="M112" i="1"/>
  <c r="K112" i="1"/>
  <c r="N132" i="1" l="1"/>
  <c r="M132" i="1"/>
  <c r="K132" i="1"/>
  <c r="N118" i="1"/>
  <c r="M118" i="1"/>
  <c r="K118" i="1"/>
  <c r="N136" i="1" l="1"/>
  <c r="M136" i="1"/>
  <c r="N138" i="1"/>
  <c r="M138" i="1"/>
  <c r="K138" i="1"/>
  <c r="N126" i="1" l="1"/>
  <c r="M126" i="1"/>
  <c r="K126" i="1"/>
  <c r="N119" i="1"/>
  <c r="M119" i="1"/>
  <c r="K119" i="1"/>
  <c r="N113" i="1"/>
  <c r="M113" i="1"/>
  <c r="K113" i="1"/>
  <c r="N131" i="1" l="1"/>
  <c r="M131" i="1"/>
  <c r="K131" i="1"/>
  <c r="R32" i="1"/>
  <c r="V32" i="1"/>
  <c r="U32" i="1"/>
  <c r="T32" i="1"/>
  <c r="S32" i="1"/>
  <c r="N125" i="1"/>
  <c r="M125" i="1"/>
  <c r="K125" i="1"/>
  <c r="N143" i="1"/>
  <c r="M143" i="1"/>
  <c r="K143" i="1"/>
  <c r="N128" i="1"/>
  <c r="M128" i="1"/>
  <c r="K128" i="1"/>
  <c r="N140" i="1" l="1"/>
  <c r="M140" i="1"/>
  <c r="K140" i="1"/>
  <c r="N117" i="1"/>
  <c r="M117" i="1"/>
  <c r="K117" i="1"/>
  <c r="N145" i="1"/>
  <c r="M145" i="1"/>
  <c r="K145" i="1"/>
  <c r="K123" i="1"/>
  <c r="N142" i="1"/>
  <c r="M142" i="1"/>
  <c r="K142" i="1"/>
  <c r="N115" i="1" l="1"/>
  <c r="M115" i="1"/>
  <c r="K115" i="1"/>
  <c r="N114" i="1"/>
  <c r="M114" i="1"/>
  <c r="K114" i="1"/>
  <c r="N139" i="1"/>
  <c r="M139" i="1"/>
  <c r="G145" i="1" l="1"/>
  <c r="F145" i="1"/>
  <c r="G143" i="1"/>
  <c r="F143" i="1"/>
  <c r="G142" i="1"/>
  <c r="F142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D145" i="1"/>
  <c r="D143" i="1"/>
  <c r="D142" i="1"/>
  <c r="D140" i="1"/>
  <c r="D138" i="1"/>
  <c r="D137" i="1"/>
  <c r="D134" i="1"/>
  <c r="D132" i="1"/>
  <c r="D131" i="1"/>
  <c r="G128" i="1"/>
  <c r="F128" i="1"/>
  <c r="G127" i="1"/>
  <c r="F127" i="1"/>
  <c r="G126" i="1"/>
  <c r="F126" i="1"/>
  <c r="G125" i="1"/>
  <c r="F125" i="1"/>
  <c r="G124" i="1"/>
  <c r="F124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D128" i="1"/>
  <c r="D127" i="1"/>
  <c r="D126" i="1"/>
  <c r="D125" i="1"/>
  <c r="D124" i="1"/>
  <c r="D123" i="1"/>
  <c r="D119" i="1"/>
  <c r="D118" i="1"/>
  <c r="D117" i="1"/>
  <c r="D116" i="1"/>
  <c r="D115" i="1"/>
  <c r="D114" i="1"/>
  <c r="D113" i="1"/>
  <c r="D112" i="1"/>
  <c r="V226" i="1" l="1"/>
  <c r="R123" i="1" l="1"/>
  <c r="S123" i="1"/>
  <c r="T135" i="1" l="1"/>
  <c r="V123" i="1" l="1"/>
  <c r="U123" i="1"/>
  <c r="T123" i="1"/>
  <c r="R46" i="1"/>
  <c r="S46" i="1"/>
  <c r="T46" i="1"/>
  <c r="U46" i="1"/>
  <c r="V46" i="1"/>
  <c r="O222" i="1" l="1"/>
  <c r="K222" i="1"/>
  <c r="L220" i="1" s="1"/>
  <c r="H222" i="1"/>
  <c r="D222" i="1"/>
  <c r="V220" i="1"/>
  <c r="U220" i="1"/>
  <c r="T220" i="1"/>
  <c r="S220" i="1"/>
  <c r="R220" i="1"/>
  <c r="R134" i="1" l="1"/>
  <c r="V134" i="1"/>
  <c r="U134" i="1"/>
  <c r="T134" i="1"/>
  <c r="S134" i="1"/>
  <c r="V81" i="1"/>
  <c r="U81" i="1"/>
  <c r="T81" i="1"/>
  <c r="S81" i="1"/>
  <c r="R81" i="1"/>
  <c r="R166" i="1" l="1"/>
  <c r="V23" i="1" l="1"/>
  <c r="U23" i="1"/>
  <c r="T23" i="1"/>
  <c r="S23" i="1"/>
  <c r="R23" i="1"/>
  <c r="O216" i="1"/>
  <c r="K216" i="1"/>
  <c r="L215" i="1" s="1"/>
  <c r="H216" i="1"/>
  <c r="D216" i="1"/>
  <c r="V215" i="1"/>
  <c r="U215" i="1"/>
  <c r="T215" i="1"/>
  <c r="S215" i="1"/>
  <c r="R215" i="1"/>
  <c r="E215" i="1" l="1"/>
  <c r="E220" i="1"/>
  <c r="R31" i="1"/>
  <c r="K146" i="1" l="1"/>
  <c r="L133" i="1" l="1"/>
  <c r="L123" i="1"/>
  <c r="R115" i="1"/>
  <c r="S115" i="1"/>
  <c r="T115" i="1"/>
  <c r="U115" i="1"/>
  <c r="V115" i="1"/>
  <c r="R53" i="1" l="1"/>
  <c r="R208" i="1" l="1"/>
  <c r="V200" i="1" l="1"/>
  <c r="U200" i="1"/>
  <c r="T200" i="1"/>
  <c r="S200" i="1"/>
  <c r="R200" i="1"/>
  <c r="R142" i="1"/>
  <c r="S142" i="1"/>
  <c r="T142" i="1"/>
  <c r="U142" i="1"/>
  <c r="V142" i="1"/>
  <c r="R6" i="1" l="1"/>
  <c r="V184" i="1" l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R93" i="1" l="1"/>
  <c r="V34" i="1" l="1"/>
  <c r="U34" i="1"/>
  <c r="T34" i="1"/>
  <c r="S34" i="1"/>
  <c r="R34" i="1"/>
  <c r="V75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2" i="1"/>
  <c r="U242" i="1"/>
  <c r="S242" i="1"/>
  <c r="O242" i="1"/>
  <c r="K242" i="1"/>
  <c r="H242" i="1"/>
  <c r="D242" i="1"/>
  <c r="E240" i="1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O227" i="1"/>
  <c r="K227" i="1"/>
  <c r="L226" i="1" s="1"/>
  <c r="H227" i="1"/>
  <c r="D227" i="1"/>
  <c r="E226" i="1" s="1"/>
  <c r="U226" i="1"/>
  <c r="T226" i="1"/>
  <c r="S226" i="1"/>
  <c r="R226" i="1"/>
  <c r="V225" i="1"/>
  <c r="U225" i="1"/>
  <c r="T225" i="1"/>
  <c r="S225" i="1"/>
  <c r="R225" i="1"/>
  <c r="L221" i="1"/>
  <c r="V221" i="1"/>
  <c r="U221" i="1"/>
  <c r="T221" i="1"/>
  <c r="S221" i="1"/>
  <c r="R221" i="1"/>
  <c r="V216" i="1"/>
  <c r="U216" i="1"/>
  <c r="S216" i="1"/>
  <c r="V214" i="1"/>
  <c r="U214" i="1"/>
  <c r="T214" i="1"/>
  <c r="S214" i="1"/>
  <c r="R214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199" i="1"/>
  <c r="U199" i="1"/>
  <c r="T199" i="1"/>
  <c r="S199" i="1"/>
  <c r="R199" i="1"/>
  <c r="V196" i="1"/>
  <c r="U196" i="1"/>
  <c r="T196" i="1"/>
  <c r="S196" i="1"/>
  <c r="R196" i="1"/>
  <c r="V195" i="1"/>
  <c r="U195" i="1"/>
  <c r="T195" i="1"/>
  <c r="S195" i="1"/>
  <c r="R195" i="1"/>
  <c r="V191" i="1"/>
  <c r="U191" i="1"/>
  <c r="S191" i="1"/>
  <c r="O191" i="1"/>
  <c r="K191" i="1"/>
  <c r="H191" i="1"/>
  <c r="D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5" i="1"/>
  <c r="U185" i="1"/>
  <c r="S185" i="1"/>
  <c r="O185" i="1"/>
  <c r="K185" i="1"/>
  <c r="L163" i="1" s="1"/>
  <c r="H185" i="1"/>
  <c r="D185" i="1"/>
  <c r="V154" i="1"/>
  <c r="U154" i="1"/>
  <c r="S154" i="1"/>
  <c r="O154" i="1"/>
  <c r="K154" i="1"/>
  <c r="B6" i="3" s="1"/>
  <c r="H154" i="1"/>
  <c r="D154" i="1"/>
  <c r="E152" i="1" s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H146" i="1"/>
  <c r="V145" i="1"/>
  <c r="U145" i="1"/>
  <c r="T145" i="1"/>
  <c r="R145" i="1"/>
  <c r="V144" i="1"/>
  <c r="U144" i="1"/>
  <c r="T144" i="1"/>
  <c r="S144" i="1"/>
  <c r="R144" i="1"/>
  <c r="V143" i="1"/>
  <c r="U143" i="1"/>
  <c r="T143" i="1"/>
  <c r="S143" i="1"/>
  <c r="V141" i="1"/>
  <c r="U141" i="1"/>
  <c r="T141" i="1"/>
  <c r="S141" i="1"/>
  <c r="R141" i="1"/>
  <c r="V140" i="1"/>
  <c r="U140" i="1"/>
  <c r="T140" i="1"/>
  <c r="S140" i="1"/>
  <c r="V139" i="1"/>
  <c r="U139" i="1"/>
  <c r="T139" i="1"/>
  <c r="R139" i="1"/>
  <c r="S139" i="1"/>
  <c r="V138" i="1"/>
  <c r="U138" i="1"/>
  <c r="T138" i="1"/>
  <c r="S138" i="1"/>
  <c r="V137" i="1"/>
  <c r="U137" i="1"/>
  <c r="T137" i="1"/>
  <c r="S137" i="1"/>
  <c r="R137" i="1"/>
  <c r="V136" i="1"/>
  <c r="U136" i="1"/>
  <c r="T136" i="1"/>
  <c r="R136" i="1"/>
  <c r="V135" i="1"/>
  <c r="U135" i="1"/>
  <c r="S135" i="1"/>
  <c r="R135" i="1"/>
  <c r="V133" i="1"/>
  <c r="U133" i="1"/>
  <c r="T133" i="1"/>
  <c r="S133" i="1"/>
  <c r="R133" i="1"/>
  <c r="V132" i="1"/>
  <c r="U132" i="1"/>
  <c r="T132" i="1"/>
  <c r="S132" i="1"/>
  <c r="V131" i="1"/>
  <c r="U131" i="1"/>
  <c r="T131" i="1"/>
  <c r="S131" i="1"/>
  <c r="R131" i="1"/>
  <c r="V128" i="1"/>
  <c r="U128" i="1"/>
  <c r="T128" i="1"/>
  <c r="S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V124" i="1"/>
  <c r="U124" i="1"/>
  <c r="T124" i="1"/>
  <c r="S124" i="1"/>
  <c r="R124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R116" i="1"/>
  <c r="V114" i="1"/>
  <c r="U114" i="1"/>
  <c r="T114" i="1"/>
  <c r="S114" i="1"/>
  <c r="V113" i="1"/>
  <c r="U113" i="1"/>
  <c r="T113" i="1"/>
  <c r="S113" i="1"/>
  <c r="V112" i="1"/>
  <c r="U112" i="1"/>
  <c r="T112" i="1"/>
  <c r="R112" i="1"/>
  <c r="S112" i="1"/>
  <c r="V108" i="1"/>
  <c r="U108" i="1"/>
  <c r="S108" i="1"/>
  <c r="O108" i="1"/>
  <c r="K108" i="1"/>
  <c r="L77" i="1" s="1"/>
  <c r="H108" i="1"/>
  <c r="D108" i="1"/>
  <c r="E134" i="1" s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68" i="1"/>
  <c r="U68" i="1"/>
  <c r="S68" i="1"/>
  <c r="O68" i="1"/>
  <c r="K68" i="1"/>
  <c r="L32" i="1" s="1"/>
  <c r="H68" i="1"/>
  <c r="D68" i="1"/>
  <c r="B14" i="2" s="1"/>
  <c r="B4" i="2" s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E12" i="4" l="1"/>
  <c r="E46" i="1"/>
  <c r="E32" i="1"/>
  <c r="L102" i="1"/>
  <c r="L35" i="1"/>
  <c r="L46" i="1"/>
  <c r="C12" i="4"/>
  <c r="L96" i="1"/>
  <c r="L79" i="1"/>
  <c r="L23" i="1"/>
  <c r="L15" i="1"/>
  <c r="L81" i="1"/>
  <c r="L134" i="1"/>
  <c r="F12" i="4"/>
  <c r="B15" i="2"/>
  <c r="B5" i="2" s="1"/>
  <c r="E81" i="1"/>
  <c r="L36" i="1"/>
  <c r="L44" i="1"/>
  <c r="L86" i="1"/>
  <c r="L88" i="1"/>
  <c r="L60" i="1"/>
  <c r="B8" i="3"/>
  <c r="B20" i="2"/>
  <c r="B10" i="2" s="1"/>
  <c r="E200" i="1"/>
  <c r="L204" i="1"/>
  <c r="L200" i="1"/>
  <c r="E184" i="1"/>
  <c r="E172" i="1"/>
  <c r="E160" i="1"/>
  <c r="E182" i="1"/>
  <c r="E170" i="1"/>
  <c r="E158" i="1"/>
  <c r="E177" i="1"/>
  <c r="E165" i="1"/>
  <c r="E175" i="1"/>
  <c r="E180" i="1"/>
  <c r="E168" i="1"/>
  <c r="E159" i="1"/>
  <c r="E167" i="1"/>
  <c r="E173" i="1"/>
  <c r="E161" i="1"/>
  <c r="E179" i="1"/>
  <c r="E178" i="1"/>
  <c r="E166" i="1"/>
  <c r="E163" i="1"/>
  <c r="E183" i="1"/>
  <c r="E171" i="1"/>
  <c r="E176" i="1"/>
  <c r="E164" i="1"/>
  <c r="E174" i="1"/>
  <c r="E162" i="1"/>
  <c r="E181" i="1"/>
  <c r="E169" i="1"/>
  <c r="E157" i="1"/>
  <c r="L177" i="1"/>
  <c r="L165" i="1"/>
  <c r="L175" i="1"/>
  <c r="L182" i="1"/>
  <c r="L170" i="1"/>
  <c r="L158" i="1"/>
  <c r="L180" i="1"/>
  <c r="L173" i="1"/>
  <c r="L161" i="1"/>
  <c r="L167" i="1"/>
  <c r="L168" i="1"/>
  <c r="L178" i="1"/>
  <c r="L166" i="1"/>
  <c r="L164" i="1"/>
  <c r="L183" i="1"/>
  <c r="L171" i="1"/>
  <c r="L159" i="1"/>
  <c r="L179" i="1"/>
  <c r="L172" i="1"/>
  <c r="L176" i="1"/>
  <c r="L160" i="1"/>
  <c r="L181" i="1"/>
  <c r="L169" i="1"/>
  <c r="L157" i="1"/>
  <c r="L174" i="1"/>
  <c r="L162" i="1"/>
  <c r="B2" i="3"/>
  <c r="L189" i="1"/>
  <c r="L34" i="1"/>
  <c r="L12" i="1"/>
  <c r="L104" i="1"/>
  <c r="L72" i="1"/>
  <c r="E14" i="1"/>
  <c r="E34" i="1"/>
  <c r="E50" i="1"/>
  <c r="L50" i="1"/>
  <c r="R222" i="1"/>
  <c r="B5" i="3"/>
  <c r="L21" i="1"/>
  <c r="L7" i="1"/>
  <c r="D4" i="5"/>
  <c r="D3" i="5" s="1"/>
  <c r="B4" i="3"/>
  <c r="L202" i="1"/>
  <c r="R242" i="1"/>
  <c r="E238" i="1"/>
  <c r="E236" i="1"/>
  <c r="E234" i="1"/>
  <c r="E8" i="1"/>
  <c r="L211" i="1"/>
  <c r="E196" i="1"/>
  <c r="T242" i="1"/>
  <c r="J12" i="4"/>
  <c r="E12" i="1"/>
  <c r="E10" i="1"/>
  <c r="E6" i="1"/>
  <c r="E18" i="1"/>
  <c r="E201" i="1"/>
  <c r="E225" i="1"/>
  <c r="E232" i="1"/>
  <c r="E86" i="1"/>
  <c r="E22" i="1"/>
  <c r="E49" i="1"/>
  <c r="E20" i="1"/>
  <c r="E16" i="1"/>
  <c r="E74" i="1"/>
  <c r="E106" i="1"/>
  <c r="E102" i="1"/>
  <c r="E77" i="1"/>
  <c r="E100" i="1"/>
  <c r="S145" i="1"/>
  <c r="E230" i="1"/>
  <c r="E241" i="1"/>
  <c r="E98" i="1"/>
  <c r="E96" i="1"/>
  <c r="E79" i="1"/>
  <c r="E71" i="1"/>
  <c r="E73" i="1"/>
  <c r="E150" i="1"/>
  <c r="T191" i="1"/>
  <c r="E92" i="1"/>
  <c r="E84" i="1"/>
  <c r="E104" i="1"/>
  <c r="E90" i="1"/>
  <c r="E72" i="1"/>
  <c r="E82" i="1"/>
  <c r="E88" i="1"/>
  <c r="L24" i="1"/>
  <c r="E95" i="1"/>
  <c r="E97" i="1"/>
  <c r="E99" i="1"/>
  <c r="E101" i="1"/>
  <c r="E103" i="1"/>
  <c r="E105" i="1"/>
  <c r="E107" i="1"/>
  <c r="E231" i="1"/>
  <c r="E233" i="1"/>
  <c r="E235" i="1"/>
  <c r="E237" i="1"/>
  <c r="E239" i="1"/>
  <c r="L19" i="1"/>
  <c r="E76" i="1"/>
  <c r="E78" i="1"/>
  <c r="E80" i="1"/>
  <c r="E83" i="1"/>
  <c r="E85" i="1"/>
  <c r="E87" i="1"/>
  <c r="E89" i="1"/>
  <c r="E91" i="1"/>
  <c r="E93" i="1"/>
  <c r="T146" i="1"/>
  <c r="L11" i="1"/>
  <c r="L149" i="1"/>
  <c r="L153" i="1"/>
  <c r="L241" i="1"/>
  <c r="T68" i="1"/>
  <c r="L188" i="1"/>
  <c r="L190" i="1"/>
  <c r="E204" i="1"/>
  <c r="E206" i="1"/>
  <c r="E208" i="1"/>
  <c r="E210" i="1"/>
  <c r="T216" i="1"/>
  <c r="L6" i="1"/>
  <c r="L10" i="1"/>
  <c r="L14" i="1"/>
  <c r="L18" i="1"/>
  <c r="L22" i="1"/>
  <c r="E195" i="1"/>
  <c r="E199" i="1"/>
  <c r="E202" i="1"/>
  <c r="E214" i="1"/>
  <c r="H217" i="1"/>
  <c r="H243" i="1" s="1"/>
  <c r="R227" i="1"/>
  <c r="D146" i="1"/>
  <c r="T108" i="1"/>
  <c r="L152" i="1"/>
  <c r="T154" i="1"/>
  <c r="T185" i="1"/>
  <c r="E205" i="1"/>
  <c r="E207" i="1"/>
  <c r="E209" i="1"/>
  <c r="E211" i="1"/>
  <c r="C4" i="5"/>
  <c r="C3" i="5" s="1"/>
  <c r="D12" i="4"/>
  <c r="G12" i="4"/>
  <c r="H4" i="5"/>
  <c r="H3" i="5" s="1"/>
  <c r="I12" i="4"/>
  <c r="E94" i="1"/>
  <c r="L66" i="1"/>
  <c r="L82" i="1"/>
  <c r="L106" i="1"/>
  <c r="L62" i="1"/>
  <c r="L58" i="1"/>
  <c r="L56" i="1"/>
  <c r="L64" i="1"/>
  <c r="L54" i="1"/>
  <c r="L52" i="1"/>
  <c r="E57" i="1"/>
  <c r="E59" i="1"/>
  <c r="E61" i="1"/>
  <c r="E63" i="1"/>
  <c r="E65" i="1"/>
  <c r="E67" i="1"/>
  <c r="E55" i="1"/>
  <c r="E53" i="1"/>
  <c r="E51" i="1"/>
  <c r="L199" i="1"/>
  <c r="L205" i="1"/>
  <c r="L195" i="1"/>
  <c r="L203" i="1"/>
  <c r="L207" i="1"/>
  <c r="L233" i="1"/>
  <c r="L237" i="1"/>
  <c r="L231" i="1"/>
  <c r="L235" i="1"/>
  <c r="L239" i="1"/>
  <c r="L230" i="1"/>
  <c r="L232" i="1"/>
  <c r="L234" i="1"/>
  <c r="L236" i="1"/>
  <c r="L238" i="1"/>
  <c r="L240" i="1"/>
  <c r="L90" i="1"/>
  <c r="L98" i="1"/>
  <c r="L209" i="1"/>
  <c r="L74" i="1"/>
  <c r="E75" i="1"/>
  <c r="L49" i="1"/>
  <c r="L84" i="1"/>
  <c r="L92" i="1"/>
  <c r="L100" i="1"/>
  <c r="R154" i="1"/>
  <c r="L150" i="1"/>
  <c r="L151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85" i="1"/>
  <c r="B7" i="3"/>
  <c r="C15" i="2"/>
  <c r="C5" i="2" s="1"/>
  <c r="R114" i="1"/>
  <c r="R117" i="1"/>
  <c r="R118" i="1"/>
  <c r="R125" i="1"/>
  <c r="E7" i="1"/>
  <c r="E9" i="1"/>
  <c r="E11" i="1"/>
  <c r="E13" i="1"/>
  <c r="E15" i="1"/>
  <c r="E17" i="1"/>
  <c r="E19" i="1"/>
  <c r="E21" i="1"/>
  <c r="E24" i="1"/>
  <c r="B3" i="3"/>
  <c r="C13" i="2"/>
  <c r="C3" i="2" s="1"/>
  <c r="O217" i="1"/>
  <c r="O243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L45" i="1"/>
  <c r="E47" i="1"/>
  <c r="L48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R68" i="1"/>
  <c r="L71" i="1"/>
  <c r="L73" i="1"/>
  <c r="L75" i="1"/>
  <c r="L76" i="1"/>
  <c r="L78" i="1"/>
  <c r="L80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R108" i="1"/>
  <c r="R113" i="1"/>
  <c r="R128" i="1"/>
  <c r="R132" i="1"/>
  <c r="S136" i="1"/>
  <c r="B19" i="2"/>
  <c r="B9" i="2" s="1"/>
  <c r="E190" i="1"/>
  <c r="E188" i="1"/>
  <c r="B13" i="2"/>
  <c r="B3" i="2" s="1"/>
  <c r="R25" i="1"/>
  <c r="T25" i="1"/>
  <c r="C14" i="2"/>
  <c r="C4" i="2" s="1"/>
  <c r="L94" i="1"/>
  <c r="R138" i="1"/>
  <c r="R140" i="1"/>
  <c r="R143" i="1"/>
  <c r="B17" i="2"/>
  <c r="B7" i="2" s="1"/>
  <c r="E153" i="1"/>
  <c r="E151" i="1"/>
  <c r="E149" i="1"/>
  <c r="B18" i="2"/>
  <c r="B8" i="2" s="1"/>
  <c r="E189" i="1"/>
  <c r="R191" i="1"/>
  <c r="L196" i="1"/>
  <c r="L201" i="1"/>
  <c r="L206" i="1"/>
  <c r="L208" i="1"/>
  <c r="L210" i="1"/>
  <c r="L214" i="1"/>
  <c r="R216" i="1"/>
  <c r="E221" i="1"/>
  <c r="L225" i="1"/>
  <c r="C17" i="2"/>
  <c r="C7" i="2" s="1"/>
  <c r="C18" i="2"/>
  <c r="C8" i="2" s="1"/>
  <c r="C19" i="2"/>
  <c r="C9" i="2" s="1"/>
  <c r="C20" i="2"/>
  <c r="C10" i="2" s="1"/>
  <c r="E115" i="1" l="1"/>
  <c r="E123" i="1"/>
  <c r="L115" i="1"/>
  <c r="B9" i="3"/>
  <c r="E128" i="1"/>
  <c r="E142" i="1"/>
  <c r="L125" i="1"/>
  <c r="L142" i="1"/>
  <c r="E131" i="1"/>
  <c r="E136" i="1"/>
  <c r="E137" i="1"/>
  <c r="E127" i="1"/>
  <c r="E112" i="1"/>
  <c r="E117" i="1"/>
  <c r="E132" i="1"/>
  <c r="D217" i="1"/>
  <c r="E68" i="1" s="1"/>
  <c r="E125" i="1"/>
  <c r="E143" i="1"/>
  <c r="E133" i="1"/>
  <c r="E114" i="1"/>
  <c r="E116" i="1"/>
  <c r="E145" i="1"/>
  <c r="E140" i="1"/>
  <c r="E119" i="1"/>
  <c r="E135" i="1"/>
  <c r="E120" i="1"/>
  <c r="E139" i="1"/>
  <c r="E138" i="1"/>
  <c r="E122" i="1"/>
  <c r="E141" i="1"/>
  <c r="E124" i="1"/>
  <c r="B16" i="2"/>
  <c r="B6" i="2" s="1"/>
  <c r="E126" i="1"/>
  <c r="E121" i="1"/>
  <c r="E113" i="1"/>
  <c r="L140" i="1"/>
  <c r="K217" i="1"/>
  <c r="L146" i="1" s="1"/>
  <c r="L132" i="1"/>
  <c r="L114" i="1"/>
  <c r="C16" i="2"/>
  <c r="C6" i="2" s="1"/>
  <c r="L144" i="1"/>
  <c r="L136" i="1"/>
  <c r="L145" i="1"/>
  <c r="L141" i="1"/>
  <c r="L139" i="1"/>
  <c r="R146" i="1"/>
  <c r="L137" i="1"/>
  <c r="L135" i="1"/>
  <c r="L131" i="1"/>
  <c r="L127" i="1"/>
  <c r="L122" i="1"/>
  <c r="L120" i="1"/>
  <c r="L112" i="1"/>
  <c r="L126" i="1"/>
  <c r="L124" i="1"/>
  <c r="L121" i="1"/>
  <c r="L119" i="1"/>
  <c r="L116" i="1"/>
  <c r="L113" i="1"/>
  <c r="L143" i="1"/>
  <c r="L138" i="1"/>
  <c r="L128" i="1"/>
  <c r="L117" i="1"/>
  <c r="L118" i="1"/>
  <c r="E191" i="1" l="1"/>
  <c r="E108" i="1"/>
  <c r="E185" i="1"/>
  <c r="E154" i="1"/>
  <c r="E216" i="1"/>
  <c r="D243" i="1"/>
  <c r="E25" i="1"/>
  <c r="E146" i="1"/>
  <c r="K243" i="1"/>
  <c r="R217" i="1"/>
  <c r="L191" i="1"/>
  <c r="L25" i="1"/>
  <c r="L185" i="1"/>
  <c r="L154" i="1"/>
  <c r="L68" i="1"/>
  <c r="L108" i="1"/>
  <c r="L216" i="1"/>
</calcChain>
</file>

<file path=xl/sharedStrings.xml><?xml version="1.0" encoding="utf-8"?>
<sst xmlns="http://schemas.openxmlformats.org/spreadsheetml/2006/main" count="499" uniqueCount="316">
  <si>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</si>
  <si>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</si>
  <si>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</si>
  <si>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</si>
  <si>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</si>
  <si>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</si>
  <si>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</si>
  <si>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</si>
  <si>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</si>
  <si>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</si>
  <si>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</si>
  <si>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</si>
  <si>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</si>
  <si>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</si>
  <si>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</si>
  <si>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</si>
  <si>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</si>
  <si>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</si>
  <si>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</si>
  <si>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</si>
  <si>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</si>
  <si>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</si>
  <si>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</si>
  <si>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</si>
  <si>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</si>
  <si>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</si>
  <si>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</si>
  <si>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</si>
  <si>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</si>
  <si>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</si>
  <si>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</si>
  <si>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</si>
  <si>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</si>
  <si>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</si>
  <si>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</si>
  <si>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</si>
  <si>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</si>
  <si>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</si>
  <si>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</si>
  <si>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</si>
  <si>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</si>
  <si>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</si>
  <si>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</si>
  <si>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</si>
  <si>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</si>
  <si>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</si>
  <si>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</si>
  <si>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</si>
  <si>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</si>
  <si>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</si>
  <si>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</si>
  <si>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</si>
  <si>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</si>
  <si>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</si>
  <si>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</si>
  <si>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</si>
  <si>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</si>
  <si>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</si>
  <si>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</si>
  <si>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</si>
  <si>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</si>
  <si>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</si>
  <si>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</si>
  <si>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</si>
  <si>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</si>
  <si>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</si>
  <si>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</si>
  <si>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</si>
  <si>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</si>
  <si>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</si>
  <si>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</si>
  <si>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</si>
  <si>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</si>
  <si>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</si>
  <si>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</si>
  <si>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</si>
  <si>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</si>
  <si>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</si>
  <si>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</si>
  <si>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</si>
  <si>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</si>
  <si>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</si>
  <si>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</si>
  <si>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</si>
  <si>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</si>
  <si>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</si>
  <si>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</si>
  <si>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</si>
  <si>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</si>
  <si>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</si>
  <si>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</si>
  <si>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</si>
  <si>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</si>
  <si>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</si>
  <si>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</si>
  <si>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</si>
  <si>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</si>
  <si>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</si>
  <si>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</si>
  <si>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</si>
  <si>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</si>
  <si>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</si>
  <si>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</si>
  <si>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</si>
  <si>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</si>
  <si>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</si>
  <si>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</si>
  <si>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</si>
  <si>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</si>
  <si>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</si>
  <si>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</si>
  <si>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</si>
  <si>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</si>
  <si>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</si>
  <si>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</si>
  <si>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</si>
  <si>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</si>
  <si>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</si>
  <si>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</si>
  <si>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</si>
  <si>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</si>
  <si>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</si>
  <si>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</si>
  <si>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</si>
  <si>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</si>
  <si>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</si>
  <si>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</si>
  <si>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</si>
  <si>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</si>
  <si>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</si>
  <si>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</si>
  <si>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</si>
  <si>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</si>
  <si>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</si>
  <si>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</si>
  <si>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</si>
  <si>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</si>
  <si>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</si>
  <si>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</si>
  <si>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</si>
  <si>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</si>
  <si>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</si>
  <si>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</si>
  <si>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</si>
  <si>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</si>
  <si>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</si>
  <si>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</si>
  <si>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</si>
  <si>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</si>
  <si>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</si>
  <si>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</si>
  <si>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</si>
  <si>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</si>
  <si>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</si>
  <si>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</si>
  <si>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</si>
  <si>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</si>
  <si>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</si>
  <si>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</si>
  <si>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</si>
  <si>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</si>
  <si>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</si>
  <si>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</si>
  <si>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</si>
  <si>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</si>
  <si>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</si>
  <si>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</si>
  <si>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</si>
  <si>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</si>
  <si>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</si>
  <si>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</si>
  <si>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</si>
  <si>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</si>
  <si>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</si>
  <si>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</si>
  <si>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</si>
  <si>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</si>
  <si>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</si>
  <si>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</si>
  <si>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</si>
  <si>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</si>
  <si>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</si>
  <si>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</si>
  <si>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</si>
  <si>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</si>
  <si>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</si>
  <si>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</si>
  <si>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</si>
  <si>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</si>
  <si>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</si>
  <si>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</si>
  <si>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</si>
  <si>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</si>
  <si>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</si>
  <si>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</si>
  <si>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</si>
  <si>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</si>
  <si>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</si>
  <si>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</si>
  <si>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</si>
  <si>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</si>
  <si>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</si>
  <si>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</si>
  <si>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</si>
  <si>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</si>
  <si>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</si>
  <si>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</si>
  <si>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</si>
  <si>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</si>
  <si>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</si>
  <si>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</si>
  <si>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</si>
  <si>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</si>
  <si>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</si>
  <si>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</si>
  <si>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</si>
  <si>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</si>
  <si>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</si>
  <si>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</si>
  <si>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</si>
  <si>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</si>
  <si>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</si>
  <si>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</si>
  <si>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</si>
  <si>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</si>
  <si>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</si>
  <si>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</si>
  <si>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</si>
  <si>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</si>
  <si>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</si>
  <si>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</si>
  <si>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</si>
  <si>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</si>
  <si>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</si>
  <si>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</si>
  <si>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</si>
  <si>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</si>
  <si>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</si>
  <si>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</si>
  <si>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</si>
  <si>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</si>
  <si>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</si>
  <si>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</si>
  <si>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</si>
  <si>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</si>
  <si>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</si>
  <si>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</si>
  <si>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</si>
  <si>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</si>
  <si>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</si>
  <si>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</si>
  <si>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</si>
  <si>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</si>
  <si>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</si>
  <si>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</si>
  <si>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</si>
  <si>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</si>
  <si>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</si>
  <si>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</si>
  <si>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</si>
  <si>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</si>
  <si>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</si>
  <si>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</si>
  <si>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</si>
  <si>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</si>
  <si>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</si>
  <si>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</si>
  <si>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</si>
  <si>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</si>
  <si>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</si>
  <si>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</si>
  <si>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</si>
  <si>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</si>
  <si>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</si>
  <si>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</si>
  <si>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</si>
  <si>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</si>
  <si>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</si>
  <si>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</si>
  <si>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</si>
  <si>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</si>
  <si>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</si>
  <si>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</si>
  <si>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</si>
  <si>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</si>
  <si>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</si>
  <si>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</si>
  <si>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</si>
  <si>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</si>
  <si>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</si>
  <si>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</si>
  <si>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</si>
  <si>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</si>
  <si>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</si>
  <si>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</si>
  <si>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</si>
  <si>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</si>
  <si>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</si>
  <si>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</si>
  <si>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</si>
  <si>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</si>
  <si>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</si>
  <si>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</si>
  <si>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</si>
  <si>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NAV, Unit Price and Yield as at Week Ended March 7, 2025</t>
  </si>
  <si>
    <t>FSL Money Market Fund</t>
  </si>
  <si>
    <t>FSL Asset Management Limited</t>
  </si>
  <si>
    <t>FSL Eurobond Fund</t>
  </si>
  <si>
    <t>0.13%</t>
  </si>
  <si>
    <t>Week Ended March 7, 2025</t>
  </si>
  <si>
    <t>NAV, Unit Price and Yield as at Week Ended March 14, 2025</t>
  </si>
  <si>
    <t>WEEKLY VALUATION REPORT OF COLLECTIVE INVESTMENT SCHEMES AS AT WEEK ENDED FRIDAY, MARCH 14, 2025</t>
  </si>
  <si>
    <t>NFEM RATE NG₦/US$ as at 14th March, 2025 = N1,517.9300</t>
  </si>
  <si>
    <t>0.19%</t>
  </si>
  <si>
    <t>AVA GAM Money Market Fund</t>
  </si>
  <si>
    <t>Week Ended March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</si>
</sst>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4" fillId="8" borderId="1" xfId="0" applyFont="1" applyFill="1" applyBorder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164" fontId="18" fillId="2" borderId="1" xfId="10" applyFont="1" applyFill="1" applyBorder="1"/>
    <xf numFmtId="10" fontId="18" fillId="8" borderId="1" xfId="2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/>
    </xf>
    <xf numFmtId="4" fontId="18" fillId="2" borderId="1" xfId="0" applyNumberFormat="1" applyFont="1" applyFill="1" applyBorder="1"/>
    <xf numFmtId="164" fontId="16" fillId="10" borderId="1" xfId="1" applyFont="1" applyFill="1" applyBorder="1" applyAlignment="1">
      <alignment horizontal="center"/>
    </xf>
    <xf numFmtId="164" fontId="18" fillId="2" borderId="1" xfId="1" applyFont="1" applyFill="1" applyBorder="1"/>
    <xf numFmtId="0" fontId="16" fillId="0" borderId="1" xfId="0" applyFont="1" applyBorder="1"/>
    <xf numFmtId="0" fontId="16" fillId="2" borderId="1" xfId="0" applyFont="1" applyFill="1" applyBorder="1"/>
    <xf numFmtId="0" fontId="15" fillId="2" borderId="1" xfId="0" applyFont="1" applyFill="1" applyBorder="1" applyAlignment="1">
      <alignment horizontal="right"/>
    </xf>
    <xf numFmtId="164" fontId="15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8" fillId="2" borderId="1" xfId="2" applyNumberFormat="1" applyFont="1" applyFill="1" applyBorder="1" applyAlignment="1">
      <alignment horizontal="center" vertical="top" wrapText="1"/>
    </xf>
    <xf numFmtId="4" fontId="18" fillId="2" borderId="1" xfId="1" applyNumberFormat="1" applyFont="1" applyFill="1" applyBorder="1" applyAlignment="1">
      <alignment vertical="top" wrapText="1"/>
    </xf>
    <xf numFmtId="164" fontId="15" fillId="10" borderId="1" xfId="1" applyFont="1" applyFill="1" applyBorder="1" applyAlignment="1">
      <alignment horizontal="center"/>
    </xf>
    <xf numFmtId="164" fontId="18" fillId="2" borderId="1" xfId="10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 wrapText="1"/>
    </xf>
    <xf numFmtId="164" fontId="18" fillId="2" borderId="1" xfId="10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right"/>
    </xf>
    <xf numFmtId="164" fontId="14" fillId="3" borderId="1" xfId="1" applyFont="1" applyFill="1" applyBorder="1" applyAlignment="1">
      <alignment horizontal="center" vertical="top"/>
    </xf>
    <xf numFmtId="10" fontId="18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/>
    </xf>
    <xf numFmtId="10" fontId="18" fillId="10" borderId="1" xfId="2" applyNumberFormat="1" applyFont="1" applyFill="1" applyBorder="1" applyAlignment="1">
      <alignment horizontal="center" vertical="top" wrapText="1"/>
    </xf>
    <xf numFmtId="10" fontId="18" fillId="10" borderId="1" xfId="2" applyNumberFormat="1" applyFont="1" applyFill="1" applyBorder="1" applyAlignment="1">
      <alignment horizontal="center" wrapText="1"/>
    </xf>
    <xf numFmtId="10" fontId="18" fillId="8" borderId="1" xfId="2" applyNumberFormat="1" applyFont="1" applyFill="1" applyBorder="1" applyAlignment="1">
      <alignment horizontal="center" wrapText="1"/>
    </xf>
    <xf numFmtId="10" fontId="18" fillId="10" borderId="1" xfId="1" applyNumberFormat="1" applyFont="1" applyFill="1" applyBorder="1" applyAlignment="1">
      <alignment horizontal="center"/>
    </xf>
    <xf numFmtId="10" fontId="18" fillId="3" borderId="1" xfId="2" applyNumberFormat="1" applyFont="1" applyFill="1" applyBorder="1" applyAlignment="1">
      <alignment horizontal="center" vertical="top" wrapText="1"/>
    </xf>
    <xf numFmtId="10" fontId="16" fillId="3" borderId="1" xfId="2" applyNumberFormat="1" applyFont="1" applyFill="1" applyBorder="1" applyAlignment="1">
      <alignment horizontal="center" vertical="top" wrapText="1"/>
    </xf>
    <xf numFmtId="10" fontId="16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8" fillId="2" borderId="1" xfId="0" applyNumberFormat="1" applyFont="1" applyFill="1" applyBorder="1"/>
    <xf numFmtId="164" fontId="18" fillId="2" borderId="1" xfId="10" applyFont="1" applyFill="1" applyBorder="1" applyAlignment="1">
      <alignment wrapText="1"/>
    </xf>
    <xf numFmtId="164" fontId="18" fillId="12" borderId="1" xfId="1" applyFont="1" applyFill="1" applyBorder="1" applyAlignment="1">
      <alignment horizontal="center"/>
    </xf>
    <xf numFmtId="10" fontId="18" fillId="12" borderId="1" xfId="2" applyNumberFormat="1" applyFont="1" applyFill="1" applyBorder="1" applyAlignment="1">
      <alignment horizontal="center"/>
    </xf>
    <xf numFmtId="10" fontId="18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27" fillId="2" borderId="1" xfId="0" applyFont="1" applyFill="1" applyBorder="1"/>
    <xf numFmtId="4" fontId="18" fillId="2" borderId="1" xfId="1" applyNumberFormat="1" applyFont="1" applyFill="1" applyBorder="1" applyAlignment="1">
      <alignment horizontal="right" vertical="top" wrapText="1"/>
    </xf>
    <xf numFmtId="164" fontId="15" fillId="2" borderId="1" xfId="1" applyFont="1" applyFill="1" applyBorder="1"/>
    <xf numFmtId="43" fontId="18" fillId="2" borderId="1" xfId="0" applyNumberFormat="1" applyFont="1" applyFill="1" applyBorder="1"/>
    <xf numFmtId="4" fontId="18" fillId="2" borderId="1" xfId="10" applyNumberFormat="1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 wrapText="1"/>
    </xf>
    <xf numFmtId="4" fontId="18" fillId="2" borderId="1" xfId="10" applyNumberFormat="1" applyFont="1" applyFill="1" applyBorder="1" applyAlignment="1">
      <alignment horizontal="right" wrapText="1"/>
    </xf>
    <xf numFmtId="4" fontId="18" fillId="10" borderId="1" xfId="1" applyNumberFormat="1" applyFont="1" applyFill="1" applyBorder="1" applyAlignment="1">
      <alignment horizontal="center"/>
    </xf>
    <xf numFmtId="4" fontId="18" fillId="10" borderId="1" xfId="1" applyNumberFormat="1" applyFont="1" applyFill="1" applyBorder="1" applyAlignment="1">
      <alignment horizontal="center" vertical="top" wrapText="1"/>
    </xf>
    <xf numFmtId="43" fontId="1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5" fillId="10" borderId="1" xfId="1" applyNumberFormat="1" applyFont="1" applyFill="1" applyBorder="1" applyAlignment="1">
      <alignment horizontal="right" vertical="top" wrapText="1"/>
    </xf>
    <xf numFmtId="0" fontId="18" fillId="15" borderId="1" xfId="0" applyFont="1" applyFill="1" applyBorder="1" applyAlignment="1">
      <alignment horizontal="right" vertical="center"/>
    </xf>
    <xf numFmtId="0" fontId="15" fillId="15" borderId="1" xfId="0" applyFont="1" applyFill="1" applyBorder="1" applyAlignment="1">
      <alignment horizontal="right" vertical="center"/>
    </xf>
    <xf numFmtId="164" fontId="15" fillId="15" borderId="1" xfId="1" applyFont="1" applyFill="1" applyBorder="1" applyAlignment="1">
      <alignment horizontal="right" vertical="center" wrapText="1"/>
    </xf>
    <xf numFmtId="10" fontId="18" fillId="15" borderId="1" xfId="1" applyNumberFormat="1" applyFont="1" applyFill="1" applyBorder="1" applyAlignment="1">
      <alignment horizontal="right" vertical="center" wrapText="1"/>
    </xf>
    <xf numFmtId="4" fontId="18" fillId="15" borderId="1" xfId="1" applyNumberFormat="1" applyFont="1" applyFill="1" applyBorder="1" applyAlignment="1">
      <alignment horizontal="right" vertical="center" wrapText="1"/>
    </xf>
    <xf numFmtId="164" fontId="15" fillId="15" borderId="1" xfId="1" applyFont="1" applyFill="1" applyBorder="1" applyAlignment="1">
      <alignment horizontal="right" vertical="top" wrapText="1"/>
    </xf>
    <xf numFmtId="4" fontId="18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8" fillId="15" borderId="1" xfId="1" applyNumberFormat="1" applyFont="1" applyFill="1" applyBorder="1" applyAlignment="1">
      <alignment horizontal="right" vertical="top" wrapText="1"/>
    </xf>
    <xf numFmtId="164" fontId="18" fillId="2" borderId="1" xfId="10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64" fontId="18" fillId="10" borderId="1" xfId="1" applyFont="1" applyFill="1" applyBorder="1" applyAlignment="1">
      <alignment horizontal="center" vertical="top" wrapText="1"/>
    </xf>
    <xf numFmtId="164" fontId="18" fillId="2" borderId="1" xfId="1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right" vertical="top" wrapText="1"/>
    </xf>
    <xf numFmtId="164" fontId="25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7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8" fillId="15" borderId="1" xfId="2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6" fillId="15" borderId="1" xfId="2" applyNumberFormat="1" applyFont="1" applyFill="1" applyBorder="1" applyAlignment="1">
      <alignment horizontal="center" vertical="top" wrapText="1"/>
    </xf>
    <xf numFmtId="166" fontId="16" fillId="15" borderId="1" xfId="2" applyNumberFormat="1" applyFont="1" applyFill="1" applyBorder="1" applyAlignment="1">
      <alignment horizontal="center" vertical="top" wrapText="1"/>
    </xf>
    <xf numFmtId="10" fontId="16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8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30" fillId="6" borderId="1" xfId="0" applyFont="1" applyFill="1" applyBorder="1" applyAlignment="1">
      <alignment horizontal="left" vertical="center"/>
    </xf>
    <xf numFmtId="4" fontId="22" fillId="0" borderId="0" xfId="0" applyNumberFormat="1" applyFont="1"/>
    <xf numFmtId="0" fontId="18" fillId="15" borderId="1" xfId="0" applyFont="1" applyFill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43" fontId="8" fillId="0" borderId="0" xfId="0" applyNumberFormat="1" applyFont="1"/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2" borderId="1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8" fillId="2" borderId="1" xfId="0" applyFont="1" applyFill="1" applyBorder="1" applyAlignment="1">
      <alignment horizontal="left" wrapText="1"/>
    </xf>
    <xf numFmtId="49" fontId="18" fillId="0" borderId="1" xfId="0" applyNumberFormat="1" applyFont="1" applyBorder="1" applyAlignment="1">
      <alignment wrapText="1"/>
    </xf>
    <xf numFmtId="4" fontId="18" fillId="0" borderId="1" xfId="0" applyNumberFormat="1" applyFont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0" fontId="8" fillId="0" borderId="0" xfId="0" applyFont="1" applyBorder="1"/>
    <xf numFmtId="0" fontId="45" fillId="0" borderId="0" xfId="0" applyFont="1"/>
    <xf numFmtId="0" fontId="9" fillId="0" borderId="0" xfId="0" applyFont="1" applyBorder="1" applyAlignment="1">
      <alignment horizontal="right"/>
    </xf>
    <xf numFmtId="4" fontId="5" fillId="2" borderId="0" xfId="0" applyNumberFormat="1" applyFont="1" applyFill="1" applyBorder="1"/>
    <xf numFmtId="0" fontId="13" fillId="6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1" fillId="13" borderId="1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0" fillId="0" borderId="0" xfId="0" applyFont="1" applyBorder="1"/>
    <xf numFmtId="0" fontId="47" fillId="0" borderId="0" xfId="0" applyFont="1" applyBorder="1" applyAlignment="1">
      <alignment horizontal="right"/>
    </xf>
    <xf numFmtId="16" fontId="47" fillId="2" borderId="0" xfId="0" applyNumberFormat="1" applyFont="1" applyFill="1" applyBorder="1" applyAlignment="1">
      <alignment horizontal="center" wrapText="1"/>
    </xf>
    <xf numFmtId="0" fontId="48" fillId="0" borderId="0" xfId="0" applyFont="1" applyBorder="1"/>
    <xf numFmtId="0" fontId="47" fillId="0" borderId="0" xfId="0" applyFont="1" applyBorder="1" applyAlignment="1">
      <alignment horizontal="right" wrapText="1"/>
    </xf>
    <xf numFmtId="4" fontId="49" fillId="2" borderId="0" xfId="0" applyNumberFormat="1" applyFont="1" applyFill="1" applyBorder="1"/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 wrapText="1"/>
    </xf>
    <xf numFmtId="164" fontId="51" fillId="0" borderId="0" xfId="1" applyFont="1" applyBorder="1"/>
    <xf numFmtId="4" fontId="51" fillId="2" borderId="0" xfId="0" applyNumberFormat="1" applyFont="1" applyFill="1" applyBorder="1"/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 applyAlignment="1">
      <alignment horizontal="right"/>
    </xf>
    <xf numFmtId="0" fontId="52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164" fontId="10" fillId="0" borderId="0" xfId="1" applyFont="1" applyBorder="1"/>
    <xf numFmtId="0" fontId="46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7,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37.42128971476</c:v>
                </c:pt>
                <c:pt idx="1">
                  <c:v>2212.6900033948405</c:v>
                </c:pt>
                <c:pt idx="2">
                  <c:v>192.65167516949469</c:v>
                </c:pt>
                <c:pt idx="3">
                  <c:v>1809.7410566076073</c:v>
                </c:pt>
                <c:pt idx="4">
                  <c:v>101.18038492677501</c:v>
                </c:pt>
                <c:pt idx="5" formatCode="_-* #,##0.00_-;\-* #,##0.00_-;_-* &quot;-&quot;??_-;_-@_-">
                  <c:v>57.327361079561818</c:v>
                </c:pt>
                <c:pt idx="6">
                  <c:v>6.6635386120999991</c:v>
                </c:pt>
                <c:pt idx="7">
                  <c:v>55.019083815621016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37.398821266276308</c:v>
                </c:pt>
                <c:pt idx="1">
                  <c:v>2332.4516110567911</c:v>
                </c:pt>
                <c:pt idx="2">
                  <c:v>195.44623697335143</c:v>
                </c:pt>
                <c:pt idx="3">
                  <c:v>1822.1533800108662</c:v>
                </c:pt>
                <c:pt idx="4">
                  <c:v>101.22755666606341</c:v>
                </c:pt>
                <c:pt idx="5" formatCode="_-* #,##0.00_-;\-* #,##0.00_-;_-* &quot;-&quot;??_-;_-@_-">
                  <c:v>57.195873585465897</c:v>
                </c:pt>
                <c:pt idx="6">
                  <c:v>6.6478566253700002</c:v>
                </c:pt>
                <c:pt idx="7">
                  <c:v>54.957865523779155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14TH MARCH,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14-Mar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6647856625.3699999</c:v>
                </c:pt>
                <c:pt idx="1">
                  <c:v>37398821266.276306</c:v>
                </c:pt>
                <c:pt idx="2" formatCode="_-* #,##0.00_-;\-* #,##0.00_-;_-* &quot;-&quot;??_-;_-@_-">
                  <c:v>54957865523.779152</c:v>
                </c:pt>
                <c:pt idx="3">
                  <c:v>57195873585.465897</c:v>
                </c:pt>
                <c:pt idx="4">
                  <c:v>101227556666.0634</c:v>
                </c:pt>
                <c:pt idx="5">
                  <c:v>195446236973.35144</c:v>
                </c:pt>
                <c:pt idx="6">
                  <c:v>2332451611056.791</c:v>
                </c:pt>
                <c:pt idx="7">
                  <c:v>1822153380010.8662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45681</c:v>
                </c:pt>
                <c:pt idx="1">
                  <c:v>45688</c:v>
                </c:pt>
                <c:pt idx="2">
                  <c:v>45695</c:v>
                </c:pt>
                <c:pt idx="3">
                  <c:v>45702</c:v>
                </c:pt>
                <c:pt idx="4">
                  <c:v>45709</c:v>
                </c:pt>
                <c:pt idx="5">
                  <c:v>45716</c:v>
                </c:pt>
                <c:pt idx="6">
                  <c:v>45723</c:v>
                </c:pt>
                <c:pt idx="7">
                  <c:v>45730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4119.3897630881565</c:v>
                </c:pt>
                <c:pt idx="1">
                  <c:v>4111.8204981719919</c:v>
                </c:pt>
                <c:pt idx="2">
                  <c:v>4191.3962694654292</c:v>
                </c:pt>
                <c:pt idx="3">
                  <c:v>4269.5517023318498</c:v>
                </c:pt>
                <c:pt idx="4">
                  <c:v>4304.4471471275037</c:v>
                </c:pt>
                <c:pt idx="5">
                  <c:v>4378.8424481915499</c:v>
                </c:pt>
                <c:pt idx="6">
                  <c:v>4472.6943933207594</c:v>
                </c:pt>
                <c:pt idx="7">
                  <c:v>4607.4792017079635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45681</c:v>
                </c:pt>
                <c:pt idx="1">
                  <c:v>45688</c:v>
                </c:pt>
                <c:pt idx="2">
                  <c:v>45695</c:v>
                </c:pt>
                <c:pt idx="3">
                  <c:v>45702</c:v>
                </c:pt>
                <c:pt idx="4">
                  <c:v>45709</c:v>
                </c:pt>
                <c:pt idx="5">
                  <c:v>45716</c:v>
                </c:pt>
                <c:pt idx="6">
                  <c:v>45723</c:v>
                </c:pt>
                <c:pt idx="7">
                  <c:v>45730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12.926648581233682</c:v>
                </c:pt>
                <c:pt idx="1">
                  <c:v>13.139930136069998</c:v>
                </c:pt>
                <c:pt idx="2">
                  <c:v>13.518762702094183</c:v>
                </c:pt>
                <c:pt idx="3">
                  <c:v>13.762029268867213</c:v>
                </c:pt>
                <c:pt idx="4">
                  <c:v>13.757028670379999</c:v>
                </c:pt>
                <c:pt idx="5">
                  <c:v>13.569005930702859</c:v>
                </c:pt>
                <c:pt idx="6">
                  <c:v>13.40889556580691</c:v>
                </c:pt>
                <c:pt idx="7">
                  <c:v>13.225205337489792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0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53" t="s">
        <v>311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5" ht="15" customHeight="1">
      <c r="A2" s="143"/>
      <c r="B2" s="23"/>
      <c r="C2" s="126"/>
      <c r="D2" s="154" t="s">
        <v>304</v>
      </c>
      <c r="E2" s="154"/>
      <c r="F2" s="154"/>
      <c r="G2" s="154"/>
      <c r="H2" s="154"/>
      <c r="I2" s="154"/>
      <c r="J2" s="154"/>
      <c r="K2" s="154" t="s">
        <v>310</v>
      </c>
      <c r="L2" s="154"/>
      <c r="M2" s="154"/>
      <c r="N2" s="154"/>
      <c r="O2" s="154"/>
      <c r="P2" s="154"/>
      <c r="Q2" s="154"/>
      <c r="R2" s="154" t="s">
        <v>0</v>
      </c>
      <c r="S2" s="154"/>
      <c r="T2" s="154"/>
      <c r="U2" s="154" t="s">
        <v>1</v>
      </c>
      <c r="V2" s="154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290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44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5" ht="15" customHeight="1">
      <c r="A5" s="156" t="s">
        <v>17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</row>
    <row r="6" spans="1:25">
      <c r="A6" s="137">
        <v>1</v>
      </c>
      <c r="B6" s="135" t="s">
        <v>18</v>
      </c>
      <c r="C6" s="136" t="s">
        <v>19</v>
      </c>
      <c r="D6" s="29">
        <v>1624148297.1700001</v>
      </c>
      <c r="E6" s="30">
        <f t="shared" ref="E6:E22" si="0">(D6/$D$25)</f>
        <v>4.3401718902525976E-2</v>
      </c>
      <c r="F6" s="31">
        <v>421.28960000000001</v>
      </c>
      <c r="G6" s="31">
        <v>423.74470000000002</v>
      </c>
      <c r="H6" s="32">
        <v>1816</v>
      </c>
      <c r="I6" s="50">
        <v>-1.38E-2</v>
      </c>
      <c r="J6" s="50">
        <v>5.9799999999999999E-2</v>
      </c>
      <c r="K6" s="29">
        <v>1612625735.1099999</v>
      </c>
      <c r="L6" s="30">
        <f t="shared" ref="L6:L22" si="1">(K6/$K$25)</f>
        <v>4.3119694164376117E-2</v>
      </c>
      <c r="M6" s="31">
        <v>418.4264</v>
      </c>
      <c r="N6" s="31">
        <v>421.05840000000001</v>
      </c>
      <c r="O6" s="32">
        <v>1816</v>
      </c>
      <c r="P6" s="50">
        <v>-6.7999999999999996E-3</v>
      </c>
      <c r="Q6" s="50">
        <v>5.2600000000000001E-2</v>
      </c>
      <c r="R6" s="56">
        <f>((K6-D6)/D6)</f>
        <v>-7.0945258386058028E-3</v>
      </c>
      <c r="S6" s="56">
        <f>((N6-G6)/G6)</f>
        <v>-6.3394303220784048E-3</v>
      </c>
      <c r="T6" s="56">
        <f>((O6-H6)/H6)</f>
        <v>0</v>
      </c>
      <c r="U6" s="57">
        <f>P6-I6</f>
        <v>7.0000000000000001E-3</v>
      </c>
      <c r="V6" s="58">
        <f>Q6-J6</f>
        <v>-7.1999999999999981E-3</v>
      </c>
    </row>
    <row r="7" spans="1:25">
      <c r="A7" s="137">
        <v>2</v>
      </c>
      <c r="B7" s="135" t="s">
        <v>20</v>
      </c>
      <c r="C7" s="136" t="s">
        <v>21</v>
      </c>
      <c r="D7" s="33">
        <v>656690102.21000004</v>
      </c>
      <c r="E7" s="30">
        <f t="shared" si="0"/>
        <v>1.7548569469827309E-2</v>
      </c>
      <c r="F7" s="33">
        <v>274.67500000000001</v>
      </c>
      <c r="G7" s="33">
        <v>277.98180000000002</v>
      </c>
      <c r="H7" s="32">
        <v>465</v>
      </c>
      <c r="I7" s="50">
        <v>-1.9469999999999999E-3</v>
      </c>
      <c r="J7" s="50">
        <v>6.6699999999999995E-2</v>
      </c>
      <c r="K7" s="33">
        <v>654525732.14999998</v>
      </c>
      <c r="L7" s="30">
        <f t="shared" si="1"/>
        <v>1.7501239610998285E-2</v>
      </c>
      <c r="M7" s="33">
        <v>273.7645</v>
      </c>
      <c r="N7" s="33">
        <v>277.06549999999999</v>
      </c>
      <c r="O7" s="32">
        <v>465</v>
      </c>
      <c r="P7" s="50">
        <v>-4.156E-3</v>
      </c>
      <c r="Q7" s="50">
        <v>6.3100000000000003E-2</v>
      </c>
      <c r="R7" s="56">
        <f t="shared" ref="R7:R25" si="2">((K7-D7)/D7)</f>
        <v>-3.2958773898314787E-3</v>
      </c>
      <c r="S7" s="56">
        <f t="shared" ref="S7:S25" si="3">((N7-G7)/G7)</f>
        <v>-3.2962589637164559E-3</v>
      </c>
      <c r="T7" s="56">
        <f t="shared" ref="T7:T25" si="4">((O7-H7)/H7)</f>
        <v>0</v>
      </c>
      <c r="U7" s="57">
        <f t="shared" ref="U7:U25" si="5">P7-I7</f>
        <v>-2.209E-3</v>
      </c>
      <c r="V7" s="58">
        <f t="shared" ref="V7:V25" si="6">Q7-J7</f>
        <v>-3.5999999999999921E-3</v>
      </c>
    </row>
    <row r="8" spans="1:25">
      <c r="A8" s="137">
        <v>3</v>
      </c>
      <c r="B8" s="135" t="s">
        <v>22</v>
      </c>
      <c r="C8" s="136" t="s">
        <v>23</v>
      </c>
      <c r="D8" s="33">
        <v>3998013473.02</v>
      </c>
      <c r="E8" s="30">
        <f t="shared" si="0"/>
        <v>0.10683793913824065</v>
      </c>
      <c r="F8" s="33">
        <v>36.542200000000001</v>
      </c>
      <c r="G8" s="33">
        <v>37.643900000000002</v>
      </c>
      <c r="H8" s="34">
        <v>6653</v>
      </c>
      <c r="I8" s="51">
        <v>-0.59150000000000003</v>
      </c>
      <c r="J8" s="51">
        <v>0.1696</v>
      </c>
      <c r="K8" s="33">
        <v>4006471765.1199999</v>
      </c>
      <c r="L8" s="30">
        <f t="shared" si="1"/>
        <v>0.10712828986224658</v>
      </c>
      <c r="M8" s="33">
        <v>36.379300000000001</v>
      </c>
      <c r="N8" s="33">
        <v>37.476199999999999</v>
      </c>
      <c r="O8" s="34">
        <v>6661</v>
      </c>
      <c r="P8" s="51">
        <v>-0.23230000000000001</v>
      </c>
      <c r="Q8" s="51">
        <v>0.1303</v>
      </c>
      <c r="R8" s="56">
        <f t="shared" si="2"/>
        <v>2.1156237108952815E-3</v>
      </c>
      <c r="S8" s="56">
        <f t="shared" si="3"/>
        <v>-4.4549050443764724E-3</v>
      </c>
      <c r="T8" s="56">
        <f t="shared" si="4"/>
        <v>1.2024650533593868E-3</v>
      </c>
      <c r="U8" s="57">
        <f t="shared" si="5"/>
        <v>0.35920000000000002</v>
      </c>
      <c r="V8" s="58">
        <f t="shared" si="6"/>
        <v>-3.9300000000000002E-2</v>
      </c>
      <c r="X8" s="59"/>
      <c r="Y8" s="59"/>
    </row>
    <row r="9" spans="1:25">
      <c r="A9" s="137">
        <v>4</v>
      </c>
      <c r="B9" s="135" t="s">
        <v>24</v>
      </c>
      <c r="C9" s="136" t="s">
        <v>25</v>
      </c>
      <c r="D9" s="33">
        <v>582162989</v>
      </c>
      <c r="E9" s="30">
        <f t="shared" si="0"/>
        <v>1.5556999596686232E-2</v>
      </c>
      <c r="F9" s="33">
        <v>224.32579999999999</v>
      </c>
      <c r="G9" s="33">
        <v>224.32579999999999</v>
      </c>
      <c r="H9" s="32">
        <v>1920</v>
      </c>
      <c r="I9" s="50">
        <v>-1.6199999999999999E-2</v>
      </c>
      <c r="J9" s="50">
        <v>2.4500000000000001E-2</v>
      </c>
      <c r="K9" s="33">
        <v>597473006.52999997</v>
      </c>
      <c r="L9" s="30">
        <f t="shared" si="1"/>
        <v>1.5975717584146433E-2</v>
      </c>
      <c r="M9" s="33">
        <v>223.74199999999999</v>
      </c>
      <c r="N9" s="33">
        <v>223.74199999999999</v>
      </c>
      <c r="O9" s="32">
        <v>1925</v>
      </c>
      <c r="P9" s="50">
        <v>-2.5999999999999999E-3</v>
      </c>
      <c r="Q9" s="50">
        <v>2.18E-2</v>
      </c>
      <c r="R9" s="56">
        <f t="shared" si="2"/>
        <v>2.6298507152264141E-2</v>
      </c>
      <c r="S9" s="56">
        <f t="shared" si="3"/>
        <v>-2.602464807882092E-3</v>
      </c>
      <c r="T9" s="56">
        <f t="shared" si="4"/>
        <v>2.6041666666666665E-3</v>
      </c>
      <c r="U9" s="57">
        <f t="shared" si="5"/>
        <v>1.3599999999999999E-2</v>
      </c>
      <c r="V9" s="58">
        <f t="shared" si="6"/>
        <v>-2.700000000000001E-3</v>
      </c>
    </row>
    <row r="10" spans="1:25">
      <c r="A10" s="137">
        <v>5</v>
      </c>
      <c r="B10" s="135" t="s">
        <v>26</v>
      </c>
      <c r="C10" s="136" t="s">
        <v>27</v>
      </c>
      <c r="D10" s="33">
        <v>1002531522.1</v>
      </c>
      <c r="E10" s="30">
        <f t="shared" si="0"/>
        <v>2.6790405401355626E-2</v>
      </c>
      <c r="F10" s="33">
        <v>1.3277000000000001</v>
      </c>
      <c r="G10" s="33">
        <v>1.3455999999999999</v>
      </c>
      <c r="H10" s="32">
        <v>501</v>
      </c>
      <c r="I10" s="50">
        <v>-1.9699999999999999E-2</v>
      </c>
      <c r="J10" s="50">
        <v>7.22E-2</v>
      </c>
      <c r="K10" s="33">
        <v>1001851935.46</v>
      </c>
      <c r="L10" s="30">
        <f t="shared" si="1"/>
        <v>2.678832919163154E-2</v>
      </c>
      <c r="M10" s="33">
        <v>1.3260000000000001</v>
      </c>
      <c r="N10" s="33">
        <v>1.3439000000000001</v>
      </c>
      <c r="O10" s="32">
        <v>502</v>
      </c>
      <c r="P10" s="50">
        <v>-1.2999999999999999E-3</v>
      </c>
      <c r="Q10" s="50">
        <v>7.0900000000000005E-2</v>
      </c>
      <c r="R10" s="56">
        <f t="shared" si="2"/>
        <v>-6.778705956062682E-4</v>
      </c>
      <c r="S10" s="56">
        <f t="shared" si="3"/>
        <v>-1.2633769322234042E-3</v>
      </c>
      <c r="T10" s="56">
        <f t="shared" si="4"/>
        <v>1.996007984031936E-3</v>
      </c>
      <c r="U10" s="57">
        <f t="shared" si="5"/>
        <v>1.84E-2</v>
      </c>
      <c r="V10" s="58">
        <f t="shared" si="6"/>
        <v>-1.2999999999999956E-3</v>
      </c>
    </row>
    <row r="11" spans="1:25">
      <c r="A11" s="137">
        <v>6</v>
      </c>
      <c r="B11" s="135" t="s">
        <v>28</v>
      </c>
      <c r="C11" s="136" t="s">
        <v>29</v>
      </c>
      <c r="D11" s="35">
        <v>102683655.54000001</v>
      </c>
      <c r="E11" s="30">
        <f t="shared" si="0"/>
        <v>2.7439902879536167E-3</v>
      </c>
      <c r="F11" s="33">
        <v>181.27420000000001</v>
      </c>
      <c r="G11" s="33">
        <v>182.18539999999999</v>
      </c>
      <c r="H11" s="34">
        <v>68</v>
      </c>
      <c r="I11" s="51">
        <v>2.3359999999999999E-2</v>
      </c>
      <c r="J11" s="51">
        <v>5.4699999999999999E-2</v>
      </c>
      <c r="K11" s="35">
        <v>101329770.42</v>
      </c>
      <c r="L11" s="30">
        <f t="shared" si="1"/>
        <v>2.709437543460019E-3</v>
      </c>
      <c r="M11" s="33">
        <v>180.8313</v>
      </c>
      <c r="N11" s="33">
        <v>181.74770000000001</v>
      </c>
      <c r="O11" s="34">
        <v>68</v>
      </c>
      <c r="P11" s="51">
        <v>-3.967E-3</v>
      </c>
      <c r="Q11" s="51">
        <v>5.21E-2</v>
      </c>
      <c r="R11" s="56">
        <f t="shared" si="2"/>
        <v>-1.3185010923891429E-2</v>
      </c>
      <c r="S11" s="56">
        <f t="shared" si="3"/>
        <v>-2.4024976754447847E-3</v>
      </c>
      <c r="T11" s="56">
        <f t="shared" si="4"/>
        <v>0</v>
      </c>
      <c r="U11" s="57">
        <f t="shared" si="5"/>
        <v>-2.7326999999999997E-2</v>
      </c>
      <c r="V11" s="58">
        <f t="shared" si="6"/>
        <v>-2.5999999999999981E-3</v>
      </c>
    </row>
    <row r="12" spans="1:25">
      <c r="A12" s="137">
        <v>7</v>
      </c>
      <c r="B12" s="135" t="s">
        <v>30</v>
      </c>
      <c r="C12" s="136" t="s">
        <v>31</v>
      </c>
      <c r="D12" s="33">
        <v>1503929848.0799999</v>
      </c>
      <c r="E12" s="30">
        <f t="shared" si="0"/>
        <v>4.0189150602332337E-2</v>
      </c>
      <c r="F12" s="33">
        <v>353.28</v>
      </c>
      <c r="G12" s="33">
        <v>357.24</v>
      </c>
      <c r="H12" s="34">
        <v>1671</v>
      </c>
      <c r="I12" s="51">
        <v>-2.1299999999999999E-2</v>
      </c>
      <c r="J12" s="51">
        <v>9.0999999999999998E-2</v>
      </c>
      <c r="K12" s="33">
        <v>1449579423.51</v>
      </c>
      <c r="L12" s="30">
        <f t="shared" si="1"/>
        <v>3.8760029712945294E-2</v>
      </c>
      <c r="M12" s="33">
        <v>352.18</v>
      </c>
      <c r="N12" s="33">
        <v>356.65</v>
      </c>
      <c r="O12" s="34">
        <v>1672</v>
      </c>
      <c r="P12" s="51">
        <v>-2.3999999999999998E-3</v>
      </c>
      <c r="Q12" s="51">
        <v>8.7599999999999997E-2</v>
      </c>
      <c r="R12" s="56">
        <f t="shared" si="2"/>
        <v>-3.6138936027758674E-2</v>
      </c>
      <c r="S12" s="56">
        <f t="shared" si="3"/>
        <v>-1.6515507781884218E-3</v>
      </c>
      <c r="T12" s="56">
        <f t="shared" si="4"/>
        <v>5.9844404548174744E-4</v>
      </c>
      <c r="U12" s="57">
        <f t="shared" si="5"/>
        <v>1.89E-2</v>
      </c>
      <c r="V12" s="58">
        <f t="shared" si="6"/>
        <v>-3.4000000000000002E-3</v>
      </c>
    </row>
    <row r="13" spans="1:25">
      <c r="A13" s="137">
        <v>8</v>
      </c>
      <c r="B13" s="135" t="s">
        <v>32</v>
      </c>
      <c r="C13" s="136" t="s">
        <v>33</v>
      </c>
      <c r="D13" s="29">
        <v>436596565.86000001</v>
      </c>
      <c r="E13" s="30">
        <f t="shared" si="0"/>
        <v>1.1667063566967178E-2</v>
      </c>
      <c r="F13" s="33">
        <v>218.76</v>
      </c>
      <c r="G13" s="33">
        <v>228.33</v>
      </c>
      <c r="H13" s="32">
        <v>2468</v>
      </c>
      <c r="I13" s="50">
        <v>-5.0067E-2</v>
      </c>
      <c r="J13" s="50">
        <v>0.74019000000000001</v>
      </c>
      <c r="K13" s="29">
        <v>431466435.54000002</v>
      </c>
      <c r="L13" s="30">
        <f t="shared" si="1"/>
        <v>1.1536899317440973E-2</v>
      </c>
      <c r="M13" s="33">
        <v>216.29</v>
      </c>
      <c r="N13" s="33">
        <v>225.66</v>
      </c>
      <c r="O13" s="32">
        <v>2468</v>
      </c>
      <c r="P13" s="50">
        <v>-1.1299999999999999E-2</v>
      </c>
      <c r="Q13" s="50">
        <v>0.72053999999999996</v>
      </c>
      <c r="R13" s="56">
        <f t="shared" si="2"/>
        <v>-1.1750276390504253E-2</v>
      </c>
      <c r="S13" s="56">
        <f t="shared" si="3"/>
        <v>-1.1693601366443375E-2</v>
      </c>
      <c r="T13" s="56">
        <f t="shared" si="4"/>
        <v>0</v>
      </c>
      <c r="U13" s="57">
        <f t="shared" si="5"/>
        <v>3.8767000000000003E-2</v>
      </c>
      <c r="V13" s="58">
        <f t="shared" si="6"/>
        <v>-1.9650000000000056E-2</v>
      </c>
    </row>
    <row r="14" spans="1:25">
      <c r="A14" s="137">
        <v>9</v>
      </c>
      <c r="B14" s="135" t="s">
        <v>34</v>
      </c>
      <c r="C14" s="136" t="s">
        <v>35</v>
      </c>
      <c r="D14" s="35">
        <v>65244534.890000001</v>
      </c>
      <c r="E14" s="30">
        <f t="shared" si="0"/>
        <v>1.7435137962192077E-3</v>
      </c>
      <c r="F14" s="33">
        <v>229.54</v>
      </c>
      <c r="G14" s="33">
        <v>236.87</v>
      </c>
      <c r="H14" s="32">
        <v>18</v>
      </c>
      <c r="I14" s="50">
        <v>-2.81E-2</v>
      </c>
      <c r="J14" s="50">
        <v>3.9100000000000003E-2</v>
      </c>
      <c r="K14" s="35">
        <v>64863850.986299999</v>
      </c>
      <c r="L14" s="30">
        <f t="shared" si="1"/>
        <v>1.7343822289070318E-3</v>
      </c>
      <c r="M14" s="33">
        <v>227.20650000000001</v>
      </c>
      <c r="N14" s="33">
        <v>234.40270000000001</v>
      </c>
      <c r="O14" s="32">
        <v>18</v>
      </c>
      <c r="P14" s="50">
        <v>-1.03E-2</v>
      </c>
      <c r="Q14" s="50">
        <v>2.8400000000000002E-2</v>
      </c>
      <c r="R14" s="56">
        <f t="shared" si="2"/>
        <v>-5.8347247680103978E-3</v>
      </c>
      <c r="S14" s="56">
        <f t="shared" si="3"/>
        <v>-1.041626208468778E-2</v>
      </c>
      <c r="T14" s="56">
        <f t="shared" si="4"/>
        <v>0</v>
      </c>
      <c r="U14" s="57">
        <f t="shared" si="5"/>
        <v>1.78E-2</v>
      </c>
      <c r="V14" s="58">
        <f t="shared" si="6"/>
        <v>-1.0700000000000001E-2</v>
      </c>
    </row>
    <row r="15" spans="1:25" ht="14.25" customHeight="1">
      <c r="A15" s="137">
        <v>10</v>
      </c>
      <c r="B15" s="135" t="s">
        <v>36</v>
      </c>
      <c r="C15" s="136" t="s">
        <v>37</v>
      </c>
      <c r="D15" s="29">
        <v>746989531.10000002</v>
      </c>
      <c r="E15" s="30">
        <f t="shared" si="0"/>
        <v>1.996161908886231E-2</v>
      </c>
      <c r="F15" s="33">
        <v>2.5324740000000001</v>
      </c>
      <c r="G15" s="33">
        <v>2.5558329999999998</v>
      </c>
      <c r="H15" s="32">
        <v>478</v>
      </c>
      <c r="I15" s="50">
        <v>-5.4962359658663473E-3</v>
      </c>
      <c r="J15" s="50">
        <v>0.209010310469397</v>
      </c>
      <c r="K15" s="29">
        <v>743298641.69000006</v>
      </c>
      <c r="L15" s="30">
        <f t="shared" si="1"/>
        <v>1.9874921629154548E-2</v>
      </c>
      <c r="M15" s="33">
        <v>2.51858</v>
      </c>
      <c r="N15" s="33">
        <v>2.5432350000000001</v>
      </c>
      <c r="O15" s="32">
        <v>479</v>
      </c>
      <c r="P15" s="50">
        <v>-5.4863347066939072E-3</v>
      </c>
      <c r="Q15" s="50">
        <v>0.20237727524231786</v>
      </c>
      <c r="R15" s="56">
        <f t="shared" si="2"/>
        <v>-4.9410189250776318E-3</v>
      </c>
      <c r="S15" s="56">
        <f t="shared" si="3"/>
        <v>-4.9291170432495656E-3</v>
      </c>
      <c r="T15" s="56">
        <f t="shared" si="4"/>
        <v>2.0920502092050207E-3</v>
      </c>
      <c r="U15" s="57">
        <f t="shared" si="5"/>
        <v>9.9012591724401133E-6</v>
      </c>
      <c r="V15" s="58">
        <f t="shared" si="6"/>
        <v>-6.6330352270791426E-3</v>
      </c>
    </row>
    <row r="16" spans="1:25" ht="14.25" customHeight="1">
      <c r="A16" s="137">
        <v>11</v>
      </c>
      <c r="B16" s="135" t="s">
        <v>38</v>
      </c>
      <c r="C16" s="136" t="s">
        <v>39</v>
      </c>
      <c r="D16" s="29">
        <v>18199533.079999998</v>
      </c>
      <c r="E16" s="30">
        <f t="shared" si="0"/>
        <v>4.8634168460585134E-4</v>
      </c>
      <c r="F16" s="33">
        <v>15.33</v>
      </c>
      <c r="G16" s="33">
        <v>16.25</v>
      </c>
      <c r="H16" s="32">
        <v>28</v>
      </c>
      <c r="I16" s="50">
        <v>2.0000000000000001E-4</v>
      </c>
      <c r="J16" s="50">
        <v>5.5999999999999999E-3</v>
      </c>
      <c r="K16" s="29">
        <v>38138560.560000002</v>
      </c>
      <c r="L16" s="30">
        <f t="shared" si="1"/>
        <v>1.0197797488978816E-3</v>
      </c>
      <c r="M16" s="33">
        <v>15.77</v>
      </c>
      <c r="N16" s="33">
        <v>16.23</v>
      </c>
      <c r="O16" s="32">
        <v>29</v>
      </c>
      <c r="P16" s="50">
        <v>2.0000000000000002E-5</v>
      </c>
      <c r="Q16" s="50">
        <v>4.4999999999999997E-3</v>
      </c>
      <c r="R16" s="56">
        <f t="shared" ref="R16" si="7">((K16-D16)/D16)</f>
        <v>1.0955790674603398</v>
      </c>
      <c r="S16" s="56">
        <f t="shared" ref="S16" si="8">((N16-G16)/G16)</f>
        <v>-1.2307692307692046E-3</v>
      </c>
      <c r="T16" s="56">
        <f t="shared" ref="T16" si="9">((O16-H16)/H16)</f>
        <v>3.5714285714285712E-2</v>
      </c>
      <c r="U16" s="57">
        <f t="shared" ref="U16" si="10">P16-I16</f>
        <v>-1.8000000000000001E-4</v>
      </c>
      <c r="V16" s="58">
        <f t="shared" ref="V16" si="11">Q16-J16</f>
        <v>-1.1000000000000003E-3</v>
      </c>
    </row>
    <row r="17" spans="1:22">
      <c r="A17" s="137">
        <v>12</v>
      </c>
      <c r="B17" s="135" t="s">
        <v>40</v>
      </c>
      <c r="C17" s="136" t="s">
        <v>41</v>
      </c>
      <c r="D17" s="129">
        <v>1893482480.26</v>
      </c>
      <c r="E17" s="30">
        <f t="shared" si="0"/>
        <v>5.0599070601063695E-2</v>
      </c>
      <c r="F17" s="33">
        <v>3.86</v>
      </c>
      <c r="G17" s="33">
        <v>3.94</v>
      </c>
      <c r="H17" s="32">
        <v>3650</v>
      </c>
      <c r="I17" s="50">
        <v>-1.8200000000000001E-2</v>
      </c>
      <c r="J17" s="50">
        <v>0.06</v>
      </c>
      <c r="K17" s="129">
        <v>1874722554.98</v>
      </c>
      <c r="L17" s="30">
        <f t="shared" si="1"/>
        <v>5.0127851400239086E-2</v>
      </c>
      <c r="M17" s="33">
        <v>3.82</v>
      </c>
      <c r="N17" s="33">
        <v>3.9</v>
      </c>
      <c r="O17" s="32">
        <v>3650</v>
      </c>
      <c r="P17" s="50">
        <v>-2.0500000000000001E-2</v>
      </c>
      <c r="Q17" s="50">
        <v>4.9500000000000002E-2</v>
      </c>
      <c r="R17" s="56">
        <f t="shared" si="2"/>
        <v>-9.9076307679509066E-3</v>
      </c>
      <c r="S17" s="56">
        <f t="shared" si="3"/>
        <v>-1.01522842639594E-2</v>
      </c>
      <c r="T17" s="56">
        <f t="shared" si="4"/>
        <v>0</v>
      </c>
      <c r="U17" s="57">
        <f t="shared" si="5"/>
        <v>-2.3E-3</v>
      </c>
      <c r="V17" s="58">
        <f t="shared" si="6"/>
        <v>-1.0499999999999995E-2</v>
      </c>
    </row>
    <row r="18" spans="1:22">
      <c r="A18" s="137">
        <v>13</v>
      </c>
      <c r="B18" s="135" t="s">
        <v>42</v>
      </c>
      <c r="C18" s="136" t="s">
        <v>43</v>
      </c>
      <c r="D18" s="33">
        <v>978516284.88999999</v>
      </c>
      <c r="E18" s="30">
        <f t="shared" si="0"/>
        <v>2.6148652073422415E-2</v>
      </c>
      <c r="F18" s="33">
        <v>25.744983000000001</v>
      </c>
      <c r="G18" s="33">
        <v>25.867820999999999</v>
      </c>
      <c r="H18" s="32">
        <v>431</v>
      </c>
      <c r="I18" s="50">
        <v>-2.8661136866773074E-2</v>
      </c>
      <c r="J18" s="50">
        <v>5.9795954256632422E-2</v>
      </c>
      <c r="K18" s="33">
        <v>976047152.50999999</v>
      </c>
      <c r="L18" s="30">
        <f t="shared" si="1"/>
        <v>2.6098339986723923E-2</v>
      </c>
      <c r="M18" s="33">
        <v>25.671651000000001</v>
      </c>
      <c r="N18" s="33">
        <v>25.786995999999998</v>
      </c>
      <c r="O18" s="32">
        <v>460</v>
      </c>
      <c r="P18" s="50">
        <v>-2.8483996279974333E-3</v>
      </c>
      <c r="Q18" s="50">
        <v>5.6777231854774568E-2</v>
      </c>
      <c r="R18" s="56">
        <f t="shared" si="2"/>
        <v>-2.5233431656965862E-3</v>
      </c>
      <c r="S18" s="56">
        <f t="shared" si="3"/>
        <v>-3.124538398499078E-3</v>
      </c>
      <c r="T18" s="56">
        <f t="shared" si="4"/>
        <v>6.7285382830626447E-2</v>
      </c>
      <c r="U18" s="57">
        <f t="shared" si="5"/>
        <v>2.581273723877564E-2</v>
      </c>
      <c r="V18" s="58">
        <f t="shared" si="6"/>
        <v>-3.018722401857854E-3</v>
      </c>
    </row>
    <row r="19" spans="1:22">
      <c r="A19" s="137">
        <v>14</v>
      </c>
      <c r="B19" s="135" t="s">
        <v>44</v>
      </c>
      <c r="C19" s="136" t="s">
        <v>45</v>
      </c>
      <c r="D19" s="33">
        <v>135141615.33000001</v>
      </c>
      <c r="E19" s="30">
        <f t="shared" si="0"/>
        <v>3.6113564326644889E-3</v>
      </c>
      <c r="F19" s="33">
        <v>1.4521729999999999</v>
      </c>
      <c r="G19" s="33">
        <v>1.5084379999999999</v>
      </c>
      <c r="H19" s="32">
        <v>23</v>
      </c>
      <c r="I19" s="50">
        <v>1.6000000000000001E-3</v>
      </c>
      <c r="J19" s="50">
        <v>4.3700000000000003E-2</v>
      </c>
      <c r="K19" s="33">
        <v>135139862.93000001</v>
      </c>
      <c r="L19" s="30">
        <f t="shared" si="1"/>
        <v>3.6134792048074485E-3</v>
      </c>
      <c r="M19" s="33">
        <v>1.4521539999999999</v>
      </c>
      <c r="N19" s="33">
        <v>1.509072</v>
      </c>
      <c r="O19" s="32">
        <v>23</v>
      </c>
      <c r="P19" s="50">
        <v>1E-4</v>
      </c>
      <c r="Q19" s="50">
        <v>4.2299999999999997E-2</v>
      </c>
      <c r="R19" s="56">
        <f t="shared" si="2"/>
        <v>-1.2967138181135431E-5</v>
      </c>
      <c r="S19" s="56">
        <f t="shared" si="3"/>
        <v>4.2030232598225676E-4</v>
      </c>
      <c r="T19" s="56">
        <f t="shared" si="4"/>
        <v>0</v>
      </c>
      <c r="U19" s="57">
        <f t="shared" si="5"/>
        <v>-1.5E-3</v>
      </c>
      <c r="V19" s="58">
        <f t="shared" si="6"/>
        <v>-1.4000000000000054E-3</v>
      </c>
    </row>
    <row r="20" spans="1:22">
      <c r="A20" s="137">
        <v>15</v>
      </c>
      <c r="B20" s="135" t="s">
        <v>46</v>
      </c>
      <c r="C20" s="136" t="s">
        <v>47</v>
      </c>
      <c r="D20" s="29">
        <v>2515296928.6100001</v>
      </c>
      <c r="E20" s="30">
        <f t="shared" si="0"/>
        <v>6.7215666477093566E-2</v>
      </c>
      <c r="F20" s="33">
        <v>33.25</v>
      </c>
      <c r="G20" s="33">
        <v>33.42</v>
      </c>
      <c r="H20" s="32">
        <v>8944</v>
      </c>
      <c r="I20" s="50">
        <v>-1.8499999999999999E-2</v>
      </c>
      <c r="J20" s="50">
        <v>6.0400000000000002E-2</v>
      </c>
      <c r="K20" s="29">
        <v>2526332272.8600001</v>
      </c>
      <c r="L20" s="30">
        <f t="shared" si="1"/>
        <v>6.7551120257848166E-2</v>
      </c>
      <c r="M20" s="33">
        <v>33.340000000000003</v>
      </c>
      <c r="N20" s="33">
        <v>33.53</v>
      </c>
      <c r="O20" s="32">
        <v>8944</v>
      </c>
      <c r="P20" s="50">
        <v>2.7000000000000001E-3</v>
      </c>
      <c r="Q20" s="50">
        <v>5.9200000000000003E-2</v>
      </c>
      <c r="R20" s="56">
        <f t="shared" si="2"/>
        <v>4.3872928577455613E-3</v>
      </c>
      <c r="S20" s="56">
        <f t="shared" si="3"/>
        <v>3.2914422501495936E-3</v>
      </c>
      <c r="T20" s="56">
        <f t="shared" si="4"/>
        <v>0</v>
      </c>
      <c r="U20" s="57">
        <f t="shared" si="5"/>
        <v>2.12E-2</v>
      </c>
      <c r="V20" s="58">
        <f t="shared" si="6"/>
        <v>-1.1999999999999997E-3</v>
      </c>
    </row>
    <row r="21" spans="1:22" ht="12.75" customHeight="1">
      <c r="A21" s="137">
        <v>16</v>
      </c>
      <c r="B21" s="135" t="s">
        <v>48</v>
      </c>
      <c r="C21" s="136" t="s">
        <v>49</v>
      </c>
      <c r="D21" s="33">
        <v>872522623.86000001</v>
      </c>
      <c r="E21" s="30">
        <f t="shared" si="0"/>
        <v>2.3316209315892518E-2</v>
      </c>
      <c r="F21" s="33">
        <v>8630.36</v>
      </c>
      <c r="G21" s="33">
        <v>8746.76</v>
      </c>
      <c r="H21" s="32">
        <v>22</v>
      </c>
      <c r="I21" s="50">
        <v>-2.8299999999999999E-2</v>
      </c>
      <c r="J21" s="50">
        <v>7.8399999999999997E-2</v>
      </c>
      <c r="K21" s="33">
        <v>869013590.99000001</v>
      </c>
      <c r="L21" s="30">
        <f t="shared" si="1"/>
        <v>2.323638985311061E-2</v>
      </c>
      <c r="M21" s="33">
        <v>8598.6</v>
      </c>
      <c r="N21" s="33">
        <v>8714.3700000000008</v>
      </c>
      <c r="O21" s="32">
        <v>21</v>
      </c>
      <c r="P21" s="50">
        <v>-3.7000000000000002E-3</v>
      </c>
      <c r="Q21" s="50">
        <v>7.4399999999999994E-2</v>
      </c>
      <c r="R21" s="56">
        <f t="shared" si="2"/>
        <v>-4.0217098950124696E-3</v>
      </c>
      <c r="S21" s="56">
        <f t="shared" si="3"/>
        <v>-3.7030854853682296E-3</v>
      </c>
      <c r="T21" s="56">
        <f t="shared" si="4"/>
        <v>-4.5454545454545456E-2</v>
      </c>
      <c r="U21" s="57">
        <f t="shared" si="5"/>
        <v>2.4599999999999997E-2</v>
      </c>
      <c r="V21" s="58">
        <f t="shared" si="6"/>
        <v>-4.0000000000000036E-3</v>
      </c>
    </row>
    <row r="22" spans="1:22">
      <c r="A22" s="137">
        <v>17</v>
      </c>
      <c r="B22" s="135" t="s">
        <v>50</v>
      </c>
      <c r="C22" s="136" t="s">
        <v>49</v>
      </c>
      <c r="D22" s="33">
        <v>14128311177.690001</v>
      </c>
      <c r="E22" s="30">
        <f t="shared" si="0"/>
        <v>0.37754741446330747</v>
      </c>
      <c r="F22" s="33">
        <v>27014.49</v>
      </c>
      <c r="G22" s="33">
        <v>27402.29</v>
      </c>
      <c r="H22" s="32">
        <v>17594</v>
      </c>
      <c r="I22" s="50">
        <v>-2.8799999999999999E-2</v>
      </c>
      <c r="J22" s="50">
        <v>6.6199999999999995E-2</v>
      </c>
      <c r="K22" s="33">
        <v>14117024991.24</v>
      </c>
      <c r="L22" s="30">
        <f t="shared" si="1"/>
        <v>0.37747245804160584</v>
      </c>
      <c r="M22" s="33">
        <v>27015.4</v>
      </c>
      <c r="N22" s="33">
        <v>27403.51</v>
      </c>
      <c r="O22" s="32">
        <v>17605</v>
      </c>
      <c r="P22" s="50">
        <v>0</v>
      </c>
      <c r="Q22" s="50">
        <v>6.6199999999999995E-2</v>
      </c>
      <c r="R22" s="56">
        <f t="shared" si="2"/>
        <v>-7.988347869788405E-4</v>
      </c>
      <c r="S22" s="56">
        <f t="shared" si="3"/>
        <v>4.4521826460398974E-5</v>
      </c>
      <c r="T22" s="56">
        <f t="shared" si="4"/>
        <v>6.2521314084346938E-4</v>
      </c>
      <c r="U22" s="57">
        <f t="shared" si="5"/>
        <v>2.8799999999999999E-2</v>
      </c>
      <c r="V22" s="58">
        <f t="shared" si="6"/>
        <v>0</v>
      </c>
    </row>
    <row r="23" spans="1:22">
      <c r="A23" s="137">
        <v>18</v>
      </c>
      <c r="B23" s="136" t="s">
        <v>51</v>
      </c>
      <c r="C23" s="136" t="s">
        <v>52</v>
      </c>
      <c r="D23" s="33">
        <v>4110005427.4499998</v>
      </c>
      <c r="E23" s="30">
        <f t="shared" ref="E23" si="12">(D23/$D$25)</f>
        <v>0.10983067282763637</v>
      </c>
      <c r="F23" s="33">
        <v>1.6129</v>
      </c>
      <c r="G23" s="31">
        <v>1.6289</v>
      </c>
      <c r="H23" s="32">
        <v>4738</v>
      </c>
      <c r="I23" s="50">
        <v>-2.0899999999999998E-2</v>
      </c>
      <c r="J23" s="50">
        <v>8.1199999999999994E-2</v>
      </c>
      <c r="K23" s="33">
        <v>4150610559.8200002</v>
      </c>
      <c r="L23" s="30">
        <f t="shared" ref="L23" si="13">(K23/$K$25)</f>
        <v>0.11098238979961479</v>
      </c>
      <c r="M23" s="33">
        <v>1.6205000000000001</v>
      </c>
      <c r="N23" s="31">
        <v>1.6366000000000001</v>
      </c>
      <c r="O23" s="32">
        <v>4751</v>
      </c>
      <c r="P23" s="50">
        <v>4.7000000000000002E-3</v>
      </c>
      <c r="Q23" s="50">
        <v>8.6300000000000002E-2</v>
      </c>
      <c r="R23" s="56">
        <f t="shared" ref="R23" si="14">((K23-D23)/D23)</f>
        <v>9.8795812041526411E-3</v>
      </c>
      <c r="S23" s="56">
        <f t="shared" ref="S23" si="15">((N23-G23)/G23)</f>
        <v>4.7271164589600592E-3</v>
      </c>
      <c r="T23" s="56">
        <f t="shared" ref="T23" si="16">((O23-H23)/H23)</f>
        <v>2.7437737441958631E-3</v>
      </c>
      <c r="U23" s="57">
        <f t="shared" ref="U23" si="17">P23-I23</f>
        <v>2.5599999999999998E-2</v>
      </c>
      <c r="V23" s="58">
        <f t="shared" ref="V23" si="18">Q23-J23</f>
        <v>5.1000000000000073E-3</v>
      </c>
    </row>
    <row r="24" spans="1:22">
      <c r="A24" s="137">
        <v>19</v>
      </c>
      <c r="B24" s="136" t="s">
        <v>298</v>
      </c>
      <c r="C24" s="136" t="s">
        <v>299</v>
      </c>
      <c r="D24" s="33">
        <v>2050823124.6199999</v>
      </c>
      <c r="E24" s="30">
        <f>(D24/$D$25)</f>
        <v>5.480364627334311E-2</v>
      </c>
      <c r="F24" s="33">
        <v>126.32</v>
      </c>
      <c r="G24" s="31">
        <v>130.80000000000001</v>
      </c>
      <c r="H24" s="32">
        <v>34</v>
      </c>
      <c r="I24" s="50">
        <v>-1.3100000000000001E-2</v>
      </c>
      <c r="J24" s="50">
        <v>4.9799999999999997E-2</v>
      </c>
      <c r="K24" s="33">
        <v>2048305423.8699999</v>
      </c>
      <c r="L24" s="30">
        <f>(K24/$K$25)</f>
        <v>5.4769250861845246E-2</v>
      </c>
      <c r="M24" s="33">
        <v>125.85</v>
      </c>
      <c r="N24" s="31">
        <v>130.31</v>
      </c>
      <c r="O24" s="32">
        <v>34</v>
      </c>
      <c r="P24" s="50">
        <v>-7.4999999999999997E-3</v>
      </c>
      <c r="Q24" s="50">
        <v>4.5900000000000003E-2</v>
      </c>
      <c r="R24" s="56">
        <f t="shared" si="2"/>
        <v>-1.2276537746113568E-3</v>
      </c>
      <c r="S24" s="56">
        <f t="shared" si="3"/>
        <v>-3.7461773700306501E-3</v>
      </c>
      <c r="T24" s="56">
        <f t="shared" si="4"/>
        <v>0</v>
      </c>
      <c r="U24" s="57">
        <f t="shared" si="5"/>
        <v>5.6000000000000008E-3</v>
      </c>
      <c r="V24" s="58">
        <f t="shared" si="6"/>
        <v>-3.8999999999999937E-3</v>
      </c>
    </row>
    <row r="25" spans="1:22">
      <c r="A25" s="36"/>
      <c r="B25" s="37"/>
      <c r="C25" s="38" t="s">
        <v>53</v>
      </c>
      <c r="D25" s="39">
        <f>SUM(D6:D24)</f>
        <v>37421289714.760002</v>
      </c>
      <c r="E25" s="40">
        <f>(D25/$D$217)</f>
        <v>8.3666100171392432E-3</v>
      </c>
      <c r="F25" s="41"/>
      <c r="G25" s="42"/>
      <c r="H25" s="43">
        <f>SUM(H6:H24)</f>
        <v>51522</v>
      </c>
      <c r="I25" s="52"/>
      <c r="J25" s="32">
        <v>0</v>
      </c>
      <c r="K25" s="39">
        <f>SUM(K6:K24)</f>
        <v>37398821266.276306</v>
      </c>
      <c r="L25" s="40">
        <f>(K25/$K$217)</f>
        <v>8.11698102780644E-3</v>
      </c>
      <c r="M25" s="41"/>
      <c r="N25" s="42"/>
      <c r="O25" s="43">
        <f>SUM(O6:O24)</f>
        <v>51591</v>
      </c>
      <c r="P25" s="52"/>
      <c r="Q25" s="43"/>
      <c r="R25" s="56">
        <f t="shared" si="2"/>
        <v>-6.0041886997908034E-4</v>
      </c>
      <c r="S25" s="56" t="e">
        <f t="shared" si="3"/>
        <v>#DIV/0!</v>
      </c>
      <c r="T25" s="56">
        <f t="shared" si="4"/>
        <v>1.3392337253988588E-3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</row>
    <row r="27" spans="1:22" ht="15" customHeight="1">
      <c r="A27" s="156" t="s">
        <v>54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</row>
    <row r="28" spans="1:22">
      <c r="A28" s="138">
        <v>20</v>
      </c>
      <c r="B28" s="135" t="s">
        <v>55</v>
      </c>
      <c r="C28" s="136" t="s">
        <v>19</v>
      </c>
      <c r="D28" s="44">
        <v>2339618249.9400001</v>
      </c>
      <c r="E28" s="30">
        <f>(D28/$K$68)</f>
        <v>1.0030725777329039E-3</v>
      </c>
      <c r="F28" s="31">
        <v>100</v>
      </c>
      <c r="G28" s="31">
        <v>100</v>
      </c>
      <c r="H28" s="32">
        <v>1166</v>
      </c>
      <c r="I28" s="50">
        <v>0.1938</v>
      </c>
      <c r="J28" s="50">
        <v>0.1938</v>
      </c>
      <c r="K28" s="44">
        <v>2407172417.3800001</v>
      </c>
      <c r="L28" s="30">
        <f t="shared" ref="L28:L67" si="19">(K28/$K$68)</f>
        <v>1.0320353082434815E-3</v>
      </c>
      <c r="M28" s="31">
        <v>100</v>
      </c>
      <c r="N28" s="31">
        <v>100</v>
      </c>
      <c r="O28" s="32">
        <v>1166</v>
      </c>
      <c r="P28" s="50">
        <v>0.19539999999999999</v>
      </c>
      <c r="Q28" s="50">
        <v>0.19539999999999999</v>
      </c>
      <c r="R28" s="56">
        <f>((K28-D28)/D28)</f>
        <v>2.8874012861599321E-2</v>
      </c>
      <c r="S28" s="56">
        <f>((N28-G28)/G28)</f>
        <v>0</v>
      </c>
      <c r="T28" s="56">
        <f>((O28-H28)/H28)</f>
        <v>0</v>
      </c>
      <c r="U28" s="57">
        <f>P28-I28</f>
        <v>1.5999999999999903E-3</v>
      </c>
      <c r="V28" s="58">
        <f>Q28-J28</f>
        <v>1.5999999999999903E-3</v>
      </c>
    </row>
    <row r="29" spans="1:22">
      <c r="A29" s="138">
        <v>21</v>
      </c>
      <c r="B29" s="135" t="s">
        <v>56</v>
      </c>
      <c r="C29" s="136" t="s">
        <v>57</v>
      </c>
      <c r="D29" s="44">
        <v>15116674200.780001</v>
      </c>
      <c r="E29" s="30">
        <f t="shared" ref="E29:E67" si="20">(D29/$K$68)</f>
        <v>6.4810237130411095E-3</v>
      </c>
      <c r="F29" s="31">
        <v>100</v>
      </c>
      <c r="G29" s="31">
        <v>100</v>
      </c>
      <c r="H29" s="32">
        <v>2394</v>
      </c>
      <c r="I29" s="50">
        <v>0.22189</v>
      </c>
      <c r="J29" s="50">
        <v>0.22189</v>
      </c>
      <c r="K29" s="44">
        <v>15644978923.290001</v>
      </c>
      <c r="L29" s="30">
        <f t="shared" si="19"/>
        <v>6.7075256134473665E-3</v>
      </c>
      <c r="M29" s="31">
        <v>100</v>
      </c>
      <c r="N29" s="31">
        <v>100</v>
      </c>
      <c r="O29" s="32">
        <v>2433</v>
      </c>
      <c r="P29" s="50">
        <v>0.23083000000000001</v>
      </c>
      <c r="Q29" s="50">
        <v>0.23083000000000001</v>
      </c>
      <c r="R29" s="56">
        <f t="shared" ref="R29:R68" si="21">((K29-D29)/D29)</f>
        <v>3.4948475801822892E-2</v>
      </c>
      <c r="S29" s="56">
        <f t="shared" ref="S29:S68" si="22">((N29-G29)/G29)</f>
        <v>0</v>
      </c>
      <c r="T29" s="56">
        <f t="shared" ref="T29:T68" si="23">((O29-H29)/H29)</f>
        <v>1.6290726817042606E-2</v>
      </c>
      <c r="U29" s="57">
        <f t="shared" ref="U29:U68" si="24">P29-I29</f>
        <v>8.9400000000000035E-3</v>
      </c>
      <c r="V29" s="58">
        <f t="shared" ref="V29:V68" si="25">Q29-J29</f>
        <v>8.9400000000000035E-3</v>
      </c>
    </row>
    <row r="30" spans="1:22">
      <c r="A30" s="138">
        <v>22</v>
      </c>
      <c r="B30" s="135" t="s">
        <v>58</v>
      </c>
      <c r="C30" s="136" t="s">
        <v>21</v>
      </c>
      <c r="D30" s="44">
        <v>1538217713.6400001</v>
      </c>
      <c r="E30" s="30">
        <f t="shared" si="20"/>
        <v>6.5948536996360751E-4</v>
      </c>
      <c r="F30" s="31">
        <v>100</v>
      </c>
      <c r="G30" s="31">
        <v>100</v>
      </c>
      <c r="H30" s="32">
        <v>1894</v>
      </c>
      <c r="I30" s="50">
        <v>0.23180000000000001</v>
      </c>
      <c r="J30" s="50">
        <v>0.23180000000000001</v>
      </c>
      <c r="K30" s="44">
        <v>1593927798.95</v>
      </c>
      <c r="L30" s="30">
        <f t="shared" si="19"/>
        <v>6.8337014641337858E-4</v>
      </c>
      <c r="M30" s="31">
        <v>100</v>
      </c>
      <c r="N30" s="31">
        <v>100</v>
      </c>
      <c r="O30" s="32">
        <v>1905</v>
      </c>
      <c r="P30" s="50">
        <v>0.23449999999999999</v>
      </c>
      <c r="Q30" s="50">
        <v>0.23449999999999999</v>
      </c>
      <c r="R30" s="56">
        <f t="shared" si="21"/>
        <v>3.6217295390630358E-2</v>
      </c>
      <c r="S30" s="56">
        <f t="shared" si="22"/>
        <v>0</v>
      </c>
      <c r="T30" s="56">
        <f t="shared" si="23"/>
        <v>5.8078141499472019E-3</v>
      </c>
      <c r="U30" s="57">
        <f t="shared" si="24"/>
        <v>2.6999999999999802E-3</v>
      </c>
      <c r="V30" s="58">
        <f t="shared" si="25"/>
        <v>2.6999999999999802E-3</v>
      </c>
    </row>
    <row r="31" spans="1:22">
      <c r="A31" s="138">
        <v>23</v>
      </c>
      <c r="B31" s="135" t="s">
        <v>59</v>
      </c>
      <c r="C31" s="136" t="s">
        <v>23</v>
      </c>
      <c r="D31" s="44">
        <v>153251557544.82001</v>
      </c>
      <c r="E31" s="30">
        <f t="shared" si="20"/>
        <v>6.5704067264822932E-2</v>
      </c>
      <c r="F31" s="31">
        <v>1</v>
      </c>
      <c r="G31" s="31">
        <v>1</v>
      </c>
      <c r="H31" s="32">
        <v>66945</v>
      </c>
      <c r="I31" s="50">
        <v>0.22800000000000001</v>
      </c>
      <c r="J31" s="50">
        <v>0.22800000000000001</v>
      </c>
      <c r="K31" s="44">
        <v>167248214166.42999</v>
      </c>
      <c r="L31" s="30">
        <f t="shared" si="19"/>
        <v>7.1704901989650668E-2</v>
      </c>
      <c r="M31" s="31">
        <v>1</v>
      </c>
      <c r="N31" s="31">
        <v>1</v>
      </c>
      <c r="O31" s="32">
        <v>67196</v>
      </c>
      <c r="P31" s="50">
        <v>0.2248</v>
      </c>
      <c r="Q31" s="50">
        <v>0.2248</v>
      </c>
      <c r="R31" s="56">
        <f t="shared" si="21"/>
        <v>9.1331252000597246E-2</v>
      </c>
      <c r="S31" s="56">
        <f t="shared" si="22"/>
        <v>0</v>
      </c>
      <c r="T31" s="56">
        <f t="shared" si="23"/>
        <v>3.749346478452461E-3</v>
      </c>
      <c r="U31" s="57">
        <f t="shared" si="24"/>
        <v>-3.2000000000000084E-3</v>
      </c>
      <c r="V31" s="58">
        <f t="shared" si="25"/>
        <v>-3.2000000000000084E-3</v>
      </c>
    </row>
    <row r="32" spans="1:22">
      <c r="A32" s="138">
        <v>24</v>
      </c>
      <c r="B32" s="135" t="s">
        <v>314</v>
      </c>
      <c r="C32" s="136" t="s">
        <v>118</v>
      </c>
      <c r="D32" s="44">
        <v>0</v>
      </c>
      <c r="E32" s="30">
        <f t="shared" si="20"/>
        <v>0</v>
      </c>
      <c r="F32" s="31">
        <v>0</v>
      </c>
      <c r="G32" s="31">
        <v>0</v>
      </c>
      <c r="H32" s="32">
        <v>0</v>
      </c>
      <c r="I32" s="50">
        <v>0</v>
      </c>
      <c r="J32" s="50">
        <v>0</v>
      </c>
      <c r="K32" s="44">
        <v>339701532.76999998</v>
      </c>
      <c r="L32" s="30">
        <f t="shared" si="19"/>
        <v>1.4564140630385358E-4</v>
      </c>
      <c r="M32" s="31">
        <v>1</v>
      </c>
      <c r="N32" s="31">
        <v>1</v>
      </c>
      <c r="O32" s="32">
        <v>189</v>
      </c>
      <c r="P32" s="50">
        <v>0.21360000000000001</v>
      </c>
      <c r="Q32" s="50">
        <v>0.21360000000000001</v>
      </c>
      <c r="R32" s="56" t="e">
        <f t="shared" si="21"/>
        <v>#DIV/0!</v>
      </c>
      <c r="S32" s="56" t="e">
        <f t="shared" si="22"/>
        <v>#DIV/0!</v>
      </c>
      <c r="T32" s="56" t="e">
        <f t="shared" si="23"/>
        <v>#DIV/0!</v>
      </c>
      <c r="U32" s="57">
        <f t="shared" si="24"/>
        <v>0.21360000000000001</v>
      </c>
      <c r="V32" s="58">
        <f t="shared" si="25"/>
        <v>0.21360000000000001</v>
      </c>
    </row>
    <row r="33" spans="1:22">
      <c r="A33" s="138">
        <v>25</v>
      </c>
      <c r="B33" s="135" t="s">
        <v>60</v>
      </c>
      <c r="C33" s="136" t="s">
        <v>25</v>
      </c>
      <c r="D33" s="44">
        <v>102185980438.55</v>
      </c>
      <c r="E33" s="30">
        <f t="shared" si="20"/>
        <v>4.3810546788686178E-2</v>
      </c>
      <c r="F33" s="31">
        <v>1</v>
      </c>
      <c r="G33" s="31">
        <v>1</v>
      </c>
      <c r="H33" s="32">
        <v>32075</v>
      </c>
      <c r="I33" s="50">
        <v>0.20069999999999999</v>
      </c>
      <c r="J33" s="50">
        <v>0.20069999999999999</v>
      </c>
      <c r="K33" s="44">
        <v>103611942761.12</v>
      </c>
      <c r="L33" s="30">
        <f t="shared" si="19"/>
        <v>4.4421904518814573E-2</v>
      </c>
      <c r="M33" s="31">
        <v>1</v>
      </c>
      <c r="N33" s="31">
        <v>1</v>
      </c>
      <c r="O33" s="32">
        <v>32181</v>
      </c>
      <c r="P33" s="50">
        <v>0.20280000000000001</v>
      </c>
      <c r="Q33" s="50">
        <v>0.20280000000000001</v>
      </c>
      <c r="R33" s="56">
        <f t="shared" si="21"/>
        <v>1.395457886150538E-2</v>
      </c>
      <c r="S33" s="56">
        <f t="shared" si="22"/>
        <v>0</v>
      </c>
      <c r="T33" s="56">
        <f t="shared" si="23"/>
        <v>3.3047544816835542E-3</v>
      </c>
      <c r="U33" s="57">
        <f t="shared" si="24"/>
        <v>2.1000000000000185E-3</v>
      </c>
      <c r="V33" s="58">
        <f t="shared" si="25"/>
        <v>2.1000000000000185E-3</v>
      </c>
    </row>
    <row r="34" spans="1:22">
      <c r="A34" s="138">
        <v>26</v>
      </c>
      <c r="B34" s="135" t="s">
        <v>292</v>
      </c>
      <c r="C34" s="136" t="s">
        <v>27</v>
      </c>
      <c r="D34" s="33">
        <v>4842612300.3599997</v>
      </c>
      <c r="E34" s="30">
        <f t="shared" ref="E34" si="26">(D34/$D$25)</f>
        <v>0.12940794764884703</v>
      </c>
      <c r="F34" s="33">
        <v>1</v>
      </c>
      <c r="G34" s="33">
        <v>1</v>
      </c>
      <c r="H34" s="32">
        <v>604</v>
      </c>
      <c r="I34" s="50">
        <v>0.1961</v>
      </c>
      <c r="J34" s="50">
        <v>0.1961</v>
      </c>
      <c r="K34" s="33">
        <v>4906529113.3599997</v>
      </c>
      <c r="L34" s="30">
        <f t="shared" ref="L34" si="27">(K34/$K$25)</f>
        <v>0.13119475286202059</v>
      </c>
      <c r="M34" s="33">
        <v>1</v>
      </c>
      <c r="N34" s="33">
        <v>1</v>
      </c>
      <c r="O34" s="32">
        <v>614</v>
      </c>
      <c r="P34" s="50">
        <v>0.1973</v>
      </c>
      <c r="Q34" s="50">
        <v>0.1973</v>
      </c>
      <c r="R34" s="56">
        <f t="shared" si="21"/>
        <v>1.3198829275523136E-2</v>
      </c>
      <c r="S34" s="56">
        <f t="shared" si="22"/>
        <v>0</v>
      </c>
      <c r="T34" s="56">
        <f t="shared" si="23"/>
        <v>1.6556291390728478E-2</v>
      </c>
      <c r="U34" s="57">
        <f t="shared" si="24"/>
        <v>1.2000000000000066E-3</v>
      </c>
      <c r="V34" s="58">
        <f t="shared" si="25"/>
        <v>1.2000000000000066E-3</v>
      </c>
    </row>
    <row r="35" spans="1:22" ht="15" customHeight="1">
      <c r="A35" s="138">
        <v>27</v>
      </c>
      <c r="B35" s="135" t="s">
        <v>61</v>
      </c>
      <c r="C35" s="136" t="s">
        <v>47</v>
      </c>
      <c r="D35" s="44">
        <v>15925990376.030001</v>
      </c>
      <c r="E35" s="30">
        <f t="shared" si="20"/>
        <v>6.8280046199175925E-3</v>
      </c>
      <c r="F35" s="31">
        <v>100</v>
      </c>
      <c r="G35" s="31">
        <v>100</v>
      </c>
      <c r="H35" s="32">
        <v>2083</v>
      </c>
      <c r="I35" s="50">
        <v>0.2336</v>
      </c>
      <c r="J35" s="50">
        <v>0.2336</v>
      </c>
      <c r="K35" s="44">
        <v>18976101000.490002</v>
      </c>
      <c r="L35" s="30">
        <f t="shared" si="19"/>
        <v>8.1356890366065422E-3</v>
      </c>
      <c r="M35" s="31">
        <v>100</v>
      </c>
      <c r="N35" s="31">
        <v>100</v>
      </c>
      <c r="O35" s="32">
        <v>2083</v>
      </c>
      <c r="P35" s="50">
        <v>0.21190000000000001</v>
      </c>
      <c r="Q35" s="50">
        <v>0.21190000000000001</v>
      </c>
      <c r="R35" s="56">
        <f t="shared" si="21"/>
        <v>0.19151779904693919</v>
      </c>
      <c r="S35" s="56">
        <f t="shared" si="22"/>
        <v>0</v>
      </c>
      <c r="T35" s="56">
        <f t="shared" si="23"/>
        <v>0</v>
      </c>
      <c r="U35" s="57">
        <f t="shared" si="24"/>
        <v>-2.1699999999999997E-2</v>
      </c>
      <c r="V35" s="58">
        <f t="shared" si="25"/>
        <v>-2.1699999999999997E-2</v>
      </c>
    </row>
    <row r="36" spans="1:22" ht="15" customHeight="1">
      <c r="A36" s="138">
        <v>28</v>
      </c>
      <c r="B36" s="135" t="s">
        <v>62</v>
      </c>
      <c r="C36" s="136" t="s">
        <v>63</v>
      </c>
      <c r="D36" s="44">
        <v>605030702.46000004</v>
      </c>
      <c r="E36" s="30">
        <f t="shared" si="20"/>
        <v>2.5939689363410704E-4</v>
      </c>
      <c r="F36" s="31">
        <v>1</v>
      </c>
      <c r="G36" s="31">
        <v>1</v>
      </c>
      <c r="H36" s="32">
        <v>362</v>
      </c>
      <c r="I36" s="50">
        <v>0.20499999999999999</v>
      </c>
      <c r="J36" s="50">
        <v>0.20499999999999999</v>
      </c>
      <c r="K36" s="44">
        <v>636198213.49000001</v>
      </c>
      <c r="L36" s="30">
        <f t="shared" si="19"/>
        <v>2.7275944781626158E-4</v>
      </c>
      <c r="M36" s="31">
        <v>1</v>
      </c>
      <c r="N36" s="31">
        <v>1</v>
      </c>
      <c r="O36" s="32">
        <v>370</v>
      </c>
      <c r="P36" s="50">
        <v>0.20499999999999999</v>
      </c>
      <c r="Q36" s="50">
        <v>0.20499999999999999</v>
      </c>
      <c r="R36" s="56">
        <f t="shared" si="21"/>
        <v>5.1513932934767928E-2</v>
      </c>
      <c r="S36" s="56">
        <f t="shared" si="22"/>
        <v>0</v>
      </c>
      <c r="T36" s="56">
        <f t="shared" si="23"/>
        <v>2.2099447513812154E-2</v>
      </c>
      <c r="U36" s="57">
        <f t="shared" si="24"/>
        <v>0</v>
      </c>
      <c r="V36" s="58">
        <f t="shared" si="25"/>
        <v>0</v>
      </c>
    </row>
    <row r="37" spans="1:22">
      <c r="A37" s="138">
        <v>29</v>
      </c>
      <c r="B37" s="135" t="s">
        <v>64</v>
      </c>
      <c r="C37" s="136" t="s">
        <v>65</v>
      </c>
      <c r="D37" s="44">
        <v>41624963376.200005</v>
      </c>
      <c r="E37" s="30">
        <f t="shared" si="20"/>
        <v>1.7846013687435297E-2</v>
      </c>
      <c r="F37" s="31">
        <v>100</v>
      </c>
      <c r="G37" s="31">
        <v>100</v>
      </c>
      <c r="H37" s="32">
        <v>3807</v>
      </c>
      <c r="I37" s="50">
        <v>0.22611993109748799</v>
      </c>
      <c r="J37" s="50">
        <v>0.22611993109748799</v>
      </c>
      <c r="K37" s="44">
        <v>44015331220.300003</v>
      </c>
      <c r="L37" s="30">
        <f t="shared" si="19"/>
        <v>1.8870844313189188E-2</v>
      </c>
      <c r="M37" s="31">
        <v>100</v>
      </c>
      <c r="N37" s="31">
        <v>100</v>
      </c>
      <c r="O37" s="32">
        <v>3852</v>
      </c>
      <c r="P37" s="50">
        <v>0.22425102010636599</v>
      </c>
      <c r="Q37" s="50">
        <v>0.22425102010636599</v>
      </c>
      <c r="R37" s="56">
        <f t="shared" si="21"/>
        <v>5.7426305039507713E-2</v>
      </c>
      <c r="S37" s="56">
        <f t="shared" si="22"/>
        <v>0</v>
      </c>
      <c r="T37" s="56">
        <f t="shared" si="23"/>
        <v>1.1820330969267139E-2</v>
      </c>
      <c r="U37" s="57">
        <f t="shared" si="24"/>
        <v>-1.8689109911219914E-3</v>
      </c>
      <c r="V37" s="58">
        <f t="shared" si="25"/>
        <v>-1.8689109911219914E-3</v>
      </c>
    </row>
    <row r="38" spans="1:22">
      <c r="A38" s="138">
        <v>30</v>
      </c>
      <c r="B38" s="135" t="s">
        <v>66</v>
      </c>
      <c r="C38" s="136" t="s">
        <v>67</v>
      </c>
      <c r="D38" s="44">
        <v>19059017206.919998</v>
      </c>
      <c r="E38" s="30">
        <f t="shared" si="20"/>
        <v>8.1712379869199967E-3</v>
      </c>
      <c r="F38" s="31">
        <v>100</v>
      </c>
      <c r="G38" s="31">
        <v>100</v>
      </c>
      <c r="H38" s="32">
        <v>6724</v>
      </c>
      <c r="I38" s="50">
        <v>0.22450000000000001</v>
      </c>
      <c r="J38" s="50">
        <v>0.22450000000000001</v>
      </c>
      <c r="K38" s="44">
        <v>19248299091.389999</v>
      </c>
      <c r="L38" s="30">
        <f t="shared" si="19"/>
        <v>8.252389460147877E-3</v>
      </c>
      <c r="M38" s="31">
        <v>100</v>
      </c>
      <c r="N38" s="31">
        <v>100</v>
      </c>
      <c r="O38" s="32">
        <v>6753</v>
      </c>
      <c r="P38" s="50">
        <v>0.21629999999999999</v>
      </c>
      <c r="Q38" s="50">
        <v>0.21629999999999999</v>
      </c>
      <c r="R38" s="56">
        <f t="shared" si="21"/>
        <v>9.931355977855787E-3</v>
      </c>
      <c r="S38" s="56">
        <f t="shared" si="22"/>
        <v>0</v>
      </c>
      <c r="T38" s="56">
        <f t="shared" si="23"/>
        <v>4.3129089827483643E-3</v>
      </c>
      <c r="U38" s="57">
        <f t="shared" si="24"/>
        <v>-8.2000000000000128E-3</v>
      </c>
      <c r="V38" s="58">
        <f t="shared" si="25"/>
        <v>-8.2000000000000128E-3</v>
      </c>
    </row>
    <row r="39" spans="1:22">
      <c r="A39" s="138">
        <v>31</v>
      </c>
      <c r="B39" s="135" t="s">
        <v>68</v>
      </c>
      <c r="C39" s="136" t="s">
        <v>69</v>
      </c>
      <c r="D39" s="44">
        <v>44514190.369999997</v>
      </c>
      <c r="E39" s="30">
        <f t="shared" si="20"/>
        <v>1.9084721911907717E-5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1.9084721911907717E-5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8">
        <v>32</v>
      </c>
      <c r="B40" s="135" t="s">
        <v>70</v>
      </c>
      <c r="C40" s="136" t="s">
        <v>302</v>
      </c>
      <c r="D40" s="44">
        <v>17606933671.669998</v>
      </c>
      <c r="E40" s="30">
        <f t="shared" si="20"/>
        <v>7.5486812194541604E-3</v>
      </c>
      <c r="F40" s="31">
        <v>1</v>
      </c>
      <c r="G40" s="31">
        <v>1</v>
      </c>
      <c r="H40" s="32">
        <v>4736</v>
      </c>
      <c r="I40" s="50">
        <v>0.2006</v>
      </c>
      <c r="J40" s="50">
        <v>0.2006</v>
      </c>
      <c r="K40" s="44">
        <v>18504099011.75</v>
      </c>
      <c r="L40" s="30">
        <f t="shared" si="19"/>
        <v>7.933326000862299E-3</v>
      </c>
      <c r="M40" s="31">
        <v>1</v>
      </c>
      <c r="N40" s="31">
        <v>1</v>
      </c>
      <c r="O40" s="32">
        <v>4869</v>
      </c>
      <c r="P40" s="50">
        <v>0.21940000000000001</v>
      </c>
      <c r="Q40" s="50">
        <v>0.21940000000000001</v>
      </c>
      <c r="R40" s="56">
        <f t="shared" si="21"/>
        <v>5.095522916199563E-2</v>
      </c>
      <c r="S40" s="56">
        <f t="shared" si="22"/>
        <v>0</v>
      </c>
      <c r="T40" s="56">
        <f t="shared" si="23"/>
        <v>2.8082770270270271E-2</v>
      </c>
      <c r="U40" s="57">
        <f t="shared" si="24"/>
        <v>1.8800000000000011E-2</v>
      </c>
      <c r="V40" s="58">
        <f t="shared" si="25"/>
        <v>1.8800000000000011E-2</v>
      </c>
    </row>
    <row r="41" spans="1:22">
      <c r="A41" s="138">
        <v>33</v>
      </c>
      <c r="B41" s="135" t="s">
        <v>71</v>
      </c>
      <c r="C41" s="136" t="s">
        <v>72</v>
      </c>
      <c r="D41" s="44">
        <v>37843243471.169998</v>
      </c>
      <c r="E41" s="30">
        <f t="shared" si="20"/>
        <v>1.6224663908043058E-2</v>
      </c>
      <c r="F41" s="45">
        <v>100</v>
      </c>
      <c r="G41" s="45">
        <v>100</v>
      </c>
      <c r="H41" s="32">
        <v>3192</v>
      </c>
      <c r="I41" s="50">
        <v>0.21590000000000001</v>
      </c>
      <c r="J41" s="50">
        <v>0.21590000000000001</v>
      </c>
      <c r="K41" s="44">
        <v>39904260255.669998</v>
      </c>
      <c r="L41" s="30">
        <f t="shared" si="19"/>
        <v>1.7108290721448285E-2</v>
      </c>
      <c r="M41" s="45">
        <v>100</v>
      </c>
      <c r="N41" s="45">
        <v>100</v>
      </c>
      <c r="O41" s="32">
        <v>3192</v>
      </c>
      <c r="P41" s="50">
        <v>0.2152</v>
      </c>
      <c r="Q41" s="50">
        <v>0.2152</v>
      </c>
      <c r="R41" s="56">
        <f t="shared" si="21"/>
        <v>5.4461948698190682E-2</v>
      </c>
      <c r="S41" s="56">
        <f t="shared" si="22"/>
        <v>0</v>
      </c>
      <c r="T41" s="56">
        <f t="shared" si="23"/>
        <v>0</v>
      </c>
      <c r="U41" s="57">
        <f t="shared" si="24"/>
        <v>-7.0000000000000617E-4</v>
      </c>
      <c r="V41" s="58">
        <f t="shared" si="25"/>
        <v>-7.0000000000000617E-4</v>
      </c>
    </row>
    <row r="42" spans="1:22">
      <c r="A42" s="138">
        <v>34</v>
      </c>
      <c r="B42" s="135" t="s">
        <v>73</v>
      </c>
      <c r="C42" s="136" t="s">
        <v>72</v>
      </c>
      <c r="D42" s="44">
        <v>4112969810.4499998</v>
      </c>
      <c r="E42" s="30">
        <f t="shared" si="20"/>
        <v>1.7633676904390263E-3</v>
      </c>
      <c r="F42" s="45">
        <v>1000000</v>
      </c>
      <c r="G42" s="45">
        <v>1000000</v>
      </c>
      <c r="H42" s="32">
        <v>12</v>
      </c>
      <c r="I42" s="50">
        <v>0.22220000000000001</v>
      </c>
      <c r="J42" s="50">
        <v>0.22220000000000001</v>
      </c>
      <c r="K42" s="44">
        <v>5559721903.1899996</v>
      </c>
      <c r="L42" s="30">
        <f t="shared" si="19"/>
        <v>2.383638690223885E-3</v>
      </c>
      <c r="M42" s="45">
        <v>1000000</v>
      </c>
      <c r="N42" s="45">
        <v>1000000</v>
      </c>
      <c r="O42" s="32">
        <v>12</v>
      </c>
      <c r="P42" s="50">
        <v>0.2162</v>
      </c>
      <c r="Q42" s="50">
        <v>0.2162</v>
      </c>
      <c r="R42" s="56">
        <f t="shared" si="21"/>
        <v>0.35175363773985752</v>
      </c>
      <c r="S42" s="56">
        <f t="shared" si="22"/>
        <v>0</v>
      </c>
      <c r="T42" s="56">
        <f t="shared" si="23"/>
        <v>0</v>
      </c>
      <c r="U42" s="57">
        <f t="shared" si="24"/>
        <v>-6.0000000000000053E-3</v>
      </c>
      <c r="V42" s="58">
        <f t="shared" si="25"/>
        <v>-6.0000000000000053E-3</v>
      </c>
    </row>
    <row r="43" spans="1:22">
      <c r="A43" s="138">
        <v>35</v>
      </c>
      <c r="B43" s="135" t="s">
        <v>74</v>
      </c>
      <c r="C43" s="136" t="s">
        <v>75</v>
      </c>
      <c r="D43" s="44">
        <v>4062688894.8299999</v>
      </c>
      <c r="E43" s="30">
        <f t="shared" si="20"/>
        <v>1.7418105805801776E-3</v>
      </c>
      <c r="F43" s="31">
        <v>1</v>
      </c>
      <c r="G43" s="31">
        <v>1</v>
      </c>
      <c r="H43" s="32">
        <v>855</v>
      </c>
      <c r="I43" s="50">
        <v>0.219</v>
      </c>
      <c r="J43" s="50">
        <v>0.219</v>
      </c>
      <c r="K43" s="44">
        <v>3985606512.7399998</v>
      </c>
      <c r="L43" s="30">
        <f t="shared" si="19"/>
        <v>1.7087627858372568E-3</v>
      </c>
      <c r="M43" s="31">
        <v>1</v>
      </c>
      <c r="N43" s="31">
        <v>1</v>
      </c>
      <c r="O43" s="32">
        <v>860</v>
      </c>
      <c r="P43" s="50">
        <v>0.2019</v>
      </c>
      <c r="Q43" s="50">
        <v>0.2019</v>
      </c>
      <c r="R43" s="56">
        <f t="shared" si="21"/>
        <v>-1.8973242619707311E-2</v>
      </c>
      <c r="S43" s="56">
        <f t="shared" si="22"/>
        <v>0</v>
      </c>
      <c r="T43" s="56">
        <f t="shared" si="23"/>
        <v>5.8479532163742687E-3</v>
      </c>
      <c r="U43" s="57">
        <f t="shared" si="24"/>
        <v>-1.7100000000000004E-2</v>
      </c>
      <c r="V43" s="58">
        <f t="shared" si="25"/>
        <v>-1.7100000000000004E-2</v>
      </c>
    </row>
    <row r="44" spans="1:22">
      <c r="A44" s="138">
        <v>36</v>
      </c>
      <c r="B44" s="135" t="s">
        <v>76</v>
      </c>
      <c r="C44" s="136" t="s">
        <v>31</v>
      </c>
      <c r="D44" s="44">
        <v>420179146762.82001</v>
      </c>
      <c r="E44" s="30">
        <f t="shared" si="20"/>
        <v>0.18014485049593143</v>
      </c>
      <c r="F44" s="31">
        <v>100</v>
      </c>
      <c r="G44" s="31">
        <v>100</v>
      </c>
      <c r="H44" s="32">
        <v>16478</v>
      </c>
      <c r="I44" s="50">
        <v>0.22370000000000001</v>
      </c>
      <c r="J44" s="50">
        <v>0.22370000000000001</v>
      </c>
      <c r="K44" s="44">
        <v>433846119413.59003</v>
      </c>
      <c r="L44" s="30">
        <f t="shared" si="19"/>
        <v>0.18600433867822977</v>
      </c>
      <c r="M44" s="31">
        <v>100</v>
      </c>
      <c r="N44" s="31">
        <v>100</v>
      </c>
      <c r="O44" s="32">
        <v>16597</v>
      </c>
      <c r="P44" s="50">
        <v>0.22009999999999999</v>
      </c>
      <c r="Q44" s="50">
        <v>0.22009999999999999</v>
      </c>
      <c r="R44" s="56">
        <f t="shared" si="21"/>
        <v>3.2526537206961068E-2</v>
      </c>
      <c r="S44" s="56">
        <f t="shared" si="22"/>
        <v>0</v>
      </c>
      <c r="T44" s="56">
        <f t="shared" si="23"/>
        <v>7.2217502124044177E-3</v>
      </c>
      <c r="U44" s="57">
        <f t="shared" si="24"/>
        <v>-3.6000000000000199E-3</v>
      </c>
      <c r="V44" s="58">
        <f t="shared" si="25"/>
        <v>-3.6000000000000199E-3</v>
      </c>
    </row>
    <row r="45" spans="1:22">
      <c r="A45" s="138">
        <v>37</v>
      </c>
      <c r="B45" s="135" t="s">
        <v>77</v>
      </c>
      <c r="C45" s="136" t="s">
        <v>78</v>
      </c>
      <c r="D45" s="44">
        <v>1618081579.1300001</v>
      </c>
      <c r="E45" s="30">
        <f t="shared" si="20"/>
        <v>6.9372567964952423E-4</v>
      </c>
      <c r="F45" s="31">
        <v>1</v>
      </c>
      <c r="G45" s="31">
        <v>1</v>
      </c>
      <c r="H45" s="46">
        <v>1075</v>
      </c>
      <c r="I45" s="53">
        <v>0.20860000000000001</v>
      </c>
      <c r="J45" s="53">
        <v>0.20860000000000001</v>
      </c>
      <c r="K45" s="44">
        <v>1632373596.6400001</v>
      </c>
      <c r="L45" s="30">
        <f t="shared" si="19"/>
        <v>6.9985314546371297E-4</v>
      </c>
      <c r="M45" s="31">
        <v>1</v>
      </c>
      <c r="N45" s="31">
        <v>1</v>
      </c>
      <c r="O45" s="46">
        <v>1092</v>
      </c>
      <c r="P45" s="53">
        <v>0.20780000000000001</v>
      </c>
      <c r="Q45" s="53">
        <v>0.20780000000000001</v>
      </c>
      <c r="R45" s="56">
        <f t="shared" si="21"/>
        <v>8.8326927976551291E-3</v>
      </c>
      <c r="S45" s="56">
        <f t="shared" si="22"/>
        <v>0</v>
      </c>
      <c r="T45" s="56">
        <f t="shared" si="23"/>
        <v>1.5813953488372091E-2</v>
      </c>
      <c r="U45" s="57">
        <f t="shared" si="24"/>
        <v>-7.9999999999999516E-4</v>
      </c>
      <c r="V45" s="58">
        <f t="shared" si="25"/>
        <v>-7.9999999999999516E-4</v>
      </c>
    </row>
    <row r="46" spans="1:22">
      <c r="A46" s="138">
        <v>38</v>
      </c>
      <c r="B46" s="135" t="s">
        <v>305</v>
      </c>
      <c r="C46" s="136" t="s">
        <v>306</v>
      </c>
      <c r="D46" s="44">
        <v>622477613</v>
      </c>
      <c r="E46" s="30">
        <f t="shared" si="20"/>
        <v>2.6687696758603569E-4</v>
      </c>
      <c r="F46" s="31">
        <v>1</v>
      </c>
      <c r="G46" s="31">
        <v>1</v>
      </c>
      <c r="H46" s="46">
        <v>103</v>
      </c>
      <c r="I46" s="53">
        <v>0.18339800000000001</v>
      </c>
      <c r="J46" s="53">
        <v>0.18339800000000001</v>
      </c>
      <c r="K46" s="44">
        <v>832978818</v>
      </c>
      <c r="L46" s="30">
        <f t="shared" si="19"/>
        <v>3.5712587307335072E-4</v>
      </c>
      <c r="M46" s="31">
        <v>1</v>
      </c>
      <c r="N46" s="31">
        <v>1</v>
      </c>
      <c r="O46" s="46">
        <v>116</v>
      </c>
      <c r="P46" s="53">
        <v>0.18859999999999999</v>
      </c>
      <c r="Q46" s="53">
        <v>0.18859999999999999</v>
      </c>
      <c r="R46" s="56">
        <f t="shared" si="21"/>
        <v>0.33816670769170298</v>
      </c>
      <c r="S46" s="56">
        <f t="shared" si="22"/>
        <v>0</v>
      </c>
      <c r="T46" s="56">
        <f t="shared" si="23"/>
        <v>0.12621359223300971</v>
      </c>
      <c r="U46" s="57">
        <f t="shared" si="24"/>
        <v>5.2019999999999844E-3</v>
      </c>
      <c r="V46" s="58">
        <f t="shared" si="25"/>
        <v>5.2019999999999844E-3</v>
      </c>
    </row>
    <row r="47" spans="1:22">
      <c r="A47" s="138">
        <v>39</v>
      </c>
      <c r="B47" s="135" t="s">
        <v>79</v>
      </c>
      <c r="C47" s="136" t="s">
        <v>80</v>
      </c>
      <c r="D47" s="44">
        <v>805778570.53999996</v>
      </c>
      <c r="E47" s="30">
        <f t="shared" si="20"/>
        <v>3.4546421744411515E-4</v>
      </c>
      <c r="F47" s="31">
        <v>10</v>
      </c>
      <c r="G47" s="31">
        <v>10</v>
      </c>
      <c r="H47" s="32">
        <v>431</v>
      </c>
      <c r="I47" s="50">
        <v>0.1817</v>
      </c>
      <c r="J47" s="50">
        <v>0.1817</v>
      </c>
      <c r="K47" s="44">
        <v>900369431.65999997</v>
      </c>
      <c r="L47" s="30">
        <f t="shared" si="19"/>
        <v>3.8601848260940303E-4</v>
      </c>
      <c r="M47" s="31">
        <v>10</v>
      </c>
      <c r="N47" s="31">
        <v>10</v>
      </c>
      <c r="O47" s="32">
        <v>434</v>
      </c>
      <c r="P47" s="50">
        <v>3.8999999999999998E-3</v>
      </c>
      <c r="Q47" s="50">
        <v>4.1500000000000002E-2</v>
      </c>
      <c r="R47" s="56">
        <f t="shared" si="21"/>
        <v>0.11739063879126131</v>
      </c>
      <c r="S47" s="56">
        <f t="shared" si="22"/>
        <v>0</v>
      </c>
      <c r="T47" s="56">
        <f t="shared" si="23"/>
        <v>6.9605568445475635E-3</v>
      </c>
      <c r="U47" s="57">
        <f t="shared" si="24"/>
        <v>-0.17780000000000001</v>
      </c>
      <c r="V47" s="58">
        <f t="shared" si="25"/>
        <v>-0.14019999999999999</v>
      </c>
    </row>
    <row r="48" spans="1:22">
      <c r="A48" s="138">
        <v>40</v>
      </c>
      <c r="B48" s="135" t="s">
        <v>81</v>
      </c>
      <c r="C48" s="136" t="s">
        <v>82</v>
      </c>
      <c r="D48" s="44">
        <v>6112026990.9399996</v>
      </c>
      <c r="E48" s="30">
        <f t="shared" si="20"/>
        <v>2.6204303497515012E-3</v>
      </c>
      <c r="F48" s="31">
        <v>100</v>
      </c>
      <c r="G48" s="31">
        <v>100</v>
      </c>
      <c r="H48" s="32">
        <v>849</v>
      </c>
      <c r="I48" s="50">
        <v>0.20749999999999999</v>
      </c>
      <c r="J48" s="50">
        <v>0.20749999999999999</v>
      </c>
      <c r="K48" s="44">
        <v>6175338572.6199999</v>
      </c>
      <c r="L48" s="30">
        <f t="shared" si="19"/>
        <v>2.6475741418798683E-3</v>
      </c>
      <c r="M48" s="31">
        <v>100</v>
      </c>
      <c r="N48" s="31">
        <v>100</v>
      </c>
      <c r="O48" s="32">
        <v>849</v>
      </c>
      <c r="P48" s="50">
        <v>0.2303</v>
      </c>
      <c r="Q48" s="50">
        <v>0.2303</v>
      </c>
      <c r="R48" s="56">
        <f t="shared" si="21"/>
        <v>1.0358524557212942E-2</v>
      </c>
      <c r="S48" s="56">
        <f t="shared" si="22"/>
        <v>0</v>
      </c>
      <c r="T48" s="56">
        <f t="shared" si="23"/>
        <v>0</v>
      </c>
      <c r="U48" s="57">
        <f t="shared" si="24"/>
        <v>2.2800000000000015E-2</v>
      </c>
      <c r="V48" s="58">
        <f t="shared" si="25"/>
        <v>2.2800000000000015E-2</v>
      </c>
    </row>
    <row r="49" spans="1:22">
      <c r="A49" s="138">
        <v>41</v>
      </c>
      <c r="B49" s="135" t="s">
        <v>83</v>
      </c>
      <c r="C49" s="135" t="s">
        <v>84</v>
      </c>
      <c r="D49" s="140">
        <v>87866230.912427098</v>
      </c>
      <c r="E49" s="30">
        <f>(D49/$D$185)</f>
        <v>1.5327101973258788E-3</v>
      </c>
      <c r="F49" s="33">
        <v>1</v>
      </c>
      <c r="G49" s="33">
        <v>1</v>
      </c>
      <c r="H49" s="32">
        <v>63</v>
      </c>
      <c r="I49" s="50">
        <v>0.17349999999999999</v>
      </c>
      <c r="J49" s="50">
        <v>0.17349890624390901</v>
      </c>
      <c r="K49" s="140">
        <v>93645306.242843807</v>
      </c>
      <c r="L49" s="54">
        <f>(K49/$K$185)</f>
        <v>1.6372738166663848E-3</v>
      </c>
      <c r="M49" s="33">
        <v>1</v>
      </c>
      <c r="N49" s="33">
        <v>1</v>
      </c>
      <c r="O49" s="32">
        <v>66</v>
      </c>
      <c r="P49" s="50">
        <v>0.17660000000000001</v>
      </c>
      <c r="Q49" s="50">
        <v>0.17660000000000001</v>
      </c>
      <c r="R49" s="57">
        <f t="shared" si="21"/>
        <v>6.5771289725360949E-2</v>
      </c>
      <c r="S49" s="57">
        <f t="shared" si="22"/>
        <v>0</v>
      </c>
      <c r="T49" s="57">
        <f t="shared" si="23"/>
        <v>4.7619047619047616E-2</v>
      </c>
      <c r="U49" s="57">
        <f t="shared" si="24"/>
        <v>3.1000000000000194E-3</v>
      </c>
      <c r="V49" s="58">
        <f t="shared" si="25"/>
        <v>3.1010937560909946E-3</v>
      </c>
    </row>
    <row r="50" spans="1:22">
      <c r="A50" s="138">
        <v>42</v>
      </c>
      <c r="B50" s="135" t="s">
        <v>291</v>
      </c>
      <c r="C50" s="136" t="s">
        <v>37</v>
      </c>
      <c r="D50" s="44">
        <v>332229442.06999999</v>
      </c>
      <c r="E50" s="30">
        <f t="shared" ref="E50" si="28">(D50/$K$68)</f>
        <v>1.4243787116315478E-4</v>
      </c>
      <c r="F50" s="31">
        <v>100</v>
      </c>
      <c r="G50" s="31">
        <v>100</v>
      </c>
      <c r="H50" s="32">
        <v>1468</v>
      </c>
      <c r="I50" s="50">
        <v>0.20010854</v>
      </c>
      <c r="J50" s="50">
        <v>0.20010854</v>
      </c>
      <c r="K50" s="44">
        <v>334390022.38999999</v>
      </c>
      <c r="L50" s="30">
        <f t="shared" ref="L50" si="29">(K50/$K$68)</f>
        <v>1.4336418419351216E-4</v>
      </c>
      <c r="M50" s="31">
        <v>100</v>
      </c>
      <c r="N50" s="31">
        <v>100</v>
      </c>
      <c r="O50" s="32">
        <v>1540</v>
      </c>
      <c r="P50" s="50">
        <v>0.19669308999999999</v>
      </c>
      <c r="Q50" s="50">
        <v>0.19669308999999999</v>
      </c>
      <c r="R50" s="56">
        <f t="shared" ref="R50" si="30">((K50-D50)/D50)</f>
        <v>6.5032776942892476E-3</v>
      </c>
      <c r="S50" s="56">
        <f t="shared" ref="S50" si="31">((N50-G50)/G50)</f>
        <v>0</v>
      </c>
      <c r="T50" s="56">
        <f t="shared" ref="T50" si="32">((O50-H50)/H50)</f>
        <v>4.9046321525885561E-2</v>
      </c>
      <c r="U50" s="57">
        <f t="shared" ref="U50" si="33">P50-I50</f>
        <v>-3.4154500000000143E-3</v>
      </c>
      <c r="V50" s="58">
        <f t="shared" ref="V50" si="34">Q50-J50</f>
        <v>-3.4154500000000143E-3</v>
      </c>
    </row>
    <row r="51" spans="1:22">
      <c r="A51" s="138">
        <v>43</v>
      </c>
      <c r="B51" s="135" t="s">
        <v>85</v>
      </c>
      <c r="C51" s="136" t="s">
        <v>37</v>
      </c>
      <c r="D51" s="44">
        <v>59819552103.879997</v>
      </c>
      <c r="E51" s="30">
        <f t="shared" si="20"/>
        <v>2.5646642279870003E-2</v>
      </c>
      <c r="F51" s="31">
        <v>100</v>
      </c>
      <c r="G51" s="31">
        <v>100</v>
      </c>
      <c r="H51" s="32">
        <v>11767</v>
      </c>
      <c r="I51" s="50">
        <v>0.184</v>
      </c>
      <c r="J51" s="50">
        <v>0.184</v>
      </c>
      <c r="K51" s="44">
        <v>65638111324.959999</v>
      </c>
      <c r="L51" s="30">
        <f t="shared" si="19"/>
        <v>2.8141253183477866E-2</v>
      </c>
      <c r="M51" s="31">
        <v>100</v>
      </c>
      <c r="N51" s="31">
        <v>100</v>
      </c>
      <c r="O51" s="32">
        <v>11258</v>
      </c>
      <c r="P51" s="50">
        <v>0.17580000000000001</v>
      </c>
      <c r="Q51" s="50">
        <v>0.17580000000000001</v>
      </c>
      <c r="R51" s="56">
        <f t="shared" si="21"/>
        <v>9.7268518677233629E-2</v>
      </c>
      <c r="S51" s="56">
        <f t="shared" si="22"/>
        <v>0</v>
      </c>
      <c r="T51" s="56">
        <f t="shared" si="23"/>
        <v>-4.325656496983088E-2</v>
      </c>
      <c r="U51" s="57">
        <f t="shared" si="24"/>
        <v>-8.1999999999999851E-3</v>
      </c>
      <c r="V51" s="58">
        <f t="shared" si="25"/>
        <v>-8.1999999999999851E-3</v>
      </c>
    </row>
    <row r="52" spans="1:22">
      <c r="A52" s="138">
        <v>44</v>
      </c>
      <c r="B52" s="135" t="s">
        <v>86</v>
      </c>
      <c r="C52" s="136" t="s">
        <v>41</v>
      </c>
      <c r="D52" s="44">
        <v>12801646476.360001</v>
      </c>
      <c r="E52" s="30">
        <f t="shared" si="20"/>
        <v>5.488493915875841E-3</v>
      </c>
      <c r="F52" s="31">
        <v>1</v>
      </c>
      <c r="G52" s="31">
        <v>1</v>
      </c>
      <c r="H52" s="32">
        <v>1408</v>
      </c>
      <c r="I52" s="50">
        <v>0.20269999999999999</v>
      </c>
      <c r="J52" s="50">
        <v>0.20269999999999999</v>
      </c>
      <c r="K52" s="44">
        <v>13802935544.719999</v>
      </c>
      <c r="L52" s="30">
        <f t="shared" si="19"/>
        <v>5.9177800213682215E-3</v>
      </c>
      <c r="M52" s="31">
        <v>1</v>
      </c>
      <c r="N52" s="31">
        <v>1</v>
      </c>
      <c r="O52" s="32">
        <v>1444</v>
      </c>
      <c r="P52" s="50">
        <v>0.21210000000000001</v>
      </c>
      <c r="Q52" s="50">
        <v>0.21210000000000001</v>
      </c>
      <c r="R52" s="56">
        <f t="shared" si="21"/>
        <v>7.8215647511358524E-2</v>
      </c>
      <c r="S52" s="56">
        <f t="shared" si="22"/>
        <v>0</v>
      </c>
      <c r="T52" s="56">
        <f t="shared" si="23"/>
        <v>2.556818181818182E-2</v>
      </c>
      <c r="U52" s="57">
        <f t="shared" si="24"/>
        <v>9.4000000000000195E-3</v>
      </c>
      <c r="V52" s="58">
        <f t="shared" si="25"/>
        <v>9.4000000000000195E-3</v>
      </c>
    </row>
    <row r="53" spans="1:22">
      <c r="A53" s="138">
        <v>45</v>
      </c>
      <c r="B53" s="135" t="s">
        <v>87</v>
      </c>
      <c r="C53" s="136" t="s">
        <v>43</v>
      </c>
      <c r="D53" s="47">
        <v>29292460537.68</v>
      </c>
      <c r="E53" s="30">
        <f t="shared" si="20"/>
        <v>1.2558657336693096E-2</v>
      </c>
      <c r="F53" s="31">
        <v>10</v>
      </c>
      <c r="G53" s="31">
        <v>10</v>
      </c>
      <c r="H53" s="32">
        <v>3942</v>
      </c>
      <c r="I53" s="50">
        <v>0.22969999999999999</v>
      </c>
      <c r="J53" s="50">
        <v>0.22969999999999999</v>
      </c>
      <c r="K53" s="47">
        <v>30581069177.669998</v>
      </c>
      <c r="L53" s="30">
        <f t="shared" si="19"/>
        <v>1.3111126950159655E-2</v>
      </c>
      <c r="M53" s="31">
        <v>10</v>
      </c>
      <c r="N53" s="31">
        <v>10</v>
      </c>
      <c r="O53" s="32">
        <v>4009</v>
      </c>
      <c r="P53" s="50">
        <v>0.2261</v>
      </c>
      <c r="Q53" s="50">
        <v>0.2261</v>
      </c>
      <c r="R53" s="56">
        <f t="shared" si="21"/>
        <v>4.3991136843298355E-2</v>
      </c>
      <c r="S53" s="56">
        <f t="shared" si="22"/>
        <v>0</v>
      </c>
      <c r="T53" s="56">
        <f t="shared" si="23"/>
        <v>1.6996448503297817E-2</v>
      </c>
      <c r="U53" s="57">
        <f t="shared" si="24"/>
        <v>-3.5999999999999921E-3</v>
      </c>
      <c r="V53" s="58">
        <f t="shared" si="25"/>
        <v>-3.5999999999999921E-3</v>
      </c>
    </row>
    <row r="54" spans="1:22">
      <c r="A54" s="138">
        <v>46</v>
      </c>
      <c r="B54" s="135" t="s">
        <v>88</v>
      </c>
      <c r="C54" s="136" t="s">
        <v>89</v>
      </c>
      <c r="D54" s="44">
        <v>15829492914</v>
      </c>
      <c r="E54" s="30">
        <f t="shared" si="20"/>
        <v>6.7866329311877761E-3</v>
      </c>
      <c r="F54" s="31">
        <v>100</v>
      </c>
      <c r="G54" s="31">
        <v>100</v>
      </c>
      <c r="H54" s="32">
        <v>3668</v>
      </c>
      <c r="I54" s="50">
        <v>0.2321</v>
      </c>
      <c r="J54" s="50">
        <v>0.2321</v>
      </c>
      <c r="K54" s="44">
        <v>16230298614</v>
      </c>
      <c r="L54" s="30">
        <f t="shared" si="19"/>
        <v>6.9584717372320314E-3</v>
      </c>
      <c r="M54" s="31">
        <v>100</v>
      </c>
      <c r="N54" s="31">
        <v>100</v>
      </c>
      <c r="O54" s="32">
        <v>3702</v>
      </c>
      <c r="P54" s="50">
        <v>0.22939999999999999</v>
      </c>
      <c r="Q54" s="50">
        <v>0.22939999999999999</v>
      </c>
      <c r="R54" s="56">
        <f t="shared" si="21"/>
        <v>2.5320185692462544E-2</v>
      </c>
      <c r="S54" s="56">
        <f t="shared" si="22"/>
        <v>0</v>
      </c>
      <c r="T54" s="56">
        <f t="shared" si="23"/>
        <v>9.2693565976008727E-3</v>
      </c>
      <c r="U54" s="57">
        <f t="shared" si="24"/>
        <v>-2.7000000000000079E-3</v>
      </c>
      <c r="V54" s="58">
        <f t="shared" si="25"/>
        <v>-2.7000000000000079E-3</v>
      </c>
    </row>
    <row r="55" spans="1:22">
      <c r="A55" s="138">
        <v>47</v>
      </c>
      <c r="B55" s="135" t="s">
        <v>90</v>
      </c>
      <c r="C55" s="136" t="s">
        <v>91</v>
      </c>
      <c r="D55" s="44">
        <v>231052349.37</v>
      </c>
      <c r="E55" s="30">
        <f t="shared" si="20"/>
        <v>9.9059868283961713E-5</v>
      </c>
      <c r="F55" s="31">
        <v>1</v>
      </c>
      <c r="G55" s="31">
        <v>1</v>
      </c>
      <c r="H55" s="32">
        <v>81</v>
      </c>
      <c r="I55" s="50">
        <v>0.2016</v>
      </c>
      <c r="J55" s="50">
        <v>0.2016</v>
      </c>
      <c r="K55" s="44">
        <v>235069835.49000001</v>
      </c>
      <c r="L55" s="30">
        <f t="shared" si="19"/>
        <v>1.0078229892344655E-4</v>
      </c>
      <c r="M55" s="31">
        <v>1</v>
      </c>
      <c r="N55" s="31">
        <v>1</v>
      </c>
      <c r="O55" s="32">
        <v>81</v>
      </c>
      <c r="P55" s="50">
        <v>0.20047999999999999</v>
      </c>
      <c r="Q55" s="50">
        <v>0.20047999999999999</v>
      </c>
      <c r="R55" s="56">
        <f t="shared" si="21"/>
        <v>1.7387774376474867E-2</v>
      </c>
      <c r="S55" s="56">
        <f t="shared" si="22"/>
        <v>0</v>
      </c>
      <c r="T55" s="56">
        <f t="shared" si="23"/>
        <v>0</v>
      </c>
      <c r="U55" s="57">
        <f t="shared" si="24"/>
        <v>-1.1200000000000099E-3</v>
      </c>
      <c r="V55" s="58">
        <f t="shared" si="25"/>
        <v>-1.1200000000000099E-3</v>
      </c>
    </row>
    <row r="56" spans="1:22">
      <c r="A56" s="138">
        <v>48</v>
      </c>
      <c r="B56" s="135" t="s">
        <v>92</v>
      </c>
      <c r="C56" s="136" t="s">
        <v>45</v>
      </c>
      <c r="D56" s="47">
        <v>1100039304.99</v>
      </c>
      <c r="E56" s="30">
        <f t="shared" si="20"/>
        <v>4.7162363402325518E-4</v>
      </c>
      <c r="F56" s="31">
        <v>10</v>
      </c>
      <c r="G56" s="31">
        <v>10</v>
      </c>
      <c r="H56" s="32">
        <v>755</v>
      </c>
      <c r="I56" s="50">
        <v>0.187</v>
      </c>
      <c r="J56" s="50">
        <v>0.187</v>
      </c>
      <c r="K56" s="47">
        <v>1114942924.4400001</v>
      </c>
      <c r="L56" s="30">
        <f t="shared" si="19"/>
        <v>4.7801331404034565E-4</v>
      </c>
      <c r="M56" s="31">
        <v>10</v>
      </c>
      <c r="N56" s="31">
        <v>10</v>
      </c>
      <c r="O56" s="32">
        <v>757</v>
      </c>
      <c r="P56" s="50">
        <v>0.17269999999999999</v>
      </c>
      <c r="Q56" s="50">
        <v>0.17269999999999999</v>
      </c>
      <c r="R56" s="56">
        <f t="shared" si="21"/>
        <v>1.3548260850675268E-2</v>
      </c>
      <c r="S56" s="56">
        <f t="shared" si="22"/>
        <v>0</v>
      </c>
      <c r="T56" s="56">
        <f t="shared" si="23"/>
        <v>2.6490066225165563E-3</v>
      </c>
      <c r="U56" s="57">
        <f t="shared" si="24"/>
        <v>-1.4300000000000007E-2</v>
      </c>
      <c r="V56" s="58">
        <f t="shared" si="25"/>
        <v>-1.4300000000000007E-2</v>
      </c>
    </row>
    <row r="57" spans="1:22">
      <c r="A57" s="138">
        <v>49</v>
      </c>
      <c r="B57" s="135" t="s">
        <v>93</v>
      </c>
      <c r="C57" s="136" t="s">
        <v>94</v>
      </c>
      <c r="D57" s="47">
        <v>764362656.52999997</v>
      </c>
      <c r="E57" s="30">
        <f t="shared" si="20"/>
        <v>3.2770783021032589E-4</v>
      </c>
      <c r="F57" s="31">
        <v>1</v>
      </c>
      <c r="G57" s="31">
        <v>1</v>
      </c>
      <c r="H57" s="32">
        <v>74</v>
      </c>
      <c r="I57" s="50">
        <v>0.18</v>
      </c>
      <c r="J57" s="50">
        <v>0.18</v>
      </c>
      <c r="K57" s="47">
        <v>779349166.63999999</v>
      </c>
      <c r="L57" s="30">
        <f t="shared" si="19"/>
        <v>3.3413304822512102E-4</v>
      </c>
      <c r="M57" s="31">
        <v>1</v>
      </c>
      <c r="N57" s="31">
        <v>1</v>
      </c>
      <c r="O57" s="32">
        <v>75</v>
      </c>
      <c r="P57" s="50">
        <v>0.22109999999999999</v>
      </c>
      <c r="Q57" s="50">
        <v>0.22109999999999999</v>
      </c>
      <c r="R57" s="56">
        <f t="shared" si="21"/>
        <v>1.9606544069061042E-2</v>
      </c>
      <c r="S57" s="56">
        <f t="shared" si="22"/>
        <v>0</v>
      </c>
      <c r="T57" s="56">
        <f t="shared" si="23"/>
        <v>1.3513513513513514E-2</v>
      </c>
      <c r="U57" s="57">
        <f t="shared" si="24"/>
        <v>4.1099999999999998E-2</v>
      </c>
      <c r="V57" s="58">
        <f t="shared" si="25"/>
        <v>4.1099999999999998E-2</v>
      </c>
    </row>
    <row r="58" spans="1:22">
      <c r="A58" s="138">
        <v>50</v>
      </c>
      <c r="B58" s="135" t="s">
        <v>95</v>
      </c>
      <c r="C58" s="136" t="s">
        <v>96</v>
      </c>
      <c r="D58" s="47">
        <v>9702738118.0279007</v>
      </c>
      <c r="E58" s="30">
        <f t="shared" si="20"/>
        <v>4.1598882789391578E-3</v>
      </c>
      <c r="F58" s="31">
        <v>100</v>
      </c>
      <c r="G58" s="31">
        <v>100</v>
      </c>
      <c r="H58" s="32">
        <v>107</v>
      </c>
      <c r="I58" s="50">
        <v>0.21890000000000001</v>
      </c>
      <c r="J58" s="50">
        <v>0.21890000000000001</v>
      </c>
      <c r="K58" s="47">
        <v>9837417118.0278988</v>
      </c>
      <c r="L58" s="30">
        <f t="shared" si="19"/>
        <v>4.2176296697408206E-3</v>
      </c>
      <c r="M58" s="31">
        <v>100</v>
      </c>
      <c r="N58" s="31">
        <v>100</v>
      </c>
      <c r="O58" s="32">
        <v>107</v>
      </c>
      <c r="P58" s="50">
        <v>0.21779999999999999</v>
      </c>
      <c r="Q58" s="50">
        <v>0.21779999999999999</v>
      </c>
      <c r="R58" s="56">
        <f t="shared" si="21"/>
        <v>1.3880514795072284E-2</v>
      </c>
      <c r="S58" s="56">
        <f t="shared" si="22"/>
        <v>0</v>
      </c>
      <c r="T58" s="56">
        <f t="shared" si="23"/>
        <v>0</v>
      </c>
      <c r="U58" s="57">
        <f t="shared" si="24"/>
        <v>-1.1000000000000176E-3</v>
      </c>
      <c r="V58" s="58">
        <f t="shared" si="25"/>
        <v>-1.1000000000000176E-3</v>
      </c>
    </row>
    <row r="59" spans="1:22">
      <c r="A59" s="138">
        <v>51</v>
      </c>
      <c r="B59" s="135" t="s">
        <v>97</v>
      </c>
      <c r="C59" s="136" t="s">
        <v>98</v>
      </c>
      <c r="D59" s="47">
        <v>51723000</v>
      </c>
      <c r="E59" s="30">
        <f t="shared" si="20"/>
        <v>2.2175379654099344E-5</v>
      </c>
      <c r="F59" s="31">
        <v>1000</v>
      </c>
      <c r="G59" s="31">
        <v>1000</v>
      </c>
      <c r="H59" s="32">
        <v>23</v>
      </c>
      <c r="I59" s="50">
        <v>0.18379999999999999</v>
      </c>
      <c r="J59" s="50">
        <v>0.18379999999999999</v>
      </c>
      <c r="K59" s="47">
        <v>51723000</v>
      </c>
      <c r="L59" s="30">
        <f t="shared" si="19"/>
        <v>2.2175379654099344E-5</v>
      </c>
      <c r="M59" s="31">
        <v>1000</v>
      </c>
      <c r="N59" s="31">
        <v>1000</v>
      </c>
      <c r="O59" s="32">
        <v>23</v>
      </c>
      <c r="P59" s="50">
        <v>0.183</v>
      </c>
      <c r="Q59" s="50">
        <v>0.183</v>
      </c>
      <c r="R59" s="56">
        <f t="shared" si="21"/>
        <v>0</v>
      </c>
      <c r="S59" s="56">
        <f t="shared" si="22"/>
        <v>0</v>
      </c>
      <c r="T59" s="56">
        <f t="shared" si="23"/>
        <v>0</v>
      </c>
      <c r="U59" s="57">
        <f t="shared" si="24"/>
        <v>-7.9999999999999516E-4</v>
      </c>
      <c r="V59" s="58">
        <f t="shared" si="25"/>
        <v>-7.9999999999999516E-4</v>
      </c>
    </row>
    <row r="60" spans="1:22">
      <c r="A60" s="138">
        <v>52</v>
      </c>
      <c r="B60" s="135" t="s">
        <v>99</v>
      </c>
      <c r="C60" s="136" t="s">
        <v>49</v>
      </c>
      <c r="D60" s="44">
        <v>1043685514101.87</v>
      </c>
      <c r="E60" s="30">
        <f t="shared" si="20"/>
        <v>0.44746287946740948</v>
      </c>
      <c r="F60" s="31">
        <v>100</v>
      </c>
      <c r="G60" s="31">
        <v>100</v>
      </c>
      <c r="H60" s="32">
        <v>163755</v>
      </c>
      <c r="I60" s="50">
        <v>0.21510000000000001</v>
      </c>
      <c r="J60" s="50">
        <v>0.21510000000000001</v>
      </c>
      <c r="K60" s="44">
        <v>1101291705742.3799</v>
      </c>
      <c r="L60" s="30">
        <f t="shared" si="19"/>
        <v>0.47216058010455564</v>
      </c>
      <c r="M60" s="31">
        <v>100</v>
      </c>
      <c r="N60" s="31">
        <v>100</v>
      </c>
      <c r="O60" s="32">
        <v>165516</v>
      </c>
      <c r="P60" s="50">
        <v>0.21249999999999999</v>
      </c>
      <c r="Q60" s="50">
        <v>0.21249999999999999</v>
      </c>
      <c r="R60" s="56">
        <f t="shared" si="21"/>
        <v>5.5194970958356307E-2</v>
      </c>
      <c r="S60" s="56">
        <f t="shared" si="22"/>
        <v>0</v>
      </c>
      <c r="T60" s="56">
        <f t="shared" si="23"/>
        <v>1.0753870110836311E-2</v>
      </c>
      <c r="U60" s="57">
        <f t="shared" si="24"/>
        <v>-2.600000000000019E-3</v>
      </c>
      <c r="V60" s="58">
        <f t="shared" si="25"/>
        <v>-2.600000000000019E-3</v>
      </c>
    </row>
    <row r="61" spans="1:22">
      <c r="A61" s="138">
        <v>53</v>
      </c>
      <c r="B61" s="135" t="s">
        <v>100</v>
      </c>
      <c r="C61" s="135" t="s">
        <v>101</v>
      </c>
      <c r="D61" s="44">
        <v>2126507309.6600001</v>
      </c>
      <c r="E61" s="30">
        <f t="shared" si="20"/>
        <v>9.1170479146468497E-4</v>
      </c>
      <c r="F61" s="31">
        <v>100</v>
      </c>
      <c r="G61" s="31">
        <v>100</v>
      </c>
      <c r="H61" s="32">
        <v>462</v>
      </c>
      <c r="I61" s="50">
        <v>0.22259999999999999</v>
      </c>
      <c r="J61" s="50">
        <v>0.22259999999999999</v>
      </c>
      <c r="K61" s="44">
        <v>2396547317.5799999</v>
      </c>
      <c r="L61" s="30">
        <f t="shared" si="19"/>
        <v>1.02747997266883E-3</v>
      </c>
      <c r="M61" s="31">
        <v>100</v>
      </c>
      <c r="N61" s="31">
        <v>100</v>
      </c>
      <c r="O61" s="32">
        <v>476</v>
      </c>
      <c r="P61" s="50">
        <v>0.22189999999999999</v>
      </c>
      <c r="Q61" s="50">
        <v>0.22189999999999999</v>
      </c>
      <c r="R61" s="56">
        <f t="shared" si="21"/>
        <v>0.12698757568022448</v>
      </c>
      <c r="S61" s="56">
        <f t="shared" si="22"/>
        <v>0</v>
      </c>
      <c r="T61" s="56">
        <f t="shared" si="23"/>
        <v>3.0303030303030304E-2</v>
      </c>
      <c r="U61" s="57">
        <f t="shared" si="24"/>
        <v>-7.0000000000000617E-4</v>
      </c>
      <c r="V61" s="58">
        <f t="shared" si="25"/>
        <v>-7.0000000000000617E-4</v>
      </c>
    </row>
    <row r="62" spans="1:22">
      <c r="A62" s="138">
        <v>54</v>
      </c>
      <c r="B62" s="135" t="s">
        <v>102</v>
      </c>
      <c r="C62" s="136" t="s">
        <v>103</v>
      </c>
      <c r="D62" s="44">
        <v>3946209347.3499999</v>
      </c>
      <c r="E62" s="30">
        <f t="shared" si="20"/>
        <v>1.6918719036413557E-3</v>
      </c>
      <c r="F62" s="31">
        <v>1</v>
      </c>
      <c r="G62" s="31">
        <v>1</v>
      </c>
      <c r="H62" s="32">
        <v>442</v>
      </c>
      <c r="I62" s="50">
        <v>0.2167394299</v>
      </c>
      <c r="J62" s="50">
        <v>0.2167394299</v>
      </c>
      <c r="K62" s="44">
        <v>4308663143.3400002</v>
      </c>
      <c r="L62" s="30">
        <f t="shared" si="19"/>
        <v>1.8472679659955835E-3</v>
      </c>
      <c r="M62" s="31">
        <v>1</v>
      </c>
      <c r="N62" s="31">
        <v>1</v>
      </c>
      <c r="O62" s="32">
        <v>445</v>
      </c>
      <c r="P62" s="50">
        <v>0.214819067</v>
      </c>
      <c r="Q62" s="50">
        <v>0.214819067</v>
      </c>
      <c r="R62" s="56">
        <f t="shared" si="21"/>
        <v>9.1848598005424886E-2</v>
      </c>
      <c r="S62" s="56">
        <f t="shared" si="22"/>
        <v>0</v>
      </c>
      <c r="T62" s="56">
        <f t="shared" si="23"/>
        <v>6.7873303167420816E-3</v>
      </c>
      <c r="U62" s="57">
        <f t="shared" si="24"/>
        <v>-1.9203629E-3</v>
      </c>
      <c r="V62" s="58">
        <f t="shared" si="25"/>
        <v>-1.9203629E-3</v>
      </c>
    </row>
    <row r="63" spans="1:22">
      <c r="A63" s="138">
        <v>55</v>
      </c>
      <c r="B63" s="135" t="s">
        <v>104</v>
      </c>
      <c r="C63" s="136" t="s">
        <v>52</v>
      </c>
      <c r="D63" s="44">
        <v>99115679742.429993</v>
      </c>
      <c r="E63" s="30">
        <f t="shared" si="20"/>
        <v>4.2494206213145189E-2</v>
      </c>
      <c r="F63" s="31">
        <v>1</v>
      </c>
      <c r="G63" s="31">
        <v>1</v>
      </c>
      <c r="H63" s="32">
        <v>48056</v>
      </c>
      <c r="I63" s="50">
        <v>0.21110000000000001</v>
      </c>
      <c r="J63" s="50">
        <v>0.21110000000000001</v>
      </c>
      <c r="K63" s="44">
        <v>104517219101.96001</v>
      </c>
      <c r="L63" s="30">
        <f t="shared" si="19"/>
        <v>4.4810026757470513E-2</v>
      </c>
      <c r="M63" s="31">
        <v>1</v>
      </c>
      <c r="N63" s="31">
        <v>1</v>
      </c>
      <c r="O63" s="32">
        <v>48765</v>
      </c>
      <c r="P63" s="50">
        <v>0.20979999999999999</v>
      </c>
      <c r="Q63" s="50">
        <v>0.20979999999999999</v>
      </c>
      <c r="R63" s="56">
        <f t="shared" si="21"/>
        <v>5.4497324475470385E-2</v>
      </c>
      <c r="S63" s="56">
        <f t="shared" si="22"/>
        <v>0</v>
      </c>
      <c r="T63" s="56">
        <f t="shared" si="23"/>
        <v>1.4753620775761611E-2</v>
      </c>
      <c r="U63" s="57">
        <f t="shared" si="24"/>
        <v>-1.3000000000000234E-3</v>
      </c>
      <c r="V63" s="58">
        <f t="shared" si="25"/>
        <v>-1.3000000000000234E-3</v>
      </c>
    </row>
    <row r="64" spans="1:22">
      <c r="A64" s="138">
        <v>56</v>
      </c>
      <c r="B64" s="135" t="s">
        <v>105</v>
      </c>
      <c r="C64" s="136" t="s">
        <v>106</v>
      </c>
      <c r="D64" s="44">
        <v>1620065672.4400001</v>
      </c>
      <c r="E64" s="30">
        <f t="shared" si="20"/>
        <v>6.9457632679718407E-4</v>
      </c>
      <c r="F64" s="31">
        <v>1</v>
      </c>
      <c r="G64" s="31">
        <v>1</v>
      </c>
      <c r="H64" s="32">
        <v>150</v>
      </c>
      <c r="I64" s="50">
        <v>0.21110000000000001</v>
      </c>
      <c r="J64" s="50">
        <v>0.21110000000000001</v>
      </c>
      <c r="K64" s="44">
        <v>1729180203.73</v>
      </c>
      <c r="L64" s="30">
        <f t="shared" si="19"/>
        <v>7.4135737501818534E-4</v>
      </c>
      <c r="M64" s="31">
        <v>1</v>
      </c>
      <c r="N64" s="31">
        <v>1</v>
      </c>
      <c r="O64" s="32">
        <v>154</v>
      </c>
      <c r="P64" s="50">
        <v>0.20039999999999999</v>
      </c>
      <c r="Q64" s="50">
        <v>0.20039999999999999</v>
      </c>
      <c r="R64" s="56">
        <f t="shared" si="21"/>
        <v>6.7351918595782156E-2</v>
      </c>
      <c r="S64" s="56">
        <f t="shared" si="22"/>
        <v>0</v>
      </c>
      <c r="T64" s="56">
        <f t="shared" si="23"/>
        <v>2.6666666666666668E-2</v>
      </c>
      <c r="U64" s="57">
        <f t="shared" si="24"/>
        <v>-1.0700000000000015E-2</v>
      </c>
      <c r="V64" s="58">
        <f t="shared" si="25"/>
        <v>-1.0700000000000015E-2</v>
      </c>
    </row>
    <row r="65" spans="1:22">
      <c r="A65" s="138">
        <v>57</v>
      </c>
      <c r="B65" s="135" t="s">
        <v>107</v>
      </c>
      <c r="C65" s="136" t="s">
        <v>108</v>
      </c>
      <c r="D65" s="44">
        <v>3680590849.0599999</v>
      </c>
      <c r="E65" s="30">
        <f t="shared" si="20"/>
        <v>1.5779923714654865E-3</v>
      </c>
      <c r="F65" s="31">
        <v>1</v>
      </c>
      <c r="G65" s="31">
        <v>1</v>
      </c>
      <c r="H65" s="32">
        <v>341</v>
      </c>
      <c r="I65" s="50">
        <v>0.18410000000000001</v>
      </c>
      <c r="J65" s="50">
        <v>0.18410000000000001</v>
      </c>
      <c r="K65" s="44">
        <v>4007563642.3200002</v>
      </c>
      <c r="L65" s="30">
        <f t="shared" si="19"/>
        <v>1.7181765415078629E-3</v>
      </c>
      <c r="M65" s="31">
        <v>1</v>
      </c>
      <c r="N65" s="31">
        <v>1</v>
      </c>
      <c r="O65" s="32">
        <v>338</v>
      </c>
      <c r="P65" s="50">
        <v>0.20349999999999999</v>
      </c>
      <c r="Q65" s="50">
        <v>0.20349999999999999</v>
      </c>
      <c r="R65" s="56">
        <f t="shared" si="21"/>
        <v>8.8837039124712011E-2</v>
      </c>
      <c r="S65" s="56">
        <f t="shared" si="22"/>
        <v>0</v>
      </c>
      <c r="T65" s="56">
        <f t="shared" si="23"/>
        <v>-8.7976539589442824E-3</v>
      </c>
      <c r="U65" s="57">
        <f t="shared" si="24"/>
        <v>1.9399999999999973E-2</v>
      </c>
      <c r="V65" s="58">
        <f t="shared" si="25"/>
        <v>1.9399999999999973E-2</v>
      </c>
    </row>
    <row r="66" spans="1:22">
      <c r="A66" s="138">
        <v>58</v>
      </c>
      <c r="B66" s="135" t="s">
        <v>109</v>
      </c>
      <c r="C66" s="136" t="s">
        <v>110</v>
      </c>
      <c r="D66" s="44">
        <v>4205273570.73</v>
      </c>
      <c r="E66" s="30">
        <f t="shared" si="20"/>
        <v>1.8029413989963409E-3</v>
      </c>
      <c r="F66" s="31">
        <v>1</v>
      </c>
      <c r="G66" s="31">
        <v>1</v>
      </c>
      <c r="H66" s="32">
        <v>2756</v>
      </c>
      <c r="I66" s="50">
        <v>0.24690000000000001</v>
      </c>
      <c r="J66" s="50">
        <v>0.24690000000000001</v>
      </c>
      <c r="K66" s="44">
        <v>4126901648.9899998</v>
      </c>
      <c r="L66" s="30">
        <f t="shared" si="19"/>
        <v>1.7693407354848303E-3</v>
      </c>
      <c r="M66" s="31">
        <v>1</v>
      </c>
      <c r="N66" s="31">
        <v>1</v>
      </c>
      <c r="O66" s="32">
        <v>2839</v>
      </c>
      <c r="P66" s="50">
        <v>0.248</v>
      </c>
      <c r="Q66" s="50">
        <v>0.248</v>
      </c>
      <c r="R66" s="56">
        <f t="shared" si="21"/>
        <v>-1.8636581050396572E-2</v>
      </c>
      <c r="S66" s="56">
        <f t="shared" si="22"/>
        <v>0</v>
      </c>
      <c r="T66" s="56">
        <f t="shared" si="23"/>
        <v>3.0116110304789549E-2</v>
      </c>
      <c r="U66" s="57">
        <f t="shared" si="24"/>
        <v>1.0999999999999899E-3</v>
      </c>
      <c r="V66" s="58">
        <f t="shared" si="25"/>
        <v>1.0999999999999899E-3</v>
      </c>
    </row>
    <row r="67" spans="1:22">
      <c r="A67" s="138">
        <v>59</v>
      </c>
      <c r="B67" s="135" t="s">
        <v>111</v>
      </c>
      <c r="C67" s="136" t="s">
        <v>112</v>
      </c>
      <c r="D67" s="44">
        <v>74799476002.860001</v>
      </c>
      <c r="E67" s="30">
        <f t="shared" si="20"/>
        <v>3.2069036565765978E-2</v>
      </c>
      <c r="F67" s="31">
        <v>1</v>
      </c>
      <c r="G67" s="31">
        <v>1</v>
      </c>
      <c r="H67" s="32">
        <v>4816</v>
      </c>
      <c r="I67" s="50">
        <v>0.21590000000000001</v>
      </c>
      <c r="J67" s="50">
        <v>0.21590000000000001</v>
      </c>
      <c r="K67" s="44">
        <v>81361100276.710007</v>
      </c>
      <c r="L67" s="30">
        <f t="shared" si="19"/>
        <v>3.4882224304686342E-2</v>
      </c>
      <c r="M67" s="31">
        <v>1</v>
      </c>
      <c r="N67" s="31">
        <v>1</v>
      </c>
      <c r="O67" s="32">
        <v>4897</v>
      </c>
      <c r="P67" s="50">
        <v>0.21410000000000001</v>
      </c>
      <c r="Q67" s="50">
        <v>0.21410000000000001</v>
      </c>
      <c r="R67" s="56">
        <f t="shared" si="21"/>
        <v>8.7722864176202495E-2</v>
      </c>
      <c r="S67" s="56">
        <f t="shared" si="22"/>
        <v>0</v>
      </c>
      <c r="T67" s="56">
        <f t="shared" si="23"/>
        <v>1.6818936877076411E-2</v>
      </c>
      <c r="U67" s="57">
        <f t="shared" si="24"/>
        <v>-1.799999999999996E-3</v>
      </c>
      <c r="V67" s="58">
        <f t="shared" si="25"/>
        <v>-1.799999999999996E-3</v>
      </c>
    </row>
    <row r="68" spans="1:22">
      <c r="A68" s="36"/>
      <c r="B68" s="37"/>
      <c r="C68" s="38" t="s">
        <v>53</v>
      </c>
      <c r="D68" s="48">
        <f>SUM(D28:D67)</f>
        <v>2212690003394.8403</v>
      </c>
      <c r="E68" s="40">
        <f>(D68/$D$217)</f>
        <v>0.49471075124183139</v>
      </c>
      <c r="F68" s="41"/>
      <c r="G68" s="45"/>
      <c r="H68" s="43">
        <f>SUM(H28:H67)</f>
        <v>389919</v>
      </c>
      <c r="I68" s="55"/>
      <c r="J68" s="55"/>
      <c r="K68" s="48">
        <f>SUM(K28:K67)</f>
        <v>2332451611056.791</v>
      </c>
      <c r="L68" s="40">
        <f>(K68/$K$217)</f>
        <v>0.5062316092912944</v>
      </c>
      <c r="M68" s="41"/>
      <c r="N68" s="45"/>
      <c r="O68" s="43">
        <f>SUM(O28:O67)</f>
        <v>393255</v>
      </c>
      <c r="P68" s="55"/>
      <c r="Q68" s="55"/>
      <c r="R68" s="56">
        <f t="shared" si="21"/>
        <v>5.4124892089811638E-2</v>
      </c>
      <c r="S68" s="56" t="e">
        <f t="shared" si="22"/>
        <v>#DIV/0!</v>
      </c>
      <c r="T68" s="56">
        <f t="shared" si="23"/>
        <v>8.5556230909496593E-3</v>
      </c>
      <c r="U68" s="57">
        <f t="shared" si="24"/>
        <v>0</v>
      </c>
      <c r="V68" s="58">
        <f t="shared" si="25"/>
        <v>0</v>
      </c>
    </row>
    <row r="69" spans="1:22" ht="3" customHeight="1">
      <c r="A69" s="3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</row>
    <row r="70" spans="1:22" ht="15" customHeight="1">
      <c r="A70" s="156" t="s">
        <v>113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</row>
    <row r="71" spans="1:22">
      <c r="A71" s="138">
        <v>60</v>
      </c>
      <c r="B71" s="135" t="s">
        <v>114</v>
      </c>
      <c r="C71" s="136" t="s">
        <v>21</v>
      </c>
      <c r="D71" s="29">
        <v>547207321.03999996</v>
      </c>
      <c r="E71" s="30">
        <f>(D71/$D$108)</f>
        <v>2.8403974196360747E-3</v>
      </c>
      <c r="F71" s="60">
        <v>1.4321999999999999</v>
      </c>
      <c r="G71" s="60">
        <v>1.4321999999999999</v>
      </c>
      <c r="H71" s="32">
        <v>470</v>
      </c>
      <c r="I71" s="50">
        <v>6.29E-4</v>
      </c>
      <c r="J71" s="50">
        <v>9.8599999999999993E-2</v>
      </c>
      <c r="K71" s="29">
        <v>551035859.96000004</v>
      </c>
      <c r="L71" s="30">
        <f t="shared" ref="L71:L93" si="35">(K71/$K$108)</f>
        <v>2.8193730843491874E-3</v>
      </c>
      <c r="M71" s="60">
        <v>1.4421999999999999</v>
      </c>
      <c r="N71" s="60">
        <v>1.4421999999999999</v>
      </c>
      <c r="O71" s="32">
        <v>472</v>
      </c>
      <c r="P71" s="50">
        <v>4.1599999999999997E-4</v>
      </c>
      <c r="Q71" s="50">
        <v>0.1062</v>
      </c>
      <c r="R71" s="56">
        <f>((K71-D71)/D71)</f>
        <v>6.9965052966099051E-3</v>
      </c>
      <c r="S71" s="56">
        <f>((N71-G71)/G71)</f>
        <v>6.9822650467811827E-3</v>
      </c>
      <c r="T71" s="56">
        <f>((O71-H71)/H71)</f>
        <v>4.2553191489361703E-3</v>
      </c>
      <c r="U71" s="57">
        <f>P71-I71</f>
        <v>-2.1300000000000003E-4</v>
      </c>
      <c r="V71" s="58">
        <f>Q71-J71</f>
        <v>7.6000000000000095E-3</v>
      </c>
    </row>
    <row r="72" spans="1:22">
      <c r="A72" s="138">
        <v>61</v>
      </c>
      <c r="B72" s="135" t="s">
        <v>115</v>
      </c>
      <c r="C72" s="136" t="s">
        <v>23</v>
      </c>
      <c r="D72" s="29">
        <v>1318054352.73</v>
      </c>
      <c r="E72" s="30">
        <f>(D72/$D$108)</f>
        <v>6.8416449094998912E-3</v>
      </c>
      <c r="F72" s="60">
        <v>1.2235</v>
      </c>
      <c r="G72" s="60">
        <v>1.2235</v>
      </c>
      <c r="H72" s="32">
        <v>880</v>
      </c>
      <c r="I72" s="50">
        <v>7.2599999999999998E-2</v>
      </c>
      <c r="J72" s="50">
        <v>0.19800000000000001</v>
      </c>
      <c r="K72" s="29">
        <v>1319792487.22</v>
      </c>
      <c r="L72" s="30">
        <f t="shared" si="35"/>
        <v>6.7527137265884028E-3</v>
      </c>
      <c r="M72" s="60">
        <v>1.2250000000000001</v>
      </c>
      <c r="N72" s="60">
        <v>1.2250000000000001</v>
      </c>
      <c r="O72" s="32">
        <v>889</v>
      </c>
      <c r="P72" s="50">
        <v>6.3899999999999998E-2</v>
      </c>
      <c r="Q72" s="50">
        <v>0.18540000000000001</v>
      </c>
      <c r="R72" s="56">
        <f t="shared" ref="R72:R108" si="36">((K72-D72)/D72)</f>
        <v>1.3187123022657791E-3</v>
      </c>
      <c r="S72" s="56">
        <f t="shared" ref="S72:S108" si="37">((N72-G72)/G72)</f>
        <v>1.2259910093993108E-3</v>
      </c>
      <c r="T72" s="56">
        <f t="shared" ref="T72:T108" si="38">((O72-H72)/H72)</f>
        <v>1.0227272727272727E-2</v>
      </c>
      <c r="U72" s="57">
        <f t="shared" ref="U72:U108" si="39">P72-I72</f>
        <v>-8.6999999999999994E-3</v>
      </c>
      <c r="V72" s="58">
        <f t="shared" ref="V72:V108" si="40">Q72-J72</f>
        <v>-1.26E-2</v>
      </c>
    </row>
    <row r="73" spans="1:22">
      <c r="A73" s="138">
        <v>62</v>
      </c>
      <c r="B73" s="135" t="s">
        <v>116</v>
      </c>
      <c r="C73" s="136" t="s">
        <v>23</v>
      </c>
      <c r="D73" s="29">
        <v>857059539.75</v>
      </c>
      <c r="E73" s="30">
        <f>(D73/$D$108)</f>
        <v>4.4487520754541076E-3</v>
      </c>
      <c r="F73" s="60">
        <v>1.0966</v>
      </c>
      <c r="G73" s="60">
        <v>1.0966</v>
      </c>
      <c r="H73" s="32">
        <v>231</v>
      </c>
      <c r="I73" s="50">
        <v>0.13350000000000001</v>
      </c>
      <c r="J73" s="50">
        <v>0.1206</v>
      </c>
      <c r="K73" s="29">
        <v>854677291.15999997</v>
      </c>
      <c r="L73" s="30">
        <f t="shared" si="35"/>
        <v>4.3729534238949449E-3</v>
      </c>
      <c r="M73" s="60">
        <v>1.099</v>
      </c>
      <c r="N73" s="60">
        <v>1.099</v>
      </c>
      <c r="O73" s="32">
        <v>230</v>
      </c>
      <c r="P73" s="50">
        <v>0.11409999999999999</v>
      </c>
      <c r="Q73" s="50">
        <v>0.1202</v>
      </c>
      <c r="R73" s="56">
        <f t="shared" si="36"/>
        <v>-2.7795602049945369E-3</v>
      </c>
      <c r="S73" s="56">
        <f t="shared" si="37"/>
        <v>2.1885828925770176E-3</v>
      </c>
      <c r="T73" s="56">
        <f t="shared" si="38"/>
        <v>-4.329004329004329E-3</v>
      </c>
      <c r="U73" s="57">
        <f t="shared" si="39"/>
        <v>-1.9400000000000014E-2</v>
      </c>
      <c r="V73" s="58">
        <f t="shared" si="40"/>
        <v>-3.9999999999999758E-4</v>
      </c>
    </row>
    <row r="74" spans="1:22">
      <c r="A74" s="138">
        <v>63</v>
      </c>
      <c r="B74" s="135" t="s">
        <v>117</v>
      </c>
      <c r="C74" s="136" t="s">
        <v>118</v>
      </c>
      <c r="D74" s="29">
        <v>284235144.22000003</v>
      </c>
      <c r="E74" s="30">
        <f>(D74/$D$108)</f>
        <v>1.4753837150387108E-3</v>
      </c>
      <c r="F74" s="35">
        <v>1133.77</v>
      </c>
      <c r="G74" s="35">
        <v>1133.77</v>
      </c>
      <c r="H74" s="32">
        <v>111</v>
      </c>
      <c r="I74" s="50">
        <v>1.8550000000000001E-3</v>
      </c>
      <c r="J74" s="50">
        <v>1.8987E-2</v>
      </c>
      <c r="K74" s="29">
        <v>284174286.06999999</v>
      </c>
      <c r="L74" s="30">
        <f t="shared" si="35"/>
        <v>1.4539767583693431E-3</v>
      </c>
      <c r="M74" s="35">
        <v>1134.1099999999999</v>
      </c>
      <c r="N74" s="35">
        <v>1134.1099999999999</v>
      </c>
      <c r="O74" s="32">
        <v>111</v>
      </c>
      <c r="P74" s="50">
        <v>-8.7299999999999997E-4</v>
      </c>
      <c r="Q74" s="50">
        <v>1.8709E-2</v>
      </c>
      <c r="R74" s="56">
        <f t="shared" si="36"/>
        <v>-2.141119817081139E-4</v>
      </c>
      <c r="S74" s="56">
        <f t="shared" si="37"/>
        <v>2.9988445628294816E-4</v>
      </c>
      <c r="T74" s="56">
        <f t="shared" si="38"/>
        <v>0</v>
      </c>
      <c r="U74" s="57">
        <f t="shared" si="39"/>
        <v>-2.728E-3</v>
      </c>
      <c r="V74" s="58">
        <f t="shared" si="40"/>
        <v>-2.7800000000000047E-4</v>
      </c>
    </row>
    <row r="75" spans="1:22" ht="15" customHeight="1">
      <c r="A75" s="138">
        <v>64</v>
      </c>
      <c r="B75" s="135" t="s">
        <v>119</v>
      </c>
      <c r="C75" s="136" t="s">
        <v>27</v>
      </c>
      <c r="D75" s="29">
        <v>1717402986.4200001</v>
      </c>
      <c r="E75" s="30">
        <f>(D75/$K$108)</f>
        <v>8.7870864797164831E-3</v>
      </c>
      <c r="F75" s="35">
        <v>1.0662</v>
      </c>
      <c r="G75" s="35">
        <v>1.0662</v>
      </c>
      <c r="H75" s="32">
        <v>893</v>
      </c>
      <c r="I75" s="50">
        <v>3.2000000000000002E-3</v>
      </c>
      <c r="J75" s="50">
        <v>2.06E-2</v>
      </c>
      <c r="K75" s="29">
        <v>1717402986.4200001</v>
      </c>
      <c r="L75" s="30">
        <f t="shared" si="35"/>
        <v>8.7870864797164831E-3</v>
      </c>
      <c r="M75" s="35">
        <v>1.0662</v>
      </c>
      <c r="N75" s="35">
        <v>1.0662</v>
      </c>
      <c r="O75" s="32">
        <v>893</v>
      </c>
      <c r="P75" s="50">
        <v>3.3E-3</v>
      </c>
      <c r="Q75" s="50">
        <v>2.06E-2</v>
      </c>
      <c r="R75" s="56">
        <f t="shared" si="36"/>
        <v>0</v>
      </c>
      <c r="S75" s="56">
        <f t="shared" si="37"/>
        <v>0</v>
      </c>
      <c r="T75" s="56">
        <f t="shared" si="38"/>
        <v>0</v>
      </c>
      <c r="U75" s="57">
        <f t="shared" si="39"/>
        <v>9.9999999999999829E-5</v>
      </c>
      <c r="V75" s="58">
        <f t="shared" si="40"/>
        <v>0</v>
      </c>
    </row>
    <row r="76" spans="1:22">
      <c r="A76" s="138">
        <v>65</v>
      </c>
      <c r="B76" s="135" t="s">
        <v>120</v>
      </c>
      <c r="C76" s="136" t="s">
        <v>121</v>
      </c>
      <c r="D76" s="29">
        <v>438412248.77121896</v>
      </c>
      <c r="E76" s="30">
        <f t="shared" ref="E76:E93" si="41">(D76/$D$108)</f>
        <v>2.2756731722446974E-3</v>
      </c>
      <c r="F76" s="35">
        <v>2.5228000000000002</v>
      </c>
      <c r="G76" s="35">
        <v>2.5228000000000002</v>
      </c>
      <c r="H76" s="32">
        <v>1390</v>
      </c>
      <c r="I76" s="50">
        <v>0.1409</v>
      </c>
      <c r="J76" s="50">
        <v>0.13450000000000001</v>
      </c>
      <c r="K76" s="29">
        <v>439576875.07159001</v>
      </c>
      <c r="L76" s="30">
        <f t="shared" si="35"/>
        <v>2.2490935710955903E-3</v>
      </c>
      <c r="M76" s="35">
        <v>2.5295000000000001</v>
      </c>
      <c r="N76" s="35">
        <v>2.5295000000000001</v>
      </c>
      <c r="O76" s="32">
        <v>1390</v>
      </c>
      <c r="P76" s="50">
        <v>0.13850000000000001</v>
      </c>
      <c r="Q76" s="50">
        <v>0.13519999999999999</v>
      </c>
      <c r="R76" s="56">
        <f t="shared" si="36"/>
        <v>2.6564638730675596E-3</v>
      </c>
      <c r="S76" s="56">
        <f t="shared" si="37"/>
        <v>2.6557792928491863E-3</v>
      </c>
      <c r="T76" s="56">
        <f t="shared" si="38"/>
        <v>0</v>
      </c>
      <c r="U76" s="57">
        <f t="shared" si="39"/>
        <v>-2.3999999999999855E-3</v>
      </c>
      <c r="V76" s="58">
        <f t="shared" si="40"/>
        <v>6.9999999999997842E-4</v>
      </c>
    </row>
    <row r="77" spans="1:22">
      <c r="A77" s="138">
        <v>66</v>
      </c>
      <c r="B77" s="135" t="s">
        <v>122</v>
      </c>
      <c r="C77" s="136" t="s">
        <v>63</v>
      </c>
      <c r="D77" s="29">
        <v>149804917.34</v>
      </c>
      <c r="E77" s="30">
        <f t="shared" si="41"/>
        <v>7.7759467810597463E-4</v>
      </c>
      <c r="F77" s="35">
        <v>11.46</v>
      </c>
      <c r="G77" s="35">
        <v>11.53</v>
      </c>
      <c r="H77" s="32">
        <v>29</v>
      </c>
      <c r="I77" s="50">
        <v>0.24299999999999999</v>
      </c>
      <c r="J77" s="50">
        <v>0.308</v>
      </c>
      <c r="K77" s="29">
        <v>150539253.5</v>
      </c>
      <c r="L77" s="30">
        <f t="shared" si="35"/>
        <v>7.70233573340814E-4</v>
      </c>
      <c r="M77" s="35">
        <v>11.52</v>
      </c>
      <c r="N77" s="35">
        <v>11.58</v>
      </c>
      <c r="O77" s="32">
        <v>29</v>
      </c>
      <c r="P77" s="50">
        <v>0.47799999999999998</v>
      </c>
      <c r="Q77" s="50">
        <v>0.311</v>
      </c>
      <c r="R77" s="56">
        <f t="shared" si="36"/>
        <v>4.9019496358275981E-3</v>
      </c>
      <c r="S77" s="56">
        <f t="shared" si="37"/>
        <v>4.3365134431917361E-3</v>
      </c>
      <c r="T77" s="56">
        <f t="shared" si="38"/>
        <v>0</v>
      </c>
      <c r="U77" s="57">
        <f t="shared" si="39"/>
        <v>0.23499999999999999</v>
      </c>
      <c r="V77" s="58">
        <f t="shared" si="40"/>
        <v>3.0000000000000027E-3</v>
      </c>
    </row>
    <row r="78" spans="1:22">
      <c r="A78" s="138">
        <v>67</v>
      </c>
      <c r="B78" s="135" t="s">
        <v>123</v>
      </c>
      <c r="C78" s="136" t="s">
        <v>65</v>
      </c>
      <c r="D78" s="29">
        <v>2041869844.33653</v>
      </c>
      <c r="E78" s="30">
        <f t="shared" si="41"/>
        <v>1.0598765064150599E-2</v>
      </c>
      <c r="F78" s="29">
        <v>4483.7226976441398</v>
      </c>
      <c r="G78" s="29">
        <v>4483.7226976441398</v>
      </c>
      <c r="H78" s="32">
        <v>1073</v>
      </c>
      <c r="I78" s="50">
        <v>0.10879395045909661</v>
      </c>
      <c r="J78" s="50">
        <v>0.12543508322024921</v>
      </c>
      <c r="K78" s="29">
        <v>2045003001.59443</v>
      </c>
      <c r="L78" s="30">
        <f t="shared" si="35"/>
        <v>1.0463250831855415E-2</v>
      </c>
      <c r="M78" s="29">
        <v>4493.2517027128297</v>
      </c>
      <c r="N78" s="29">
        <v>4493.2517027128297</v>
      </c>
      <c r="O78" s="32">
        <v>1072</v>
      </c>
      <c r="P78" s="50">
        <v>0.11081629786590669</v>
      </c>
      <c r="Q78" s="50">
        <v>0.12427429956978686</v>
      </c>
      <c r="R78" s="56">
        <f t="shared" si="36"/>
        <v>1.5344549343291097E-3</v>
      </c>
      <c r="S78" s="56">
        <f t="shared" si="37"/>
        <v>2.1252440686612244E-3</v>
      </c>
      <c r="T78" s="56">
        <f t="shared" si="38"/>
        <v>-9.3196644920782849E-4</v>
      </c>
      <c r="U78" s="57">
        <f t="shared" si="39"/>
        <v>2.0223474068100794E-3</v>
      </c>
      <c r="V78" s="58">
        <f t="shared" si="40"/>
        <v>-1.1607836504623492E-3</v>
      </c>
    </row>
    <row r="79" spans="1:22">
      <c r="A79" s="138">
        <v>68</v>
      </c>
      <c r="B79" s="135" t="s">
        <v>124</v>
      </c>
      <c r="C79" s="136" t="s">
        <v>67</v>
      </c>
      <c r="D79" s="29">
        <v>361838533.29000002</v>
      </c>
      <c r="E79" s="30">
        <f t="shared" si="41"/>
        <v>1.8782008148730343E-3</v>
      </c>
      <c r="F79" s="60">
        <v>112.41</v>
      </c>
      <c r="G79" s="60">
        <v>112.41</v>
      </c>
      <c r="H79" s="32">
        <v>136</v>
      </c>
      <c r="I79" s="50">
        <v>2.2000000000000001E-3</v>
      </c>
      <c r="J79" s="50">
        <v>0.13350000000000001</v>
      </c>
      <c r="K79" s="29">
        <v>362354356.06</v>
      </c>
      <c r="L79" s="30">
        <f t="shared" si="35"/>
        <v>1.8539848178781054E-3</v>
      </c>
      <c r="M79" s="60">
        <v>112.68</v>
      </c>
      <c r="N79" s="60">
        <v>112.68</v>
      </c>
      <c r="O79" s="32">
        <v>136</v>
      </c>
      <c r="P79" s="50">
        <v>2.3999999999999998E-3</v>
      </c>
      <c r="Q79" s="50">
        <v>0.1303</v>
      </c>
      <c r="R79" s="56">
        <f t="shared" si="36"/>
        <v>1.4255606369777325E-3</v>
      </c>
      <c r="S79" s="56">
        <f t="shared" si="37"/>
        <v>2.4019215372298747E-3</v>
      </c>
      <c r="T79" s="56">
        <f t="shared" si="38"/>
        <v>0</v>
      </c>
      <c r="U79" s="57">
        <f t="shared" si="39"/>
        <v>1.9999999999999966E-4</v>
      </c>
      <c r="V79" s="58">
        <f t="shared" si="40"/>
        <v>-3.2000000000000084E-3</v>
      </c>
    </row>
    <row r="80" spans="1:22" ht="13.5" customHeight="1">
      <c r="A80" s="138">
        <v>69</v>
      </c>
      <c r="B80" s="135" t="s">
        <v>125</v>
      </c>
      <c r="C80" s="136" t="s">
        <v>302</v>
      </c>
      <c r="D80" s="29">
        <v>367353453.75</v>
      </c>
      <c r="E80" s="30">
        <f t="shared" si="41"/>
        <v>1.9068271969439295E-3</v>
      </c>
      <c r="F80" s="60">
        <v>1.4081999999999999</v>
      </c>
      <c r="G80" s="60">
        <v>1.4081999999999999</v>
      </c>
      <c r="H80" s="32">
        <v>389</v>
      </c>
      <c r="I80" s="50">
        <v>5.4980364155656769E-3</v>
      </c>
      <c r="J80" s="50">
        <v>7.2514751248635823E-2</v>
      </c>
      <c r="K80" s="29">
        <v>367501119.79000002</v>
      </c>
      <c r="L80" s="30">
        <f t="shared" si="35"/>
        <v>1.8803182168204537E-3</v>
      </c>
      <c r="M80" s="60">
        <v>1.4125000000000001</v>
      </c>
      <c r="N80" s="60">
        <v>1.4125000000000001</v>
      </c>
      <c r="O80" s="32">
        <v>390</v>
      </c>
      <c r="P80" s="50">
        <v>3.0535435307486036E-3</v>
      </c>
      <c r="Q80" s="50">
        <v>7.5654583304130774E-2</v>
      </c>
      <c r="R80" s="56">
        <f t="shared" si="36"/>
        <v>4.0197264648698423E-4</v>
      </c>
      <c r="S80" s="56">
        <f t="shared" si="37"/>
        <v>3.0535435307486101E-3</v>
      </c>
      <c r="T80" s="56">
        <f t="shared" si="38"/>
        <v>2.5706940874035988E-3</v>
      </c>
      <c r="U80" s="57">
        <f t="shared" si="39"/>
        <v>-2.4444928848170733E-3</v>
      </c>
      <c r="V80" s="58">
        <f t="shared" si="40"/>
        <v>3.139832055494951E-3</v>
      </c>
    </row>
    <row r="81" spans="1:22" ht="13.5" customHeight="1">
      <c r="A81" s="138">
        <v>70</v>
      </c>
      <c r="B81" s="135" t="s">
        <v>300</v>
      </c>
      <c r="C81" s="136" t="s">
        <v>302</v>
      </c>
      <c r="D81" s="29">
        <v>25137783.280000001</v>
      </c>
      <c r="E81" s="30">
        <f t="shared" ref="E81" si="42">(D81/$D$108)</f>
        <v>1.3048307655712731E-4</v>
      </c>
      <c r="F81" s="60">
        <v>0.89090000000000003</v>
      </c>
      <c r="G81" s="60">
        <v>0.89090000000000003</v>
      </c>
      <c r="H81" s="32">
        <v>1</v>
      </c>
      <c r="I81" s="50">
        <v>-5.6123021663490036E-4</v>
      </c>
      <c r="J81" s="50">
        <v>-8.8172043010752765E-2</v>
      </c>
      <c r="K81" s="29">
        <v>25216964.34</v>
      </c>
      <c r="L81" s="30">
        <f t="shared" ref="L81" si="43">(K81/$K$108)</f>
        <v>1.2902251141032849E-4</v>
      </c>
      <c r="M81" s="60">
        <v>0.89090000000000003</v>
      </c>
      <c r="N81" s="60">
        <v>0.89019999999999999</v>
      </c>
      <c r="O81" s="32">
        <v>1</v>
      </c>
      <c r="P81" s="50">
        <v>-2.2461814914642719E-4</v>
      </c>
      <c r="Q81" s="50">
        <v>-8.8376856118791647E-2</v>
      </c>
      <c r="R81" s="56">
        <f t="shared" ref="R81" si="44">((K81-D81)/D81)</f>
        <v>3.1498823550999543E-3</v>
      </c>
      <c r="S81" s="56">
        <f t="shared" ref="S81" si="45">((N81-G81)/G81)</f>
        <v>-7.8572230328884714E-4</v>
      </c>
      <c r="T81" s="56">
        <f t="shared" ref="T81" si="46">((O81-H81)/H81)</f>
        <v>0</v>
      </c>
      <c r="U81" s="57">
        <f t="shared" ref="U81" si="47">P81-I81</f>
        <v>3.3661206748847317E-4</v>
      </c>
      <c r="V81" s="58">
        <f t="shared" ref="V81" si="48">Q81-J81</f>
        <v>-2.0481310803888153E-4</v>
      </c>
    </row>
    <row r="82" spans="1:22">
      <c r="A82" s="138">
        <v>71</v>
      </c>
      <c r="B82" s="135" t="s">
        <v>127</v>
      </c>
      <c r="C82" s="136" t="s">
        <v>29</v>
      </c>
      <c r="D82" s="29">
        <v>129572839.56</v>
      </c>
      <c r="E82" s="30">
        <f t="shared" si="41"/>
        <v>6.7257572219915553E-4</v>
      </c>
      <c r="F82" s="60">
        <v>134.11959999999999</v>
      </c>
      <c r="G82" s="60">
        <v>134.11959999999999</v>
      </c>
      <c r="H82" s="32">
        <v>209</v>
      </c>
      <c r="I82" s="50">
        <v>-8.8599999999999996E-4</v>
      </c>
      <c r="J82" s="50">
        <v>2.58E-2</v>
      </c>
      <c r="K82" s="29">
        <v>131920595.19</v>
      </c>
      <c r="L82" s="30">
        <f t="shared" si="35"/>
        <v>6.7497127206387199E-4</v>
      </c>
      <c r="M82" s="60">
        <v>134.49189999999999</v>
      </c>
      <c r="N82" s="60">
        <v>134.49189999999999</v>
      </c>
      <c r="O82" s="32">
        <v>209</v>
      </c>
      <c r="P82" s="50">
        <v>1.567E-3</v>
      </c>
      <c r="Q82" s="50">
        <v>2.86E-2</v>
      </c>
      <c r="R82" s="56">
        <f t="shared" si="36"/>
        <v>1.8119195642948331E-2</v>
      </c>
      <c r="S82" s="56">
        <f t="shared" si="37"/>
        <v>2.7758806319135732E-3</v>
      </c>
      <c r="T82" s="56">
        <f t="shared" si="38"/>
        <v>0</v>
      </c>
      <c r="U82" s="57">
        <f t="shared" si="39"/>
        <v>2.4529999999999999E-3</v>
      </c>
      <c r="V82" s="58">
        <f t="shared" si="40"/>
        <v>2.8000000000000004E-3</v>
      </c>
    </row>
    <row r="83" spans="1:22">
      <c r="A83" s="138">
        <v>72</v>
      </c>
      <c r="B83" s="135" t="s">
        <v>128</v>
      </c>
      <c r="C83" s="136" t="s">
        <v>98</v>
      </c>
      <c r="D83" s="29">
        <v>1535696451.6800003</v>
      </c>
      <c r="E83" s="30">
        <f t="shared" si="41"/>
        <v>7.9713630848467654E-3</v>
      </c>
      <c r="F83" s="35">
        <v>1000</v>
      </c>
      <c r="G83" s="35">
        <v>1000</v>
      </c>
      <c r="H83" s="32">
        <v>338</v>
      </c>
      <c r="I83" s="50">
        <v>1.0800000000000001E-2</v>
      </c>
      <c r="J83" s="50">
        <v>0.21329999999999999</v>
      </c>
      <c r="K83" s="29">
        <v>1576155896.8300002</v>
      </c>
      <c r="L83" s="30">
        <f t="shared" si="35"/>
        <v>8.06439623109707E-3</v>
      </c>
      <c r="M83" s="35">
        <v>1000</v>
      </c>
      <c r="N83" s="35">
        <v>1000</v>
      </c>
      <c r="O83" s="32">
        <v>338</v>
      </c>
      <c r="P83" s="50">
        <v>1.0800000000000001E-2</v>
      </c>
      <c r="Q83" s="50">
        <v>0.18540000000000001</v>
      </c>
      <c r="R83" s="56">
        <f t="shared" si="36"/>
        <v>2.6345991166248112E-2</v>
      </c>
      <c r="S83" s="56">
        <f t="shared" si="37"/>
        <v>0</v>
      </c>
      <c r="T83" s="56">
        <f t="shared" si="38"/>
        <v>0</v>
      </c>
      <c r="U83" s="57">
        <f t="shared" si="39"/>
        <v>0</v>
      </c>
      <c r="V83" s="58">
        <f t="shared" si="40"/>
        <v>-2.789999999999998E-2</v>
      </c>
    </row>
    <row r="84" spans="1:22">
      <c r="A84" s="138">
        <v>73</v>
      </c>
      <c r="B84" s="135" t="s">
        <v>129</v>
      </c>
      <c r="C84" s="136" t="s">
        <v>72</v>
      </c>
      <c r="D84" s="29">
        <v>174917097.68000001</v>
      </c>
      <c r="E84" s="30">
        <f t="shared" si="41"/>
        <v>9.0794485709043632E-4</v>
      </c>
      <c r="F84" s="35">
        <v>1047.54</v>
      </c>
      <c r="G84" s="35">
        <v>1054.52</v>
      </c>
      <c r="H84" s="32">
        <v>73</v>
      </c>
      <c r="I84" s="50">
        <v>2.2000000000000001E-3</v>
      </c>
      <c r="J84" s="50">
        <v>3.9800000000000002E-2</v>
      </c>
      <c r="K84" s="29">
        <v>175223446.02000001</v>
      </c>
      <c r="L84" s="30">
        <f t="shared" si="35"/>
        <v>8.9653015956450081E-4</v>
      </c>
      <c r="M84" s="35">
        <v>1049.3699999999999</v>
      </c>
      <c r="N84" s="35">
        <v>1057.02</v>
      </c>
      <c r="O84" s="32">
        <v>73</v>
      </c>
      <c r="P84" s="50">
        <v>2.0999999999999999E-3</v>
      </c>
      <c r="Q84" s="50">
        <v>4.19E-2</v>
      </c>
      <c r="R84" s="56">
        <f t="shared" si="36"/>
        <v>1.7513916253084011E-3</v>
      </c>
      <c r="S84" s="56">
        <f t="shared" si="37"/>
        <v>2.3707468800971058E-3</v>
      </c>
      <c r="T84" s="56">
        <f t="shared" si="38"/>
        <v>0</v>
      </c>
      <c r="U84" s="57">
        <f t="shared" si="39"/>
        <v>-1.0000000000000026E-4</v>
      </c>
      <c r="V84" s="58">
        <f t="shared" si="40"/>
        <v>2.0999999999999977E-3</v>
      </c>
    </row>
    <row r="85" spans="1:22">
      <c r="A85" s="138">
        <v>74</v>
      </c>
      <c r="B85" s="135" t="s">
        <v>130</v>
      </c>
      <c r="C85" s="136" t="s">
        <v>75</v>
      </c>
      <c r="D85" s="29">
        <v>649250723.61000001</v>
      </c>
      <c r="E85" s="30">
        <f t="shared" si="41"/>
        <v>3.3700756717468978E-3</v>
      </c>
      <c r="F85" s="61">
        <v>1.1705000000000001</v>
      </c>
      <c r="G85" s="61">
        <v>1.1705000000000001</v>
      </c>
      <c r="H85" s="32">
        <v>47</v>
      </c>
      <c r="I85" s="50">
        <v>1.2999999999999999E-3</v>
      </c>
      <c r="J85" s="50">
        <v>0.13059999999999999</v>
      </c>
      <c r="K85" s="29">
        <v>650807117.97000003</v>
      </c>
      <c r="L85" s="30">
        <f t="shared" si="35"/>
        <v>3.3298523831836978E-3</v>
      </c>
      <c r="M85" s="61">
        <v>1.1728000000000001</v>
      </c>
      <c r="N85" s="61">
        <v>1.1728000000000001</v>
      </c>
      <c r="O85" s="32">
        <v>47</v>
      </c>
      <c r="P85" s="50">
        <v>1.4499999999999999E-3</v>
      </c>
      <c r="Q85" s="50">
        <v>0.12839999999999999</v>
      </c>
      <c r="R85" s="56">
        <f t="shared" si="36"/>
        <v>2.3972162115523934E-3</v>
      </c>
      <c r="S85" s="56">
        <f t="shared" si="37"/>
        <v>1.9649722340879697E-3</v>
      </c>
      <c r="T85" s="56">
        <f t="shared" si="38"/>
        <v>0</v>
      </c>
      <c r="U85" s="57">
        <f t="shared" si="39"/>
        <v>1.4999999999999996E-4</v>
      </c>
      <c r="V85" s="58">
        <f t="shared" si="40"/>
        <v>-2.2000000000000075E-3</v>
      </c>
    </row>
    <row r="86" spans="1:22">
      <c r="A86" s="138">
        <v>75</v>
      </c>
      <c r="B86" s="135" t="s">
        <v>131</v>
      </c>
      <c r="C86" s="136" t="s">
        <v>31</v>
      </c>
      <c r="D86" s="29">
        <v>12606710715.18</v>
      </c>
      <c r="E86" s="30">
        <f t="shared" si="41"/>
        <v>6.5437846331149893E-2</v>
      </c>
      <c r="F86" s="61">
        <v>1701.48</v>
      </c>
      <c r="G86" s="61">
        <v>1701.48</v>
      </c>
      <c r="H86" s="32">
        <v>2138</v>
      </c>
      <c r="I86" s="50">
        <v>4.0000000000000002E-4</v>
      </c>
      <c r="J86" s="50">
        <v>5.0000000000000001E-3</v>
      </c>
      <c r="K86" s="29">
        <v>12448218446.040001</v>
      </c>
      <c r="L86" s="30">
        <f t="shared" si="35"/>
        <v>6.3691266912124178E-2</v>
      </c>
      <c r="M86" s="61">
        <v>1702.09</v>
      </c>
      <c r="N86" s="61">
        <v>1702.09</v>
      </c>
      <c r="O86" s="32">
        <v>2131</v>
      </c>
      <c r="P86" s="50">
        <v>4.0000000000000002E-4</v>
      </c>
      <c r="Q86" s="50">
        <v>5.4000000000000003E-3</v>
      </c>
      <c r="R86" s="56">
        <f t="shared" si="36"/>
        <v>-1.257205568690932E-2</v>
      </c>
      <c r="S86" s="56">
        <f t="shared" si="37"/>
        <v>3.5851141359281326E-4</v>
      </c>
      <c r="T86" s="56">
        <f t="shared" si="38"/>
        <v>-3.2740879326473341E-3</v>
      </c>
      <c r="U86" s="57">
        <f t="shared" si="39"/>
        <v>0</v>
      </c>
      <c r="V86" s="58">
        <f t="shared" si="40"/>
        <v>4.0000000000000018E-4</v>
      </c>
    </row>
    <row r="87" spans="1:22">
      <c r="A87" s="138">
        <v>76</v>
      </c>
      <c r="B87" s="135" t="s">
        <v>132</v>
      </c>
      <c r="C87" s="136" t="s">
        <v>80</v>
      </c>
      <c r="D87" s="29">
        <v>23671969.120000001</v>
      </c>
      <c r="E87" s="30">
        <f t="shared" si="41"/>
        <v>1.2287445255367458E-4</v>
      </c>
      <c r="F87" s="60">
        <v>0.72189999999999999</v>
      </c>
      <c r="G87" s="60">
        <v>0.72189999999999999</v>
      </c>
      <c r="H87" s="32">
        <v>746</v>
      </c>
      <c r="I87" s="50">
        <v>2.0999999999999999E-3</v>
      </c>
      <c r="J87" s="50">
        <v>7.3000000000000001E-3</v>
      </c>
      <c r="K87" s="29">
        <v>23738942.899999999</v>
      </c>
      <c r="L87" s="30">
        <f t="shared" si="35"/>
        <v>1.2146021979045182E-4</v>
      </c>
      <c r="M87" s="60">
        <v>0.72399999999999998</v>
      </c>
      <c r="N87" s="60">
        <v>0.72399999999999998</v>
      </c>
      <c r="O87" s="32">
        <v>746</v>
      </c>
      <c r="P87" s="50">
        <v>2.8999999999999998E-3</v>
      </c>
      <c r="Q87" s="50">
        <v>1.0200000000000001E-2</v>
      </c>
      <c r="R87" s="56">
        <f t="shared" si="36"/>
        <v>2.8292441435897524E-3</v>
      </c>
      <c r="S87" s="56">
        <f t="shared" si="37"/>
        <v>2.9089901648427633E-3</v>
      </c>
      <c r="T87" s="56">
        <f t="shared" si="38"/>
        <v>0</v>
      </c>
      <c r="U87" s="57">
        <f t="shared" si="39"/>
        <v>7.9999999999999993E-4</v>
      </c>
      <c r="V87" s="58">
        <f t="shared" si="40"/>
        <v>2.9000000000000007E-3</v>
      </c>
    </row>
    <row r="88" spans="1:22">
      <c r="A88" s="138">
        <v>77</v>
      </c>
      <c r="B88" s="135" t="s">
        <v>133</v>
      </c>
      <c r="C88" s="136" t="s">
        <v>37</v>
      </c>
      <c r="D88" s="29">
        <v>10929709458.799999</v>
      </c>
      <c r="E88" s="30">
        <f t="shared" si="41"/>
        <v>5.6733010233023178E-2</v>
      </c>
      <c r="F88" s="60">
        <v>1</v>
      </c>
      <c r="G88" s="60">
        <v>1</v>
      </c>
      <c r="H88" s="32">
        <v>4282</v>
      </c>
      <c r="I88" s="50">
        <v>0.06</v>
      </c>
      <c r="J88" s="50">
        <v>0.06</v>
      </c>
      <c r="K88" s="29">
        <v>10952246645.24</v>
      </c>
      <c r="L88" s="30">
        <f t="shared" si="35"/>
        <v>5.6037132332884508E-2</v>
      </c>
      <c r="M88" s="60">
        <v>1</v>
      </c>
      <c r="N88" s="60">
        <v>1</v>
      </c>
      <c r="O88" s="32">
        <v>4282</v>
      </c>
      <c r="P88" s="50">
        <v>0.06</v>
      </c>
      <c r="Q88" s="50">
        <v>0.06</v>
      </c>
      <c r="R88" s="56">
        <f t="shared" si="36"/>
        <v>2.0620114857540731E-3</v>
      </c>
      <c r="S88" s="56">
        <f t="shared" si="37"/>
        <v>0</v>
      </c>
      <c r="T88" s="56">
        <f t="shared" si="38"/>
        <v>0</v>
      </c>
      <c r="U88" s="57">
        <f t="shared" si="39"/>
        <v>0</v>
      </c>
      <c r="V88" s="58">
        <f t="shared" si="40"/>
        <v>0</v>
      </c>
    </row>
    <row r="89" spans="1:22">
      <c r="A89" s="138">
        <v>78</v>
      </c>
      <c r="B89" s="135" t="s">
        <v>134</v>
      </c>
      <c r="C89" s="136" t="s">
        <v>135</v>
      </c>
      <c r="D89" s="29">
        <v>1630481572.8499999</v>
      </c>
      <c r="E89" s="30">
        <f t="shared" si="41"/>
        <v>8.4633656645627629E-3</v>
      </c>
      <c r="F89" s="29">
        <v>246.27</v>
      </c>
      <c r="G89" s="29">
        <v>246.27</v>
      </c>
      <c r="H89" s="32">
        <v>511</v>
      </c>
      <c r="I89" s="50">
        <v>3.0000000000000001E-3</v>
      </c>
      <c r="J89" s="50">
        <v>0.1865</v>
      </c>
      <c r="K89" s="29">
        <v>1617556787.22</v>
      </c>
      <c r="L89" s="30">
        <f t="shared" si="35"/>
        <v>8.276223744540805E-3</v>
      </c>
      <c r="M89" s="29">
        <v>244.3</v>
      </c>
      <c r="N89" s="29">
        <v>247.2</v>
      </c>
      <c r="O89" s="32">
        <v>511</v>
      </c>
      <c r="P89" s="50">
        <v>3.0000000000000001E-3</v>
      </c>
      <c r="Q89" s="50">
        <v>0.1865</v>
      </c>
      <c r="R89" s="56">
        <f t="shared" si="36"/>
        <v>-7.9269743646400125E-3</v>
      </c>
      <c r="S89" s="56">
        <f t="shared" si="37"/>
        <v>3.776343038128795E-3</v>
      </c>
      <c r="T89" s="56">
        <f t="shared" si="38"/>
        <v>0</v>
      </c>
      <c r="U89" s="57">
        <f t="shared" si="39"/>
        <v>0</v>
      </c>
      <c r="V89" s="58">
        <f t="shared" si="40"/>
        <v>0</v>
      </c>
    </row>
    <row r="90" spans="1:22">
      <c r="A90" s="138">
        <v>79</v>
      </c>
      <c r="B90" s="135" t="s">
        <v>136</v>
      </c>
      <c r="C90" s="136" t="s">
        <v>41</v>
      </c>
      <c r="D90" s="29">
        <v>1106463049.96</v>
      </c>
      <c r="E90" s="30">
        <f t="shared" si="41"/>
        <v>5.7433346945285338E-3</v>
      </c>
      <c r="F90" s="60">
        <v>3.68</v>
      </c>
      <c r="G90" s="60">
        <v>3.68</v>
      </c>
      <c r="H90" s="46">
        <v>772</v>
      </c>
      <c r="I90" s="53">
        <v>1.9E-3</v>
      </c>
      <c r="J90" s="53">
        <v>9.2899999999999996E-2</v>
      </c>
      <c r="K90" s="29">
        <v>1108631915.6199999</v>
      </c>
      <c r="L90" s="30">
        <f t="shared" si="35"/>
        <v>5.6723113874592472E-3</v>
      </c>
      <c r="M90" s="60">
        <v>3.69</v>
      </c>
      <c r="N90" s="60">
        <v>3.69</v>
      </c>
      <c r="O90" s="46">
        <v>772</v>
      </c>
      <c r="P90" s="53">
        <v>1.8E-3</v>
      </c>
      <c r="Q90" s="53">
        <v>9.2999999999999999E-2</v>
      </c>
      <c r="R90" s="56">
        <f t="shared" si="36"/>
        <v>1.9601790227683196E-3</v>
      </c>
      <c r="S90" s="56">
        <f t="shared" si="37"/>
        <v>2.7173913043477679E-3</v>
      </c>
      <c r="T90" s="56">
        <f t="shared" si="38"/>
        <v>0</v>
      </c>
      <c r="U90" s="57">
        <f t="shared" si="39"/>
        <v>-1.0000000000000005E-4</v>
      </c>
      <c r="V90" s="58">
        <f t="shared" si="40"/>
        <v>1.0000000000000286E-4</v>
      </c>
    </row>
    <row r="91" spans="1:22">
      <c r="A91" s="138">
        <v>80</v>
      </c>
      <c r="B91" s="135" t="s">
        <v>137</v>
      </c>
      <c r="C91" s="136" t="s">
        <v>43</v>
      </c>
      <c r="D91" s="29">
        <v>566367113.47000003</v>
      </c>
      <c r="E91" s="30">
        <f t="shared" si="41"/>
        <v>2.9398504475588441E-3</v>
      </c>
      <c r="F91" s="60">
        <v>107.11431</v>
      </c>
      <c r="G91" s="60">
        <v>107.11431</v>
      </c>
      <c r="H91" s="46">
        <v>59</v>
      </c>
      <c r="I91" s="53">
        <v>0.1482</v>
      </c>
      <c r="J91" s="53">
        <v>0.17199999999999999</v>
      </c>
      <c r="K91" s="29">
        <v>580596197.68000007</v>
      </c>
      <c r="L91" s="30">
        <f t="shared" si="35"/>
        <v>2.9706184507362135E-3</v>
      </c>
      <c r="M91" s="60">
        <v>107.41023</v>
      </c>
      <c r="N91" s="60">
        <v>107.41023</v>
      </c>
      <c r="O91" s="46">
        <v>59</v>
      </c>
      <c r="P91" s="53">
        <v>0.1487</v>
      </c>
      <c r="Q91" s="53">
        <v>0.17219999999999999</v>
      </c>
      <c r="R91" s="56">
        <f t="shared" si="36"/>
        <v>2.5123429435762498E-2</v>
      </c>
      <c r="S91" s="56">
        <f t="shared" si="37"/>
        <v>2.762656082086467E-3</v>
      </c>
      <c r="T91" s="56">
        <f t="shared" si="38"/>
        <v>0</v>
      </c>
      <c r="U91" s="57">
        <f t="shared" si="39"/>
        <v>5.0000000000000044E-4</v>
      </c>
      <c r="V91" s="58">
        <f t="shared" si="40"/>
        <v>2.0000000000000573E-4</v>
      </c>
    </row>
    <row r="92" spans="1:22">
      <c r="A92" s="138">
        <v>81</v>
      </c>
      <c r="B92" s="136" t="s">
        <v>138</v>
      </c>
      <c r="C92" s="145" t="s">
        <v>47</v>
      </c>
      <c r="D92" s="29">
        <v>1421769351.53</v>
      </c>
      <c r="E92" s="30">
        <f t="shared" si="41"/>
        <v>7.3799999417556543E-3</v>
      </c>
      <c r="F92" s="60">
        <v>99.61</v>
      </c>
      <c r="G92" s="60">
        <v>99.61</v>
      </c>
      <c r="H92" s="32">
        <v>289</v>
      </c>
      <c r="I92" s="50">
        <v>7.7000000000000002E-3</v>
      </c>
      <c r="J92" s="50">
        <v>1.9300000000000001E-2</v>
      </c>
      <c r="K92" s="29">
        <v>1426174026.3499999</v>
      </c>
      <c r="L92" s="30">
        <f t="shared" si="35"/>
        <v>7.297014506063142E-3</v>
      </c>
      <c r="M92" s="60">
        <v>99.87</v>
      </c>
      <c r="N92" s="60">
        <v>99.87</v>
      </c>
      <c r="O92" s="32">
        <v>289</v>
      </c>
      <c r="P92" s="50">
        <v>1.0800000000000001E-2</v>
      </c>
      <c r="Q92" s="50">
        <v>2.1399999999999999E-2</v>
      </c>
      <c r="R92" s="56">
        <f t="shared" si="36"/>
        <v>3.0980234700234304E-3</v>
      </c>
      <c r="S92" s="56">
        <f t="shared" si="37"/>
        <v>2.6101797008333009E-3</v>
      </c>
      <c r="T92" s="56">
        <f t="shared" si="38"/>
        <v>0</v>
      </c>
      <c r="U92" s="57">
        <f t="shared" si="39"/>
        <v>3.1000000000000003E-3</v>
      </c>
      <c r="V92" s="58">
        <f t="shared" si="40"/>
        <v>2.0999999999999977E-3</v>
      </c>
    </row>
    <row r="93" spans="1:22">
      <c r="A93" s="138">
        <v>82</v>
      </c>
      <c r="B93" s="135" t="s">
        <v>139</v>
      </c>
      <c r="C93" s="136" t="s">
        <v>19</v>
      </c>
      <c r="D93" s="29">
        <v>1391536629.3900001</v>
      </c>
      <c r="E93" s="30">
        <f t="shared" si="41"/>
        <v>7.223070488049107E-3</v>
      </c>
      <c r="F93" s="60">
        <v>351.20460000000003</v>
      </c>
      <c r="G93" s="60">
        <v>351.20460000000003</v>
      </c>
      <c r="H93" s="32">
        <v>196</v>
      </c>
      <c r="I93" s="50">
        <v>2.5000000000000001E-3</v>
      </c>
      <c r="J93" s="50">
        <v>2.4299999999999999E-2</v>
      </c>
      <c r="K93" s="29">
        <v>1394869240.6400001</v>
      </c>
      <c r="L93" s="30">
        <f t="shared" si="35"/>
        <v>7.1368436775284998E-3</v>
      </c>
      <c r="M93" s="60">
        <v>352.04570000000001</v>
      </c>
      <c r="N93" s="60">
        <v>352.04570000000001</v>
      </c>
      <c r="O93" s="32">
        <v>196</v>
      </c>
      <c r="P93" s="50">
        <v>2.3999999999999998E-3</v>
      </c>
      <c r="Q93" s="50">
        <v>2.6700000000000002E-2</v>
      </c>
      <c r="R93" s="56">
        <f t="shared" si="36"/>
        <v>2.3949144992761687E-3</v>
      </c>
      <c r="S93" s="56">
        <f t="shared" si="37"/>
        <v>2.3949002945860705E-3</v>
      </c>
      <c r="T93" s="56">
        <f t="shared" si="38"/>
        <v>0</v>
      </c>
      <c r="U93" s="57">
        <f t="shared" si="39"/>
        <v>-1.0000000000000026E-4</v>
      </c>
      <c r="V93" s="58">
        <f t="shared" si="40"/>
        <v>2.4000000000000028E-3</v>
      </c>
    </row>
    <row r="94" spans="1:22">
      <c r="A94" s="138">
        <v>83</v>
      </c>
      <c r="B94" s="135" t="s">
        <v>140</v>
      </c>
      <c r="C94" s="136" t="s">
        <v>89</v>
      </c>
      <c r="D94" s="44">
        <v>1339164319</v>
      </c>
      <c r="E94" s="30">
        <f>(D94/$K$68)</f>
        <v>5.7414452357845453E-4</v>
      </c>
      <c r="F94" s="60">
        <v>103.32</v>
      </c>
      <c r="G94" s="60">
        <v>103.32</v>
      </c>
      <c r="H94" s="32">
        <v>387</v>
      </c>
      <c r="I94" s="50">
        <v>2.7000000000000001E-3</v>
      </c>
      <c r="J94" s="50">
        <v>0.1409</v>
      </c>
      <c r="K94" s="44">
        <v>1331029953</v>
      </c>
      <c r="L94" s="30">
        <f>(K94/$K$68)</f>
        <v>5.7065704887096665E-4</v>
      </c>
      <c r="M94" s="60">
        <v>103.61</v>
      </c>
      <c r="N94" s="60">
        <v>103.61</v>
      </c>
      <c r="O94" s="32">
        <v>387</v>
      </c>
      <c r="P94" s="50">
        <v>2.8E-3</v>
      </c>
      <c r="Q94" s="50">
        <v>0.14149999999999999</v>
      </c>
      <c r="R94" s="56">
        <f t="shared" si="36"/>
        <v>-6.0742105241231416E-3</v>
      </c>
      <c r="S94" s="56">
        <f t="shared" si="37"/>
        <v>2.806813782423599E-3</v>
      </c>
      <c r="T94" s="56">
        <f t="shared" si="38"/>
        <v>0</v>
      </c>
      <c r="U94" s="57">
        <f t="shared" si="39"/>
        <v>9.9999999999999829E-5</v>
      </c>
      <c r="V94" s="58">
        <f t="shared" si="40"/>
        <v>5.9999999999998943E-4</v>
      </c>
    </row>
    <row r="95" spans="1:22">
      <c r="A95" s="138">
        <v>84</v>
      </c>
      <c r="B95" s="135" t="s">
        <v>141</v>
      </c>
      <c r="C95" s="136" t="s">
        <v>45</v>
      </c>
      <c r="D95" s="29">
        <v>59607384.170000002</v>
      </c>
      <c r="E95" s="30">
        <f t="shared" ref="E95:E107" si="49">(D95/$D$108)</f>
        <v>3.0940496166232399E-4</v>
      </c>
      <c r="F95" s="29">
        <v>12.389547</v>
      </c>
      <c r="G95" s="29">
        <v>12.748868</v>
      </c>
      <c r="H95" s="32">
        <v>56</v>
      </c>
      <c r="I95" s="50">
        <v>-8.9999999999999998E-4</v>
      </c>
      <c r="J95" s="50">
        <v>1.5800000000000002E-2</v>
      </c>
      <c r="K95" s="29">
        <v>59747873.43</v>
      </c>
      <c r="L95" s="30">
        <f t="shared" ref="L95:L107" si="50">(K95/$K$108)</f>
        <v>3.056997891350881E-4</v>
      </c>
      <c r="M95" s="29">
        <v>12.416729</v>
      </c>
      <c r="N95" s="29">
        <v>12.783669</v>
      </c>
      <c r="O95" s="32">
        <v>58</v>
      </c>
      <c r="P95" s="50">
        <v>8.9999999999999998E-4</v>
      </c>
      <c r="Q95" s="50">
        <v>1.83E-2</v>
      </c>
      <c r="R95" s="56">
        <f t="shared" si="36"/>
        <v>2.3569103384795944E-3</v>
      </c>
      <c r="S95" s="56">
        <f t="shared" si="37"/>
        <v>2.7297325535098377E-3</v>
      </c>
      <c r="T95" s="56">
        <f t="shared" si="38"/>
        <v>3.5714285714285712E-2</v>
      </c>
      <c r="U95" s="57">
        <f t="shared" si="39"/>
        <v>1.8E-3</v>
      </c>
      <c r="V95" s="58">
        <f t="shared" si="40"/>
        <v>2.4999999999999988E-3</v>
      </c>
    </row>
    <row r="96" spans="1:22">
      <c r="A96" s="138">
        <v>85</v>
      </c>
      <c r="B96" s="135" t="s">
        <v>142</v>
      </c>
      <c r="C96" s="136" t="s">
        <v>143</v>
      </c>
      <c r="D96" s="29">
        <v>433596213.75999999</v>
      </c>
      <c r="E96" s="30">
        <f t="shared" si="49"/>
        <v>2.2506745055734531E-3</v>
      </c>
      <c r="F96" s="29">
        <v>135.47</v>
      </c>
      <c r="G96" s="29">
        <v>135.47</v>
      </c>
      <c r="H96" s="32">
        <v>127</v>
      </c>
      <c r="I96" s="50">
        <v>0.28649999999999998</v>
      </c>
      <c r="J96" s="50">
        <v>0.1996</v>
      </c>
      <c r="K96" s="29">
        <v>435022197.36000001</v>
      </c>
      <c r="L96" s="30">
        <f t="shared" si="50"/>
        <v>2.2257895782322691E-3</v>
      </c>
      <c r="M96" s="29">
        <v>135.91</v>
      </c>
      <c r="N96" s="29">
        <v>135.91</v>
      </c>
      <c r="O96" s="32">
        <v>126</v>
      </c>
      <c r="P96" s="50">
        <v>0.1875</v>
      </c>
      <c r="Q96" s="50">
        <v>0.19839999999999999</v>
      </c>
      <c r="R96" s="56">
        <f t="shared" si="36"/>
        <v>3.2887362821607123E-3</v>
      </c>
      <c r="S96" s="56">
        <f t="shared" si="37"/>
        <v>3.2479515759946684E-3</v>
      </c>
      <c r="T96" s="56">
        <f t="shared" si="38"/>
        <v>-7.874015748031496E-3</v>
      </c>
      <c r="U96" s="57">
        <f t="shared" si="39"/>
        <v>-9.8999999999999977E-2</v>
      </c>
      <c r="V96" s="58">
        <f t="shared" si="40"/>
        <v>-1.2000000000000066E-3</v>
      </c>
    </row>
    <row r="97" spans="1:28">
      <c r="A97" s="138">
        <v>86</v>
      </c>
      <c r="B97" s="135" t="s">
        <v>144</v>
      </c>
      <c r="C97" s="136" t="s">
        <v>145</v>
      </c>
      <c r="D97" s="29">
        <v>8099843093.5469322</v>
      </c>
      <c r="E97" s="30">
        <f t="shared" si="49"/>
        <v>4.2043979562704038E-2</v>
      </c>
      <c r="F97" s="29">
        <v>1.0332990209975275</v>
      </c>
      <c r="G97" s="29">
        <v>1.0332990209975275</v>
      </c>
      <c r="H97" s="32">
        <v>4569</v>
      </c>
      <c r="I97" s="50">
        <v>0.19009999999999999</v>
      </c>
      <c r="J97" s="50">
        <v>0.19009999999999999</v>
      </c>
      <c r="K97" s="29">
        <v>8145228011.0154591</v>
      </c>
      <c r="L97" s="30">
        <f t="shared" si="50"/>
        <v>4.1675031134654379E-2</v>
      </c>
      <c r="M97" s="29">
        <v>1.0365782682111839</v>
      </c>
      <c r="N97" s="29">
        <v>1.0365782682111839</v>
      </c>
      <c r="O97" s="32">
        <v>4584</v>
      </c>
      <c r="P97" s="50">
        <v>0.19020000000000001</v>
      </c>
      <c r="Q97" s="50">
        <v>0.19020000000000001</v>
      </c>
      <c r="R97" s="56">
        <f t="shared" si="36"/>
        <v>5.6031847709105097E-3</v>
      </c>
      <c r="S97" s="56">
        <f t="shared" si="37"/>
        <v>3.1735704254231682E-3</v>
      </c>
      <c r="T97" s="56">
        <f t="shared" si="38"/>
        <v>3.2829940906106371E-3</v>
      </c>
      <c r="U97" s="57">
        <f t="shared" si="39"/>
        <v>1.0000000000001674E-4</v>
      </c>
      <c r="V97" s="58">
        <f t="shared" si="40"/>
        <v>1.0000000000001674E-4</v>
      </c>
    </row>
    <row r="98" spans="1:28" ht="14.25" customHeight="1">
      <c r="A98" s="138">
        <v>87</v>
      </c>
      <c r="B98" s="135" t="s">
        <v>146</v>
      </c>
      <c r="C98" s="136" t="s">
        <v>49</v>
      </c>
      <c r="D98" s="29">
        <v>4717453996.2700005</v>
      </c>
      <c r="E98" s="30">
        <f t="shared" si="49"/>
        <v>2.4486960687570409E-2</v>
      </c>
      <c r="F98" s="29">
        <v>5170.01</v>
      </c>
      <c r="G98" s="29">
        <v>5170.01</v>
      </c>
      <c r="H98" s="32">
        <v>262</v>
      </c>
      <c r="I98" s="50">
        <v>1E-4</v>
      </c>
      <c r="J98" s="50">
        <v>5.0000000000000001E-4</v>
      </c>
      <c r="K98" s="29">
        <v>4716160264.3999996</v>
      </c>
      <c r="L98" s="30">
        <f t="shared" si="50"/>
        <v>2.4130217789985055E-2</v>
      </c>
      <c r="M98" s="29">
        <v>5170.33</v>
      </c>
      <c r="N98" s="29">
        <v>5170.33</v>
      </c>
      <c r="O98" s="32">
        <v>262</v>
      </c>
      <c r="P98" s="50">
        <v>1E-4</v>
      </c>
      <c r="Q98" s="50">
        <v>5.9999999999999995E-4</v>
      </c>
      <c r="R98" s="56">
        <f t="shared" si="36"/>
        <v>-2.7424366427818223E-4</v>
      </c>
      <c r="S98" s="56">
        <f t="shared" si="37"/>
        <v>6.1895431536826607E-5</v>
      </c>
      <c r="T98" s="56">
        <f t="shared" si="38"/>
        <v>0</v>
      </c>
      <c r="U98" s="57">
        <f t="shared" si="39"/>
        <v>0</v>
      </c>
      <c r="V98" s="58">
        <f t="shared" si="40"/>
        <v>9.9999999999999937E-5</v>
      </c>
    </row>
    <row r="99" spans="1:28" ht="13.5" customHeight="1">
      <c r="A99" s="138">
        <v>88</v>
      </c>
      <c r="B99" s="135" t="s">
        <v>147</v>
      </c>
      <c r="C99" s="136" t="s">
        <v>49</v>
      </c>
      <c r="D99" s="29">
        <v>20641523928.459999</v>
      </c>
      <c r="E99" s="30">
        <f t="shared" si="49"/>
        <v>0.10714427429867721</v>
      </c>
      <c r="F99" s="60">
        <v>259.02</v>
      </c>
      <c r="G99" s="60">
        <v>259.02</v>
      </c>
      <c r="H99" s="32">
        <v>6288</v>
      </c>
      <c r="I99" s="50">
        <v>0</v>
      </c>
      <c r="J99" s="50">
        <v>6.9999999999999999E-4</v>
      </c>
      <c r="K99" s="29">
        <v>20606050085.169998</v>
      </c>
      <c r="L99" s="30">
        <f t="shared" si="50"/>
        <v>0.10543078446672563</v>
      </c>
      <c r="M99" s="60">
        <v>259.02999999999997</v>
      </c>
      <c r="N99" s="60">
        <v>259.02999999999997</v>
      </c>
      <c r="O99" s="32">
        <v>6273</v>
      </c>
      <c r="P99" s="50">
        <v>0</v>
      </c>
      <c r="Q99" s="50">
        <v>6.9999999999999999E-4</v>
      </c>
      <c r="R99" s="56">
        <f t="shared" si="36"/>
        <v>-1.7185670696091629E-3</v>
      </c>
      <c r="S99" s="56">
        <f t="shared" si="37"/>
        <v>3.8607057370052141E-5</v>
      </c>
      <c r="T99" s="56">
        <f t="shared" si="38"/>
        <v>-2.3854961832061069E-3</v>
      </c>
      <c r="U99" s="57">
        <f t="shared" si="39"/>
        <v>0</v>
      </c>
      <c r="V99" s="58">
        <f t="shared" si="40"/>
        <v>0</v>
      </c>
    </row>
    <row r="100" spans="1:28" ht="13.5" customHeight="1">
      <c r="A100" s="138">
        <v>89</v>
      </c>
      <c r="B100" s="135" t="s">
        <v>148</v>
      </c>
      <c r="C100" s="136" t="s">
        <v>49</v>
      </c>
      <c r="D100" s="29">
        <v>420659843.31999999</v>
      </c>
      <c r="E100" s="30">
        <f t="shared" si="49"/>
        <v>2.1835254894612467E-3</v>
      </c>
      <c r="F100" s="35">
        <v>7275.66</v>
      </c>
      <c r="G100" s="35">
        <v>7308.86</v>
      </c>
      <c r="H100" s="32">
        <v>15</v>
      </c>
      <c r="I100" s="50">
        <v>-3.5000000000000001E-3</v>
      </c>
      <c r="J100" s="50">
        <v>7.1199999999999999E-2</v>
      </c>
      <c r="K100" s="29">
        <v>441808125.24000001</v>
      </c>
      <c r="L100" s="30">
        <f t="shared" si="50"/>
        <v>2.260509754916588E-3</v>
      </c>
      <c r="M100" s="35">
        <v>7297</v>
      </c>
      <c r="N100" s="35">
        <v>7328.59</v>
      </c>
      <c r="O100" s="32">
        <v>15</v>
      </c>
      <c r="P100" s="50">
        <v>2.7000000000000001E-3</v>
      </c>
      <c r="Q100" s="50">
        <v>7.4099999999999999E-2</v>
      </c>
      <c r="R100" s="56">
        <f t="shared" si="36"/>
        <v>5.0274068836925596E-2</v>
      </c>
      <c r="S100" s="56">
        <f t="shared" si="37"/>
        <v>2.6994633910076911E-3</v>
      </c>
      <c r="T100" s="56">
        <f t="shared" si="38"/>
        <v>0</v>
      </c>
      <c r="U100" s="57">
        <f t="shared" si="39"/>
        <v>6.2000000000000006E-3</v>
      </c>
      <c r="V100" s="58">
        <f t="shared" si="40"/>
        <v>2.8999999999999998E-3</v>
      </c>
    </row>
    <row r="101" spans="1:28" ht="15" customHeight="1">
      <c r="A101" s="138">
        <v>90</v>
      </c>
      <c r="B101" s="135" t="s">
        <v>149</v>
      </c>
      <c r="C101" s="136" t="s">
        <v>49</v>
      </c>
      <c r="D101" s="29">
        <v>7410082546.3999996</v>
      </c>
      <c r="E101" s="30">
        <f t="shared" si="49"/>
        <v>3.8463628929676419E-2</v>
      </c>
      <c r="F101" s="60">
        <v>142.08000000000001</v>
      </c>
      <c r="G101" s="60">
        <v>142.08000000000001</v>
      </c>
      <c r="H101" s="32">
        <v>4502</v>
      </c>
      <c r="I101" s="50">
        <v>3.2000000000000002E-3</v>
      </c>
      <c r="J101" s="50">
        <v>3.0499999999999999E-2</v>
      </c>
      <c r="K101" s="29">
        <v>7392835291.8400002</v>
      </c>
      <c r="L101" s="30">
        <f t="shared" si="50"/>
        <v>3.7825416371909955E-2</v>
      </c>
      <c r="M101" s="60">
        <v>142.53</v>
      </c>
      <c r="N101" s="60">
        <v>142.53</v>
      </c>
      <c r="O101" s="32">
        <v>4513</v>
      </c>
      <c r="P101" s="50">
        <v>3.2000000000000002E-3</v>
      </c>
      <c r="Q101" s="50">
        <v>3.3700000000000001E-2</v>
      </c>
      <c r="R101" s="56">
        <f t="shared" si="36"/>
        <v>-2.3275387894806389E-3</v>
      </c>
      <c r="S101" s="56">
        <f t="shared" si="37"/>
        <v>3.1672297297296492E-3</v>
      </c>
      <c r="T101" s="56">
        <f t="shared" si="38"/>
        <v>2.4433585073300756E-3</v>
      </c>
      <c r="U101" s="57">
        <f t="shared" si="39"/>
        <v>0</v>
      </c>
      <c r="V101" s="58">
        <f t="shared" si="40"/>
        <v>3.2000000000000015E-3</v>
      </c>
    </row>
    <row r="102" spans="1:28" ht="15" customHeight="1">
      <c r="A102" s="138">
        <v>91</v>
      </c>
      <c r="B102" s="135" t="s">
        <v>150</v>
      </c>
      <c r="C102" s="136" t="s">
        <v>49</v>
      </c>
      <c r="D102" s="29">
        <v>7694057175.8000002</v>
      </c>
      <c r="E102" s="30">
        <f t="shared" si="49"/>
        <v>3.9937660386450205E-2</v>
      </c>
      <c r="F102" s="60">
        <v>358.63</v>
      </c>
      <c r="G102" s="60">
        <v>359.23</v>
      </c>
      <c r="H102" s="32">
        <v>10178</v>
      </c>
      <c r="I102" s="50">
        <v>-2.7000000000000001E-3</v>
      </c>
      <c r="J102" s="50">
        <v>1.41E-2</v>
      </c>
      <c r="K102" s="29">
        <v>7603262496.5900002</v>
      </c>
      <c r="L102" s="30">
        <f t="shared" si="50"/>
        <v>3.8902066442070636E-2</v>
      </c>
      <c r="M102" s="60">
        <v>358.65</v>
      </c>
      <c r="N102" s="60">
        <v>359.26</v>
      </c>
      <c r="O102" s="32">
        <v>10168</v>
      </c>
      <c r="P102" s="50">
        <v>1E-4</v>
      </c>
      <c r="Q102" s="50">
        <v>1.41E-2</v>
      </c>
      <c r="R102" s="56">
        <f t="shared" si="36"/>
        <v>-1.1800624447602904E-2</v>
      </c>
      <c r="S102" s="56">
        <f t="shared" si="37"/>
        <v>8.3511956128309753E-5</v>
      </c>
      <c r="T102" s="56">
        <f t="shared" si="38"/>
        <v>-9.8251129887993722E-4</v>
      </c>
      <c r="U102" s="57">
        <f t="shared" si="39"/>
        <v>2.8E-3</v>
      </c>
      <c r="V102" s="58">
        <f t="shared" si="40"/>
        <v>0</v>
      </c>
    </row>
    <row r="103" spans="1:28">
      <c r="A103" s="138">
        <v>92</v>
      </c>
      <c r="B103" s="135" t="s">
        <v>151</v>
      </c>
      <c r="C103" s="136" t="s">
        <v>52</v>
      </c>
      <c r="D103" s="29">
        <v>88255393644.050003</v>
      </c>
      <c r="E103" s="30">
        <f t="shared" si="49"/>
        <v>0.45810862307012395</v>
      </c>
      <c r="F103" s="29">
        <v>1.9915</v>
      </c>
      <c r="G103" s="29">
        <v>1.9915</v>
      </c>
      <c r="H103" s="32">
        <v>6429</v>
      </c>
      <c r="I103" s="50">
        <v>0.1222</v>
      </c>
      <c r="J103" s="50">
        <v>8.14E-2</v>
      </c>
      <c r="K103" s="29">
        <v>88084138905.75</v>
      </c>
      <c r="L103" s="30">
        <f t="shared" si="50"/>
        <v>0.45068219408982546</v>
      </c>
      <c r="M103" s="29">
        <v>1.9944999999999999</v>
      </c>
      <c r="N103" s="29">
        <v>1.9944999999999999</v>
      </c>
      <c r="O103" s="32">
        <v>6435</v>
      </c>
      <c r="P103" s="50">
        <v>8.1600000000000006E-2</v>
      </c>
      <c r="Q103" s="50">
        <v>8.1500000000000003E-2</v>
      </c>
      <c r="R103" s="56">
        <f t="shared" si="36"/>
        <v>-1.9404450111083799E-3</v>
      </c>
      <c r="S103" s="56">
        <f t="shared" si="37"/>
        <v>1.5064022093898527E-3</v>
      </c>
      <c r="T103" s="56">
        <f t="shared" si="38"/>
        <v>9.3327111525898275E-4</v>
      </c>
      <c r="U103" s="57">
        <f t="shared" si="39"/>
        <v>-4.0599999999999997E-2</v>
      </c>
      <c r="V103" s="58">
        <f t="shared" si="40"/>
        <v>1.0000000000000286E-4</v>
      </c>
    </row>
    <row r="104" spans="1:28">
      <c r="A104" s="138">
        <v>93</v>
      </c>
      <c r="B104" s="135" t="s">
        <v>152</v>
      </c>
      <c r="C104" s="136" t="s">
        <v>52</v>
      </c>
      <c r="D104" s="29">
        <v>10792627360.309999</v>
      </c>
      <c r="E104" s="30">
        <f t="shared" si="49"/>
        <v>5.6021456085521497E-2</v>
      </c>
      <c r="F104" s="29">
        <v>112.7501</v>
      </c>
      <c r="G104" s="29">
        <v>112.7501</v>
      </c>
      <c r="H104" s="32">
        <v>389</v>
      </c>
      <c r="I104" s="50">
        <v>0.20849999999999999</v>
      </c>
      <c r="J104" s="50">
        <v>0.2243</v>
      </c>
      <c r="K104" s="29">
        <v>14010812231.33</v>
      </c>
      <c r="L104" s="30">
        <f t="shared" si="50"/>
        <v>7.1686272646120763E-2</v>
      </c>
      <c r="M104" s="29">
        <v>113.1647</v>
      </c>
      <c r="N104" s="29">
        <v>113.1647</v>
      </c>
      <c r="O104" s="32">
        <v>404</v>
      </c>
      <c r="P104" s="50">
        <v>0.2109</v>
      </c>
      <c r="Q104" s="50">
        <v>0.22289999999999999</v>
      </c>
      <c r="R104" s="56">
        <f t="shared" ref="R104:R106" si="51">((K104-D104)/D104)</f>
        <v>0.29818363625292105</v>
      </c>
      <c r="S104" s="56">
        <f t="shared" ref="S104:S106" si="52">((N104-G104)/G104)</f>
        <v>3.6771586011896482E-3</v>
      </c>
      <c r="T104" s="56">
        <f t="shared" ref="T104:T106" si="53">((O104-H104)/H104)</f>
        <v>3.8560411311053984E-2</v>
      </c>
      <c r="U104" s="57">
        <f t="shared" ref="U104:U106" si="54">P104-I104</f>
        <v>2.4000000000000132E-3</v>
      </c>
      <c r="V104" s="58">
        <f t="shared" ref="V104:V106" si="55">Q104-J104</f>
        <v>-1.4000000000000123E-3</v>
      </c>
    </row>
    <row r="105" spans="1:28">
      <c r="A105" s="138">
        <v>94</v>
      </c>
      <c r="B105" s="135" t="s">
        <v>153</v>
      </c>
      <c r="C105" s="135" t="s">
        <v>154</v>
      </c>
      <c r="D105" s="29">
        <v>104308771.73999999</v>
      </c>
      <c r="E105" s="30">
        <f t="shared" si="49"/>
        <v>5.414371385467024E-4</v>
      </c>
      <c r="F105" s="29">
        <v>112.67896285781758</v>
      </c>
      <c r="G105" s="29">
        <v>112.67896285781758</v>
      </c>
      <c r="H105" s="62">
        <v>63</v>
      </c>
      <c r="I105" s="63">
        <v>2.5706535513435112E-3</v>
      </c>
      <c r="J105" s="63">
        <v>2.0611347638003652E-2</v>
      </c>
      <c r="K105" s="29">
        <v>104739108.97</v>
      </c>
      <c r="L105" s="64">
        <f t="shared" si="50"/>
        <v>5.3589729120382551E-4</v>
      </c>
      <c r="M105" s="29">
        <v>112.92746475911285</v>
      </c>
      <c r="N105" s="29">
        <v>112.92746475911285</v>
      </c>
      <c r="O105" s="62">
        <v>73</v>
      </c>
      <c r="P105" s="63">
        <v>2.2053974849665526E-3</v>
      </c>
      <c r="Q105" s="63">
        <v>2.286220133721284E-2</v>
      </c>
      <c r="R105" s="56">
        <f t="shared" si="51"/>
        <v>4.1256092159982728E-3</v>
      </c>
      <c r="S105" s="56">
        <f t="shared" si="52"/>
        <v>2.2053974849665526E-3</v>
      </c>
      <c r="T105" s="56">
        <f t="shared" si="53"/>
        <v>0.15873015873015872</v>
      </c>
      <c r="U105" s="57">
        <f t="shared" si="54"/>
        <v>-3.6525606637695862E-4</v>
      </c>
      <c r="V105" s="58">
        <f t="shared" si="55"/>
        <v>2.2508536992091877E-3</v>
      </c>
    </row>
    <row r="106" spans="1:28">
      <c r="A106" s="138">
        <v>95</v>
      </c>
      <c r="B106" s="135" t="s">
        <v>155</v>
      </c>
      <c r="C106" s="136" t="s">
        <v>110</v>
      </c>
      <c r="D106" s="29">
        <v>283918440.01999998</v>
      </c>
      <c r="E106" s="30">
        <f t="shared" si="49"/>
        <v>1.4737397936986996E-3</v>
      </c>
      <c r="F106" s="29">
        <v>1.179</v>
      </c>
      <c r="G106" s="29">
        <v>1.179</v>
      </c>
      <c r="H106" s="32">
        <v>438</v>
      </c>
      <c r="I106" s="50">
        <v>5.44E-4</v>
      </c>
      <c r="J106" s="50">
        <v>9.4612000000000002E-2</v>
      </c>
      <c r="K106" s="29">
        <v>279933555.41000003</v>
      </c>
      <c r="L106" s="30">
        <f t="shared" si="50"/>
        <v>1.4322790745168873E-3</v>
      </c>
      <c r="M106" s="29">
        <v>1.1666000000000001</v>
      </c>
      <c r="N106" s="29">
        <v>1.1666000000000001</v>
      </c>
      <c r="O106" s="32">
        <v>448</v>
      </c>
      <c r="P106" s="50">
        <v>-1.0959E-2</v>
      </c>
      <c r="Q106" s="50">
        <v>8.3653000000000005E-2</v>
      </c>
      <c r="R106" s="56">
        <f t="shared" si="51"/>
        <v>-1.4035314542159533E-2</v>
      </c>
      <c r="S106" s="56">
        <f t="shared" si="52"/>
        <v>-1.0517387616624229E-2</v>
      </c>
      <c r="T106" s="56">
        <f t="shared" si="53"/>
        <v>2.2831050228310501E-2</v>
      </c>
      <c r="U106" s="57">
        <f t="shared" si="54"/>
        <v>-1.1502999999999999E-2</v>
      </c>
      <c r="V106" s="58">
        <f t="shared" si="55"/>
        <v>-1.0958999999999997E-2</v>
      </c>
    </row>
    <row r="107" spans="1:28">
      <c r="A107" s="138">
        <v>96</v>
      </c>
      <c r="B107" s="135" t="s">
        <v>156</v>
      </c>
      <c r="C107" s="136" t="s">
        <v>112</v>
      </c>
      <c r="D107" s="29">
        <v>2124915354.8900001</v>
      </c>
      <c r="E107" s="30">
        <f t="shared" si="49"/>
        <v>1.1029830667293718E-2</v>
      </c>
      <c r="F107" s="60">
        <v>28.706900000000001</v>
      </c>
      <c r="G107" s="60">
        <v>28.706900000000001</v>
      </c>
      <c r="H107" s="32">
        <v>1298</v>
      </c>
      <c r="I107" s="50">
        <v>0</v>
      </c>
      <c r="J107" s="50">
        <v>0.1217</v>
      </c>
      <c r="K107" s="29">
        <v>2032055134.96</v>
      </c>
      <c r="L107" s="30">
        <f t="shared" si="50"/>
        <v>1.0397003116703982E-2</v>
      </c>
      <c r="M107" s="60">
        <v>29.441700000000001</v>
      </c>
      <c r="N107" s="60">
        <v>29.441700000000001</v>
      </c>
      <c r="O107" s="32">
        <v>1300</v>
      </c>
      <c r="P107" s="50">
        <v>0</v>
      </c>
      <c r="Q107" s="50">
        <v>0.1239</v>
      </c>
      <c r="R107" s="56">
        <f t="shared" si="36"/>
        <v>-4.370066775427256E-2</v>
      </c>
      <c r="S107" s="56">
        <f t="shared" si="37"/>
        <v>2.5596633561965933E-2</v>
      </c>
      <c r="T107" s="56">
        <f t="shared" si="38"/>
        <v>1.5408320493066256E-3</v>
      </c>
      <c r="U107" s="57">
        <f t="shared" si="39"/>
        <v>0</v>
      </c>
      <c r="V107" s="58">
        <f t="shared" si="40"/>
        <v>2.1999999999999936E-3</v>
      </c>
    </row>
    <row r="108" spans="1:28">
      <c r="A108" s="36"/>
      <c r="B108" s="37"/>
      <c r="C108" s="38" t="s">
        <v>53</v>
      </c>
      <c r="D108" s="48">
        <f>SUM(D71:D107)</f>
        <v>192651675169.49469</v>
      </c>
      <c r="E108" s="40">
        <f>(D108/$D$217)</f>
        <v>4.3072845633537714E-2</v>
      </c>
      <c r="F108" s="41"/>
      <c r="G108" s="45"/>
      <c r="H108" s="43">
        <f>SUM(H71:H107)</f>
        <v>50264</v>
      </c>
      <c r="I108" s="53"/>
      <c r="J108" s="53"/>
      <c r="K108" s="48">
        <f>SUM(K71:K107)</f>
        <v>195446236973.35144</v>
      </c>
      <c r="L108" s="40">
        <f>(K108/$K$217)</f>
        <v>4.2419342207969321E-2</v>
      </c>
      <c r="M108" s="41"/>
      <c r="N108" s="45"/>
      <c r="O108" s="43">
        <f>SUM(O71:O107)</f>
        <v>50312</v>
      </c>
      <c r="P108" s="53"/>
      <c r="Q108" s="53"/>
      <c r="R108" s="56">
        <f t="shared" si="36"/>
        <v>1.4505774742929687E-2</v>
      </c>
      <c r="S108" s="56" t="e">
        <f t="shared" si="37"/>
        <v>#DIV/0!</v>
      </c>
      <c r="T108" s="56">
        <f t="shared" si="38"/>
        <v>9.5495782269616422E-4</v>
      </c>
      <c r="U108" s="57">
        <f t="shared" si="39"/>
        <v>0</v>
      </c>
      <c r="V108" s="58">
        <f t="shared" si="40"/>
        <v>0</v>
      </c>
    </row>
    <row r="109" spans="1:28" ht="3.75" customHeight="1">
      <c r="A109" s="36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</row>
    <row r="110" spans="1:28" ht="15" customHeight="1">
      <c r="A110" s="156" t="s">
        <v>157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</row>
    <row r="111" spans="1:28">
      <c r="A111" s="158" t="s">
        <v>158</v>
      </c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Z111" s="65"/>
      <c r="AB111" s="68"/>
    </row>
    <row r="112" spans="1:28" ht="16.5" customHeight="1">
      <c r="A112" s="138">
        <v>97</v>
      </c>
      <c r="B112" s="135" t="s">
        <v>159</v>
      </c>
      <c r="C112" s="136" t="s">
        <v>19</v>
      </c>
      <c r="D112" s="29">
        <f>1914592.08*1517.2448</f>
        <v>2904904877.501184</v>
      </c>
      <c r="E112" s="30">
        <f t="shared" ref="E112:E117" si="56">(D112/$D$146)</f>
        <v>1.6051494587554316E-3</v>
      </c>
      <c r="F112" s="29">
        <f>111.5695*1517.2448</f>
        <v>169278.24371360001</v>
      </c>
      <c r="G112" s="29">
        <f>111.5695*1517.2448</f>
        <v>169278.24371360001</v>
      </c>
      <c r="H112" s="32">
        <v>298</v>
      </c>
      <c r="I112" s="50">
        <v>1.1999999999999999E-3</v>
      </c>
      <c r="J112" s="50">
        <v>1.35E-2</v>
      </c>
      <c r="K112" s="29">
        <f>1947360.05*1517.93</f>
        <v>2955956240.6965003</v>
      </c>
      <c r="L112" s="30">
        <f t="shared" ref="L112:L128" si="57">(K112/$K$146)</f>
        <v>1.6222323944424879E-3</v>
      </c>
      <c r="M112" s="29">
        <f>111.6898*1517.93</f>
        <v>169537.298114</v>
      </c>
      <c r="N112" s="29">
        <f>111.6898*1517.93</f>
        <v>169537.298114</v>
      </c>
      <c r="O112" s="32">
        <v>298</v>
      </c>
      <c r="P112" s="50">
        <v>1.1000000000000001E-3</v>
      </c>
      <c r="Q112" s="50">
        <v>1.4500000000000001E-2</v>
      </c>
      <c r="R112" s="57">
        <f>((K112-D112)/D112)</f>
        <v>1.7574194456663583E-2</v>
      </c>
      <c r="S112" s="57">
        <f>((N112-G112)/G112)</f>
        <v>1.5303466926221655E-3</v>
      </c>
      <c r="T112" s="57">
        <f>((O112-H112)/H112)</f>
        <v>0</v>
      </c>
      <c r="U112" s="57">
        <f>P112-I112</f>
        <v>-9.9999999999999829E-5</v>
      </c>
      <c r="V112" s="58">
        <f>Q112-J112</f>
        <v>1.0000000000000009E-3</v>
      </c>
      <c r="X112" s="65"/>
      <c r="Y112" s="69"/>
      <c r="Z112" s="65"/>
      <c r="AA112" s="70"/>
    </row>
    <row r="113" spans="1:27" ht="16.5" customHeight="1">
      <c r="A113" s="138">
        <v>98</v>
      </c>
      <c r="B113" s="135" t="s">
        <v>160</v>
      </c>
      <c r="C113" s="136" t="s">
        <v>57</v>
      </c>
      <c r="D113" s="29">
        <f>1784484.62*1517.2448</f>
        <v>2707500010.3749762</v>
      </c>
      <c r="E113" s="30">
        <f t="shared" si="56"/>
        <v>1.4960703911145357E-3</v>
      </c>
      <c r="F113" s="29">
        <f>100*1517.2448</f>
        <v>151724.47999999998</v>
      </c>
      <c r="G113" s="29">
        <f>100*1517.2448</f>
        <v>151724.47999999998</v>
      </c>
      <c r="H113" s="32">
        <v>49</v>
      </c>
      <c r="I113" s="50">
        <v>9.1549999999999999E-3</v>
      </c>
      <c r="J113" s="50">
        <v>7.9377000000000003E-2</v>
      </c>
      <c r="K113" s="29">
        <f>1792739.36*1517.93</f>
        <v>2721252856.7248001</v>
      </c>
      <c r="L113" s="30">
        <f t="shared" si="57"/>
        <v>1.4934268907201283E-3</v>
      </c>
      <c r="M113" s="29">
        <f>100*1517.93</f>
        <v>151793</v>
      </c>
      <c r="N113" s="29">
        <f>100*1517.93</f>
        <v>151793</v>
      </c>
      <c r="O113" s="32">
        <v>50</v>
      </c>
      <c r="P113" s="50">
        <v>-1.1995E-2</v>
      </c>
      <c r="Q113" s="50">
        <v>6.7381999999999997E-2</v>
      </c>
      <c r="R113" s="57">
        <f>((K113-D113)/D113)</f>
        <v>5.0795369518463074E-3</v>
      </c>
      <c r="S113" s="57">
        <f>((N113-G113)/G113)</f>
        <v>4.5160807273828609E-4</v>
      </c>
      <c r="T113" s="57">
        <f>((O113-H113)/H113)</f>
        <v>2.0408163265306121E-2</v>
      </c>
      <c r="U113" s="57">
        <f>P113-I113</f>
        <v>-2.1150000000000002E-2</v>
      </c>
      <c r="V113" s="58">
        <f>Q113-J113</f>
        <v>-1.1995000000000006E-2</v>
      </c>
      <c r="X113" s="65"/>
      <c r="Y113" s="69"/>
      <c r="Z113" s="65"/>
      <c r="AA113" s="70"/>
    </row>
    <row r="114" spans="1:27">
      <c r="A114" s="138">
        <v>99</v>
      </c>
      <c r="B114" s="135" t="s">
        <v>161</v>
      </c>
      <c r="C114" s="136" t="s">
        <v>23</v>
      </c>
      <c r="D114" s="29">
        <f>10182289.09*1511.3382</f>
        <v>15388882465.160236</v>
      </c>
      <c r="E114" s="30">
        <f t="shared" si="56"/>
        <v>8.5033615217897391E-3</v>
      </c>
      <c r="F114" s="29">
        <f>1.1506*1511.3382</f>
        <v>1738.94573292</v>
      </c>
      <c r="G114" s="29">
        <f>1.1506*1511.3382</f>
        <v>1738.94573292</v>
      </c>
      <c r="H114" s="32">
        <v>307</v>
      </c>
      <c r="I114" s="50">
        <v>7.2599999999999998E-2</v>
      </c>
      <c r="J114" s="50">
        <v>7.1599999999999997E-2</v>
      </c>
      <c r="K114" s="29">
        <f>10222115.8*1545.9337</f>
        <v>15802713300.522461</v>
      </c>
      <c r="L114" s="30">
        <f t="shared" si="57"/>
        <v>8.6725483561807641E-3</v>
      </c>
      <c r="M114" s="29">
        <f>1.1519*1545.9337</f>
        <v>1780.7610290299999</v>
      </c>
      <c r="N114" s="29">
        <f>1.1519*1545.9337</f>
        <v>1780.7610290299999</v>
      </c>
      <c r="O114" s="32">
        <v>308</v>
      </c>
      <c r="P114" s="50">
        <v>5.8900000000000001E-2</v>
      </c>
      <c r="Q114" s="50">
        <v>7.0400000000000004E-2</v>
      </c>
      <c r="R114" s="57">
        <f t="shared" ref="R114:R126" si="58">((K114-D114)/D114)</f>
        <v>2.6891545653111568E-2</v>
      </c>
      <c r="S114" s="57">
        <f t="shared" ref="S114:S126" si="59">((N114-G114)/G114)</f>
        <v>2.4046349071390874E-2</v>
      </c>
      <c r="T114" s="57">
        <f t="shared" ref="T114:T126" si="60">((O114-H114)/H114)</f>
        <v>3.2573289902280132E-3</v>
      </c>
      <c r="U114" s="57">
        <f t="shared" ref="U114:U126" si="61">P114-I114</f>
        <v>-1.3699999999999997E-2</v>
      </c>
      <c r="V114" s="58">
        <f t="shared" ref="V114:V126" si="62">Q114-J114</f>
        <v>-1.1999999999999927E-3</v>
      </c>
    </row>
    <row r="115" spans="1:27">
      <c r="A115" s="138">
        <v>100</v>
      </c>
      <c r="B115" s="135" t="s">
        <v>294</v>
      </c>
      <c r="C115" s="136" t="s">
        <v>23</v>
      </c>
      <c r="D115" s="29">
        <f>1713876.42*1511.3382</f>
        <v>2590246903.6252437</v>
      </c>
      <c r="E115" s="30">
        <f t="shared" si="56"/>
        <v>1.4312804001257002E-3</v>
      </c>
      <c r="F115" s="29">
        <f>1.0069*1511.3382</f>
        <v>1521.7664335799998</v>
      </c>
      <c r="G115" s="29">
        <f>1.0069*1511.3382</f>
        <v>1521.7664335799998</v>
      </c>
      <c r="H115" s="32">
        <v>43</v>
      </c>
      <c r="I115" s="50">
        <v>5.1799999999999999E-2</v>
      </c>
      <c r="J115" s="50">
        <v>3.8199999999999998E-2</v>
      </c>
      <c r="K115" s="29">
        <f>1736940.14*1545.9337</f>
        <v>2685194297.3087177</v>
      </c>
      <c r="L115" s="30">
        <f t="shared" si="57"/>
        <v>1.4736379092811084E-3</v>
      </c>
      <c r="M115" s="29">
        <f>1.0076*1545.9337</f>
        <v>1557.6827961200001</v>
      </c>
      <c r="N115" s="29">
        <f>1.0076*1545.9337</f>
        <v>1557.6827961200001</v>
      </c>
      <c r="O115" s="32">
        <v>43</v>
      </c>
      <c r="P115" s="50">
        <v>3.6200000000000003E-2</v>
      </c>
      <c r="Q115" s="50">
        <v>3.7999999999999999E-2</v>
      </c>
      <c r="R115" s="57">
        <f t="shared" si="58"/>
        <v>3.6655730984790719E-2</v>
      </c>
      <c r="S115" s="57">
        <f t="shared" ref="S115" si="63">((N115-G115)/G115)</f>
        <v>2.3601757633401124E-2</v>
      </c>
      <c r="T115" s="57">
        <f t="shared" ref="T115" si="64">((O115-H115)/H115)</f>
        <v>0</v>
      </c>
      <c r="U115" s="57">
        <f t="shared" ref="U115" si="65">P115-I115</f>
        <v>-1.5599999999999996E-2</v>
      </c>
      <c r="V115" s="58">
        <f t="shared" ref="V115" si="66">Q115-J115</f>
        <v>-1.9999999999999879E-4</v>
      </c>
    </row>
    <row r="116" spans="1:27">
      <c r="A116" s="138">
        <v>101</v>
      </c>
      <c r="B116" s="135" t="s">
        <v>162</v>
      </c>
      <c r="C116" s="136" t="s">
        <v>27</v>
      </c>
      <c r="D116" s="29">
        <f>5015714*1517.2448</f>
        <v>7610065984.7872</v>
      </c>
      <c r="E116" s="30">
        <f t="shared" si="56"/>
        <v>4.205057931907898E-3</v>
      </c>
      <c r="F116" s="29">
        <f>1.0917*1517.2448</f>
        <v>1656.3761481599997</v>
      </c>
      <c r="G116" s="29">
        <f>1.0917*1517.2448</f>
        <v>1656.3761481599997</v>
      </c>
      <c r="H116" s="32">
        <v>342</v>
      </c>
      <c r="I116" s="50">
        <v>1.6999999999999999E-3</v>
      </c>
      <c r="J116" s="50">
        <v>1.54E-2</v>
      </c>
      <c r="K116" s="29">
        <f>5456661.17*1517.93</f>
        <v>8282829689.7781</v>
      </c>
      <c r="L116" s="30">
        <f t="shared" si="57"/>
        <v>4.5456270479978505E-3</v>
      </c>
      <c r="M116" s="29">
        <f>1.0936*1517.93</f>
        <v>1660.0082479999999</v>
      </c>
      <c r="N116" s="29">
        <f>1.0936*1517.93</f>
        <v>1660.0082479999999</v>
      </c>
      <c r="O116" s="32">
        <v>349</v>
      </c>
      <c r="P116" s="50">
        <v>1.6999999999999999E-3</v>
      </c>
      <c r="Q116" s="50">
        <v>1.72E-2</v>
      </c>
      <c r="R116" s="57">
        <f t="shared" si="58"/>
        <v>8.8404450938504242E-2</v>
      </c>
      <c r="S116" s="57">
        <f t="shared" ref="S116:T119" si="67">((N116-G116)/G116)</f>
        <v>2.1927989267624313E-3</v>
      </c>
      <c r="T116" s="57">
        <f t="shared" si="67"/>
        <v>2.046783625730994E-2</v>
      </c>
      <c r="U116" s="57">
        <f t="shared" si="61"/>
        <v>0</v>
      </c>
      <c r="V116" s="58">
        <f t="shared" si="62"/>
        <v>1.7999999999999995E-3</v>
      </c>
    </row>
    <row r="117" spans="1:27">
      <c r="A117" s="138">
        <v>102</v>
      </c>
      <c r="B117" s="135" t="s">
        <v>163</v>
      </c>
      <c r="C117" s="136" t="s">
        <v>63</v>
      </c>
      <c r="D117" s="29">
        <f>455811.33*1517.2448</f>
        <v>691577370.22358406</v>
      </c>
      <c r="E117" s="30">
        <f t="shared" si="56"/>
        <v>3.8214161506616777E-4</v>
      </c>
      <c r="F117" s="29">
        <f>1.09*1517.2448</f>
        <v>1653.796832</v>
      </c>
      <c r="G117" s="29">
        <f>1.1*1517.2448</f>
        <v>1668.96928</v>
      </c>
      <c r="H117" s="32">
        <v>21</v>
      </c>
      <c r="I117" s="50">
        <v>0.17180000000000001</v>
      </c>
      <c r="J117" s="50">
        <v>0.26200000000000001</v>
      </c>
      <c r="K117" s="29">
        <f>414114.25*1517.93</f>
        <v>628596443.50250006</v>
      </c>
      <c r="L117" s="30">
        <f t="shared" si="57"/>
        <v>3.4497449577968652E-4</v>
      </c>
      <c r="M117" s="29">
        <f>1.09*1517.93</f>
        <v>1654.5437000000002</v>
      </c>
      <c r="N117" s="29">
        <f>1.1*1517.93</f>
        <v>1669.7230000000002</v>
      </c>
      <c r="O117" s="32">
        <v>21</v>
      </c>
      <c r="P117" s="50">
        <v>0.33450000000000002</v>
      </c>
      <c r="Q117" s="50">
        <v>0.23799999999999999</v>
      </c>
      <c r="R117" s="57">
        <f t="shared" si="58"/>
        <v>-9.1068518769957044E-2</v>
      </c>
      <c r="S117" s="57">
        <f t="shared" si="67"/>
        <v>4.5160807273825768E-4</v>
      </c>
      <c r="T117" s="57">
        <f t="shared" si="67"/>
        <v>0</v>
      </c>
      <c r="U117" s="57">
        <f t="shared" si="61"/>
        <v>0.16270000000000001</v>
      </c>
      <c r="V117" s="58">
        <f t="shared" si="62"/>
        <v>-2.4000000000000021E-2</v>
      </c>
    </row>
    <row r="118" spans="1:27">
      <c r="A118" s="138">
        <v>103</v>
      </c>
      <c r="B118" s="135" t="s">
        <v>164</v>
      </c>
      <c r="C118" s="136" t="s">
        <v>29</v>
      </c>
      <c r="D118" s="29">
        <f>240443.98*1517.2448</f>
        <v>364812378.346304</v>
      </c>
      <c r="E118" s="30">
        <v>0</v>
      </c>
      <c r="F118" s="29">
        <f>1.1351*1517.2448</f>
        <v>1722.22457248</v>
      </c>
      <c r="G118" s="29">
        <f>1.1351*1517.2448</f>
        <v>1722.22457248</v>
      </c>
      <c r="H118" s="32">
        <v>39</v>
      </c>
      <c r="I118" s="50">
        <v>1.76E-4</v>
      </c>
      <c r="J118" s="50">
        <v>2.47E-2</v>
      </c>
      <c r="K118" s="29">
        <f>269665.27*1517.93</f>
        <v>409333003.29110003</v>
      </c>
      <c r="L118" s="30">
        <f t="shared" si="57"/>
        <v>2.2464245204685185E-4</v>
      </c>
      <c r="M118" s="29">
        <f>1.2796*1517.93</f>
        <v>1942.3432280000002</v>
      </c>
      <c r="N118" s="29">
        <f>1.2796*1517.93</f>
        <v>1942.3432280000002</v>
      </c>
      <c r="O118" s="32">
        <v>39</v>
      </c>
      <c r="P118" s="50">
        <v>1.17E-4</v>
      </c>
      <c r="Q118" s="50">
        <v>2.4899999999999999E-2</v>
      </c>
      <c r="R118" s="57">
        <f t="shared" si="58"/>
        <v>0.12203704585520973</v>
      </c>
      <c r="S118" s="57">
        <f t="shared" si="67"/>
        <v>0.12781065781858503</v>
      </c>
      <c r="T118" s="57">
        <f t="shared" si="67"/>
        <v>0</v>
      </c>
      <c r="U118" s="57">
        <f t="shared" si="61"/>
        <v>-5.8999999999999998E-5</v>
      </c>
      <c r="V118" s="58">
        <f t="shared" si="62"/>
        <v>1.9999999999999879E-4</v>
      </c>
    </row>
    <row r="119" spans="1:27">
      <c r="A119" s="138">
        <v>104</v>
      </c>
      <c r="B119" s="135" t="s">
        <v>165</v>
      </c>
      <c r="C119" s="136" t="s">
        <v>72</v>
      </c>
      <c r="D119" s="29">
        <f>450468.73*1517.2448</f>
        <v>683471338.15510392</v>
      </c>
      <c r="E119" s="30">
        <f t="shared" ref="E119:E128" si="68">(D119/$D$146)</f>
        <v>3.7766250351654364E-4</v>
      </c>
      <c r="F119" s="29">
        <f>107.4*1517.2448</f>
        <v>162952.09152000002</v>
      </c>
      <c r="G119" s="29">
        <f>108.05*1517.2448</f>
        <v>163938.30064</v>
      </c>
      <c r="H119" s="32">
        <v>45</v>
      </c>
      <c r="I119" s="50">
        <v>8.0000000000000004E-4</v>
      </c>
      <c r="J119" s="50">
        <v>2.3800000000000002E-2</v>
      </c>
      <c r="K119" s="29">
        <f>446336.82*1517.93</f>
        <v>677508049.18260002</v>
      </c>
      <c r="L119" s="30">
        <f t="shared" si="57"/>
        <v>3.7181724470338481E-4</v>
      </c>
      <c r="M119" s="29">
        <f>107.46*1517.93</f>
        <v>163116.75779999999</v>
      </c>
      <c r="N119" s="29">
        <f>108.19*1517.93</f>
        <v>164224.84669999999</v>
      </c>
      <c r="O119" s="32">
        <v>45</v>
      </c>
      <c r="P119" s="50">
        <v>8.9999999999999998E-4</v>
      </c>
      <c r="Q119" s="50">
        <v>2.47E-2</v>
      </c>
      <c r="R119" s="57">
        <f t="shared" si="58"/>
        <v>-8.725002263592534E-3</v>
      </c>
      <c r="S119" s="57">
        <f t="shared" si="67"/>
        <v>1.7478896565436138E-3</v>
      </c>
      <c r="T119" s="57">
        <f t="shared" si="67"/>
        <v>0</v>
      </c>
      <c r="U119" s="57">
        <f t="shared" si="61"/>
        <v>9.9999999999999937E-5</v>
      </c>
      <c r="V119" s="58">
        <f t="shared" si="62"/>
        <v>8.9999999999999802E-4</v>
      </c>
    </row>
    <row r="120" spans="1:27">
      <c r="A120" s="138">
        <v>105</v>
      </c>
      <c r="B120" s="135" t="s">
        <v>166</v>
      </c>
      <c r="C120" s="136" t="s">
        <v>75</v>
      </c>
      <c r="D120" s="29">
        <v>4980404585.4588003</v>
      </c>
      <c r="E120" s="30">
        <f t="shared" si="68"/>
        <v>2.7519984515324307E-3</v>
      </c>
      <c r="F120" s="29">
        <v>170889.16878400001</v>
      </c>
      <c r="G120" s="29">
        <v>170889.16878400001</v>
      </c>
      <c r="H120" s="32">
        <v>59</v>
      </c>
      <c r="I120" s="50" t="s">
        <v>308</v>
      </c>
      <c r="J120" s="50">
        <v>7.3499999999999996E-2</v>
      </c>
      <c r="K120" s="29">
        <v>4859777699.2046003</v>
      </c>
      <c r="L120" s="30">
        <f t="shared" si="57"/>
        <v>2.6670519356474919E-3</v>
      </c>
      <c r="M120" s="29">
        <v>171353.95673800001</v>
      </c>
      <c r="N120" s="29">
        <v>171353.95673800001</v>
      </c>
      <c r="O120" s="32">
        <v>59</v>
      </c>
      <c r="P120" s="50" t="s">
        <v>313</v>
      </c>
      <c r="Q120" s="50">
        <v>7.8299999999999995E-2</v>
      </c>
      <c r="R120" s="57">
        <f t="shared" si="58"/>
        <v>-2.4220298609151591E-2</v>
      </c>
      <c r="S120" s="57">
        <f t="shared" si="59"/>
        <v>2.7198210238091845E-3</v>
      </c>
      <c r="T120" s="57">
        <f t="shared" si="60"/>
        <v>0</v>
      </c>
      <c r="U120" s="57">
        <f t="shared" si="61"/>
        <v>6.0000000000000006E-4</v>
      </c>
      <c r="V120" s="58">
        <f t="shared" si="62"/>
        <v>4.7999999999999987E-3</v>
      </c>
      <c r="X120" s="66"/>
    </row>
    <row r="121" spans="1:27">
      <c r="A121" s="138">
        <v>106</v>
      </c>
      <c r="B121" s="135" t="s">
        <v>167</v>
      </c>
      <c r="C121" s="136" t="s">
        <v>31</v>
      </c>
      <c r="D121" s="29">
        <v>51988819073.489998</v>
      </c>
      <c r="E121" s="30">
        <f t="shared" si="68"/>
        <v>2.8727214251824503E-2</v>
      </c>
      <c r="F121" s="29">
        <v>197684.4</v>
      </c>
      <c r="G121" s="29">
        <v>197684.4</v>
      </c>
      <c r="H121" s="32">
        <v>2340</v>
      </c>
      <c r="I121" s="50">
        <v>1.9E-3</v>
      </c>
      <c r="J121" s="50">
        <v>1.43E-2</v>
      </c>
      <c r="K121" s="29">
        <v>52426274580.739998</v>
      </c>
      <c r="L121" s="30">
        <f t="shared" si="57"/>
        <v>2.8771603508167549E-2</v>
      </c>
      <c r="M121" s="29">
        <v>198747.72</v>
      </c>
      <c r="N121" s="29">
        <v>198747.72</v>
      </c>
      <c r="O121" s="32">
        <v>2347</v>
      </c>
      <c r="P121" s="50">
        <v>1.5E-3</v>
      </c>
      <c r="Q121" s="50">
        <v>1.5800000000000002E-2</v>
      </c>
      <c r="R121" s="57">
        <f t="shared" si="58"/>
        <v>8.4144151578366237E-3</v>
      </c>
      <c r="S121" s="57">
        <f t="shared" si="59"/>
        <v>5.3788766336646037E-3</v>
      </c>
      <c r="T121" s="57">
        <f t="shared" si="60"/>
        <v>2.9914529914529917E-3</v>
      </c>
      <c r="U121" s="57">
        <f t="shared" si="61"/>
        <v>-3.9999999999999996E-4</v>
      </c>
      <c r="V121" s="58">
        <f t="shared" si="62"/>
        <v>1.5000000000000013E-3</v>
      </c>
    </row>
    <row r="122" spans="1:27">
      <c r="A122" s="138">
        <v>107</v>
      </c>
      <c r="B122" s="146" t="s">
        <v>168</v>
      </c>
      <c r="C122" s="146" t="s">
        <v>31</v>
      </c>
      <c r="D122" s="29">
        <v>125435220468.98</v>
      </c>
      <c r="E122" s="30">
        <f t="shared" si="68"/>
        <v>6.931114261402159E-2</v>
      </c>
      <c r="F122" s="29">
        <v>185949.78</v>
      </c>
      <c r="G122" s="29">
        <v>185949.78</v>
      </c>
      <c r="H122" s="32">
        <v>742</v>
      </c>
      <c r="I122" s="50">
        <v>1.9E-3</v>
      </c>
      <c r="J122" s="50">
        <v>1.5699999999999999E-2</v>
      </c>
      <c r="K122" s="29">
        <v>128155602403.8</v>
      </c>
      <c r="L122" s="30">
        <f t="shared" si="57"/>
        <v>7.0331951091315792E-2</v>
      </c>
      <c r="M122" s="29">
        <v>186951.96</v>
      </c>
      <c r="N122" s="29">
        <v>186951.96</v>
      </c>
      <c r="O122" s="32">
        <v>751</v>
      </c>
      <c r="P122" s="50">
        <v>1.5E-3</v>
      </c>
      <c r="Q122" s="50">
        <v>1.72E-2</v>
      </c>
      <c r="R122" s="57">
        <f t="shared" si="58"/>
        <v>2.1687544572002844E-2</v>
      </c>
      <c r="S122" s="57">
        <f t="shared" si="59"/>
        <v>5.3895196864443351E-3</v>
      </c>
      <c r="T122" s="57">
        <f t="shared" si="60"/>
        <v>1.2129380053908356E-2</v>
      </c>
      <c r="U122" s="57">
        <f t="shared" si="61"/>
        <v>-3.9999999999999996E-4</v>
      </c>
      <c r="V122" s="58">
        <f t="shared" si="62"/>
        <v>1.5000000000000013E-3</v>
      </c>
    </row>
    <row r="123" spans="1:27">
      <c r="A123" s="138">
        <v>108</v>
      </c>
      <c r="B123" s="135" t="s">
        <v>307</v>
      </c>
      <c r="C123" s="136" t="s">
        <v>306</v>
      </c>
      <c r="D123" s="29">
        <f>91574.17*1517.2448</f>
        <v>138940433.24681598</v>
      </c>
      <c r="E123" s="30">
        <f t="shared" si="68"/>
        <v>7.6773653744288892E-5</v>
      </c>
      <c r="F123" s="29">
        <v>1517.2447999999999</v>
      </c>
      <c r="G123" s="29">
        <v>1517.2447999999999</v>
      </c>
      <c r="H123" s="32">
        <v>4</v>
      </c>
      <c r="I123" s="50">
        <v>8.3299999999999999E-2</v>
      </c>
      <c r="J123" s="50">
        <v>8.6199999999999999E-2</v>
      </c>
      <c r="K123" s="29">
        <f>362311.24*1517.93</f>
        <v>549963100.53320003</v>
      </c>
      <c r="L123" s="30">
        <f t="shared" si="57"/>
        <v>3.0182042113815929E-4</v>
      </c>
      <c r="M123" s="29">
        <v>1517.93</v>
      </c>
      <c r="N123" s="29">
        <v>1517.93</v>
      </c>
      <c r="O123" s="32">
        <v>4</v>
      </c>
      <c r="P123" s="50">
        <v>8.1000000000000003E-2</v>
      </c>
      <c r="Q123" s="50">
        <v>8.6999999999999994E-2</v>
      </c>
      <c r="R123" s="57">
        <f t="shared" ref="R123" si="69">((K123-D123)/D123)</f>
        <v>2.9582653348736643</v>
      </c>
      <c r="S123" s="57">
        <f t="shared" ref="S123" si="70">((N123-G123)/G123)</f>
        <v>4.5160807273824413E-4</v>
      </c>
      <c r="T123" s="57">
        <f t="shared" si="60"/>
        <v>0</v>
      </c>
      <c r="U123" s="57">
        <f t="shared" si="61"/>
        <v>-2.2999999999999965E-3</v>
      </c>
      <c r="V123" s="58">
        <f t="shared" si="62"/>
        <v>7.9999999999999516E-4</v>
      </c>
    </row>
    <row r="124" spans="1:27">
      <c r="A124" s="138">
        <v>109</v>
      </c>
      <c r="B124" s="135" t="s">
        <v>169</v>
      </c>
      <c r="C124" s="136" t="s">
        <v>35</v>
      </c>
      <c r="D124" s="29">
        <f>137848.38*1517.2448</f>
        <v>209149737.743424</v>
      </c>
      <c r="E124" s="30">
        <f t="shared" si="68"/>
        <v>1.1556887488394555E-4</v>
      </c>
      <c r="F124" s="29">
        <f>113.91*1517.2448</f>
        <v>172829.35516799998</v>
      </c>
      <c r="G124" s="29">
        <f>113.91*1517.2448</f>
        <v>172829.35516799998</v>
      </c>
      <c r="H124" s="32">
        <v>8</v>
      </c>
      <c r="I124" s="50">
        <v>2.3E-3</v>
      </c>
      <c r="J124" s="50">
        <v>4.5999999999999999E-3</v>
      </c>
      <c r="K124" s="29">
        <f>137848.38*1517.93</f>
        <v>209244191.45340002</v>
      </c>
      <c r="L124" s="30">
        <f t="shared" si="57"/>
        <v>1.1483346777983761E-4</v>
      </c>
      <c r="M124" s="29">
        <f>113.91*1517.93</f>
        <v>172907.4063</v>
      </c>
      <c r="N124" s="29">
        <f>113.91*1517.93</f>
        <v>172907.4063</v>
      </c>
      <c r="O124" s="32">
        <v>8</v>
      </c>
      <c r="P124" s="50">
        <v>2.3E-3</v>
      </c>
      <c r="Q124" s="50">
        <v>4.5999999999999999E-3</v>
      </c>
      <c r="R124" s="57">
        <f t="shared" si="58"/>
        <v>4.5160807273824684E-4</v>
      </c>
      <c r="S124" s="57">
        <f t="shared" si="59"/>
        <v>4.5160807273829254E-4</v>
      </c>
      <c r="T124" s="57">
        <f t="shared" si="60"/>
        <v>0</v>
      </c>
      <c r="U124" s="57">
        <f t="shared" si="61"/>
        <v>0</v>
      </c>
      <c r="V124" s="58">
        <f t="shared" si="62"/>
        <v>0</v>
      </c>
    </row>
    <row r="125" spans="1:27">
      <c r="A125" s="138">
        <v>110</v>
      </c>
      <c r="B125" s="135" t="s">
        <v>170</v>
      </c>
      <c r="C125" s="136" t="s">
        <v>41</v>
      </c>
      <c r="D125" s="29">
        <f>10522063.77*1517.2448</f>
        <v>15964546540.300894</v>
      </c>
      <c r="E125" s="30">
        <f t="shared" si="68"/>
        <v>8.8214534792213466E-3</v>
      </c>
      <c r="F125" s="29">
        <f>1.4*1517.2448</f>
        <v>2124.1427199999998</v>
      </c>
      <c r="G125" s="29">
        <f>1.4*1517.2448</f>
        <v>2124.1427199999998</v>
      </c>
      <c r="H125" s="46">
        <v>114</v>
      </c>
      <c r="I125" s="53">
        <v>8.9999999999999998E-4</v>
      </c>
      <c r="J125" s="53">
        <v>5.0799999999999998E-2</v>
      </c>
      <c r="K125" s="29">
        <f>10544572.86*1517.93</f>
        <v>16005923481.379799</v>
      </c>
      <c r="L125" s="30">
        <f t="shared" si="57"/>
        <v>8.7840703515772913E-3</v>
      </c>
      <c r="M125" s="29">
        <f>1.4*1517.93</f>
        <v>2125.1019999999999</v>
      </c>
      <c r="N125" s="29">
        <f>1.4*1517.93</f>
        <v>2125.1019999999999</v>
      </c>
      <c r="O125" s="46">
        <v>114</v>
      </c>
      <c r="P125" s="53">
        <v>8.9999999999999998E-4</v>
      </c>
      <c r="Q125" s="53">
        <v>5.0599999999999999E-2</v>
      </c>
      <c r="R125" s="57">
        <f t="shared" si="58"/>
        <v>2.5918018388090872E-3</v>
      </c>
      <c r="S125" s="57">
        <f t="shared" si="59"/>
        <v>4.5160807273817989E-4</v>
      </c>
      <c r="T125" s="57">
        <f t="shared" si="60"/>
        <v>0</v>
      </c>
      <c r="U125" s="57">
        <f t="shared" si="61"/>
        <v>0</v>
      </c>
      <c r="V125" s="58">
        <f t="shared" si="62"/>
        <v>-1.9999999999999879E-4</v>
      </c>
    </row>
    <row r="126" spans="1:27">
      <c r="A126" s="138">
        <v>111</v>
      </c>
      <c r="B126" s="135" t="s">
        <v>171</v>
      </c>
      <c r="C126" s="136" t="s">
        <v>89</v>
      </c>
      <c r="D126" s="29">
        <f>20299687*1517.2448</f>
        <v>30799594542.377598</v>
      </c>
      <c r="E126" s="30">
        <f t="shared" si="68"/>
        <v>1.7018785328389466E-2</v>
      </c>
      <c r="F126" s="29">
        <f>105.03*1517.2448</f>
        <v>159356.22134399999</v>
      </c>
      <c r="G126" s="29">
        <f>105.03*1517.2448</f>
        <v>159356.22134399999</v>
      </c>
      <c r="H126" s="32">
        <v>558</v>
      </c>
      <c r="I126" s="53">
        <v>1.6999999999999999E-3</v>
      </c>
      <c r="J126" s="50">
        <v>0.1013</v>
      </c>
      <c r="K126" s="29">
        <f>20714218*1517.93</f>
        <v>31442732928.740002</v>
      </c>
      <c r="L126" s="30">
        <f t="shared" si="57"/>
        <v>1.7255810226333688E-2</v>
      </c>
      <c r="M126" s="29">
        <f>105.19*1517.93</f>
        <v>159671.05670000002</v>
      </c>
      <c r="N126" s="29">
        <f>105.19*1517.93</f>
        <v>159671.05670000002</v>
      </c>
      <c r="O126" s="32">
        <v>565</v>
      </c>
      <c r="P126" s="53">
        <v>1.6000000000000001E-3</v>
      </c>
      <c r="Q126" s="50">
        <v>9.9599999999999994E-2</v>
      </c>
      <c r="R126" s="57">
        <f t="shared" si="58"/>
        <v>2.08813913273274E-2</v>
      </c>
      <c r="S126" s="57">
        <f t="shared" si="59"/>
        <v>1.9756703148752159E-3</v>
      </c>
      <c r="T126" s="57">
        <f t="shared" si="60"/>
        <v>1.2544802867383513E-2</v>
      </c>
      <c r="U126" s="57">
        <f t="shared" si="61"/>
        <v>-9.9999999999999829E-5</v>
      </c>
      <c r="V126" s="58">
        <f t="shared" si="62"/>
        <v>-1.7000000000000071E-3</v>
      </c>
    </row>
    <row r="127" spans="1:27">
      <c r="A127" s="138">
        <v>112</v>
      </c>
      <c r="B127" s="135" t="s">
        <v>172</v>
      </c>
      <c r="C127" s="136" t="s">
        <v>45</v>
      </c>
      <c r="D127" s="29">
        <f>1664258.23*1517.2448</f>
        <v>2525087145.3247037</v>
      </c>
      <c r="E127" s="30">
        <f t="shared" si="68"/>
        <v>1.3952753826881872E-3</v>
      </c>
      <c r="F127" s="29">
        <f>132.955159*1517.2448</f>
        <v>201725.5236259232</v>
      </c>
      <c r="G127" s="29">
        <f>137.117265*1517.2448</f>
        <v>208040.45731147198</v>
      </c>
      <c r="H127" s="32">
        <v>51</v>
      </c>
      <c r="I127" s="50">
        <v>3.5000000000000003E-2</v>
      </c>
      <c r="J127" s="50">
        <v>3.2000000000000002E-3</v>
      </c>
      <c r="K127" s="29">
        <f>1675342.7*1517.93</f>
        <v>2543052944.6110001</v>
      </c>
      <c r="L127" s="30">
        <f t="shared" si="57"/>
        <v>1.3956305613503485E-3</v>
      </c>
      <c r="M127" s="29">
        <f>133.233981*1517.93</f>
        <v>202239.85677933</v>
      </c>
      <c r="N127" s="29">
        <f>137.417008*1517.93</f>
        <v>208589.39895344002</v>
      </c>
      <c r="O127" s="32">
        <v>51</v>
      </c>
      <c r="P127" s="50">
        <v>2E-3</v>
      </c>
      <c r="Q127" s="50">
        <v>-2.9700000000000001E-2</v>
      </c>
      <c r="R127" s="57">
        <f t="shared" ref="R127:R128" si="71">((K127-D127)/D127)</f>
        <v>7.1149224768581702E-3</v>
      </c>
      <c r="S127" s="57">
        <f t="shared" ref="S127:S128" si="72">((N127-G127)/G127)</f>
        <v>2.6386292794298928E-3</v>
      </c>
      <c r="T127" s="57">
        <f t="shared" ref="T127:T128" si="73">((O127-H127)/H127)</f>
        <v>0</v>
      </c>
      <c r="U127" s="57">
        <f t="shared" ref="U127:U128" si="74">P127-I127</f>
        <v>-3.3000000000000002E-2</v>
      </c>
      <c r="V127" s="58">
        <f t="shared" ref="V127:V128" si="75">Q127-J127</f>
        <v>-3.2899999999999999E-2</v>
      </c>
    </row>
    <row r="128" spans="1:27">
      <c r="A128" s="138">
        <v>113</v>
      </c>
      <c r="B128" s="135" t="s">
        <v>173</v>
      </c>
      <c r="C128" s="136" t="s">
        <v>52</v>
      </c>
      <c r="D128" s="33">
        <f>111151301.65*1520.6</f>
        <v>169016669288.98999</v>
      </c>
      <c r="E128" s="30">
        <f t="shared" si="68"/>
        <v>9.3392736309919844E-2</v>
      </c>
      <c r="F128" s="29">
        <f>126.12*1520.6</f>
        <v>191778.07199999999</v>
      </c>
      <c r="G128" s="29">
        <f>126.12*1520.6</f>
        <v>191778.07199999999</v>
      </c>
      <c r="H128" s="32">
        <v>3562</v>
      </c>
      <c r="I128" s="50">
        <v>3.1399999999999997E-2</v>
      </c>
      <c r="J128" s="50">
        <v>7.1999999999999995E-2</v>
      </c>
      <c r="K128" s="33">
        <f>111658955.43*1519</f>
        <v>169609953298.17001</v>
      </c>
      <c r="L128" s="30">
        <f t="shared" si="57"/>
        <v>9.3082149482475812E-2</v>
      </c>
      <c r="M128" s="29">
        <f>126.2665*1519</f>
        <v>191798.81349999999</v>
      </c>
      <c r="N128" s="29">
        <f>126.2665*1519</f>
        <v>191798.81349999999</v>
      </c>
      <c r="O128" s="32">
        <v>3568</v>
      </c>
      <c r="P128" s="50">
        <v>6.2399999999999997E-2</v>
      </c>
      <c r="Q128" s="50">
        <v>7.1099999999999997E-2</v>
      </c>
      <c r="R128" s="57">
        <f t="shared" si="71"/>
        <v>3.5102100383105268E-3</v>
      </c>
      <c r="S128" s="57">
        <f t="shared" si="72"/>
        <v>1.081536579427273E-4</v>
      </c>
      <c r="T128" s="57">
        <f t="shared" si="73"/>
        <v>1.6844469399213925E-3</v>
      </c>
      <c r="U128" s="57">
        <f t="shared" si="74"/>
        <v>3.1E-2</v>
      </c>
      <c r="V128" s="58">
        <f t="shared" si="75"/>
        <v>-8.9999999999999802E-4</v>
      </c>
    </row>
    <row r="129" spans="1:24" ht="6" customHeight="1">
      <c r="A129" s="36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</row>
    <row r="130" spans="1:24">
      <c r="A130" s="158" t="s">
        <v>174</v>
      </c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</row>
    <row r="131" spans="1:24">
      <c r="A131" s="138">
        <v>114</v>
      </c>
      <c r="B131" s="135" t="s">
        <v>175</v>
      </c>
      <c r="C131" s="136" t="s">
        <v>118</v>
      </c>
      <c r="D131" s="33">
        <f>1271014.81*1517.2448</f>
        <v>1928440611.195488</v>
      </c>
      <c r="E131" s="30">
        <f t="shared" ref="E131:E143" si="76">(D131/$D$146)</f>
        <v>1.0655892477846444E-3</v>
      </c>
      <c r="F131" s="29">
        <f>111.54*1517.2448</f>
        <v>169233.48499200001</v>
      </c>
      <c r="G131" s="29">
        <f>111.54*1517.2448</f>
        <v>169233.48499200001</v>
      </c>
      <c r="H131" s="32">
        <v>24</v>
      </c>
      <c r="I131" s="50">
        <v>9.1570000000000002E-3</v>
      </c>
      <c r="J131" s="50">
        <v>4.9500000000000002E-2</v>
      </c>
      <c r="K131" s="33">
        <f>1267893.23*1517.93</f>
        <v>1924573170.6138999</v>
      </c>
      <c r="L131" s="30">
        <f t="shared" ref="L131:L145" si="77">(K131/$K$146)</f>
        <v>1.0562081061487936E-3</v>
      </c>
      <c r="M131" s="29">
        <f>111.27*1517.93</f>
        <v>168900.0711</v>
      </c>
      <c r="N131" s="29">
        <f>111.27*1517.93</f>
        <v>168900.0711</v>
      </c>
      <c r="O131" s="32">
        <v>24</v>
      </c>
      <c r="P131" s="50">
        <v>-2.9580000000000001E-3</v>
      </c>
      <c r="Q131" s="50">
        <v>2.41E-2</v>
      </c>
      <c r="R131" s="57">
        <f>((K131-D131)/D131)</f>
        <v>-2.0054755947036956E-3</v>
      </c>
      <c r="S131" s="57">
        <f>((N131-G131)/G131)</f>
        <v>-1.9701413819834326E-3</v>
      </c>
      <c r="T131" s="57">
        <f>((O131-H131)/H131)</f>
        <v>0</v>
      </c>
      <c r="U131" s="57">
        <f>P131-I131</f>
        <v>-1.2115000000000001E-2</v>
      </c>
      <c r="V131" s="58">
        <f>Q131-J131</f>
        <v>-2.5400000000000002E-2</v>
      </c>
    </row>
    <row r="132" spans="1:24">
      <c r="A132" s="138">
        <v>115</v>
      </c>
      <c r="B132" s="136" t="s">
        <v>176</v>
      </c>
      <c r="C132" s="136" t="s">
        <v>25</v>
      </c>
      <c r="D132" s="29">
        <f>11607611.92*1517.2448</f>
        <v>17611588826.038013</v>
      </c>
      <c r="E132" s="30">
        <f t="shared" si="76"/>
        <v>9.7315517939628657E-3</v>
      </c>
      <c r="F132" s="33">
        <f>135.14*1517.2448</f>
        <v>205040.46227199998</v>
      </c>
      <c r="G132" s="33">
        <f>135.14*1517.2448</f>
        <v>205040.46227199998</v>
      </c>
      <c r="H132" s="32">
        <v>541</v>
      </c>
      <c r="I132" s="50">
        <v>5.0000000000000001E-4</v>
      </c>
      <c r="J132" s="50">
        <v>1.04E-2</v>
      </c>
      <c r="K132" s="29">
        <f>11655231.49*1517.93</f>
        <v>17691825535.6157</v>
      </c>
      <c r="L132" s="30">
        <f t="shared" si="77"/>
        <v>9.7092954576141095E-3</v>
      </c>
      <c r="M132" s="33">
        <f>135.28*1517.93</f>
        <v>205345.5704</v>
      </c>
      <c r="N132" s="33">
        <f>135.28*1517.93</f>
        <v>205345.5704</v>
      </c>
      <c r="O132" s="32">
        <v>546</v>
      </c>
      <c r="P132" s="50">
        <v>5.0000000000000001E-4</v>
      </c>
      <c r="Q132" s="50">
        <v>1.15E-2</v>
      </c>
      <c r="R132" s="57">
        <f t="shared" ref="R132:R146" si="78">((K132-D132)/D132)</f>
        <v>4.5559040907802491E-3</v>
      </c>
      <c r="S132" s="57">
        <f t="shared" ref="S132:S146" si="79">((N132-G132)/G132)</f>
        <v>1.4880386272016653E-3</v>
      </c>
      <c r="T132" s="57">
        <f t="shared" ref="T132:T146" si="80">((O132-H132)/H132)</f>
        <v>9.242144177449169E-3</v>
      </c>
      <c r="U132" s="57">
        <f t="shared" ref="U132:U146" si="81">P132-I132</f>
        <v>0</v>
      </c>
      <c r="V132" s="58">
        <f t="shared" ref="V132:V146" si="82">Q132-J132</f>
        <v>1.1000000000000003E-3</v>
      </c>
    </row>
    <row r="133" spans="1:24">
      <c r="A133" s="138">
        <v>116</v>
      </c>
      <c r="B133" s="135" t="s">
        <v>177</v>
      </c>
      <c r="C133" s="136" t="s">
        <v>67</v>
      </c>
      <c r="D133" s="33">
        <v>16120076946.51</v>
      </c>
      <c r="E133" s="30">
        <f t="shared" si="76"/>
        <v>8.9073941753453831E-3</v>
      </c>
      <c r="F133" s="33">
        <v>176852.68</v>
      </c>
      <c r="G133" s="33">
        <v>176852.68</v>
      </c>
      <c r="H133" s="32">
        <v>668</v>
      </c>
      <c r="I133" s="50">
        <v>1.6000000000000001E-3</v>
      </c>
      <c r="J133" s="50">
        <v>6.54E-2</v>
      </c>
      <c r="K133" s="33">
        <v>16290460608.17</v>
      </c>
      <c r="L133" s="30">
        <f t="shared" si="77"/>
        <v>8.9402246742109354E-3</v>
      </c>
      <c r="M133" s="33">
        <v>177062.7</v>
      </c>
      <c r="N133" s="33">
        <v>177062.7</v>
      </c>
      <c r="O133" s="32">
        <v>677</v>
      </c>
      <c r="P133" s="50">
        <v>1.1999999999999999E-3</v>
      </c>
      <c r="Q133" s="50">
        <v>6.4899999999999999E-2</v>
      </c>
      <c r="R133" s="57">
        <f t="shared" si="78"/>
        <v>1.0569655605576246E-2</v>
      </c>
      <c r="S133" s="57">
        <f t="shared" si="79"/>
        <v>1.1875420830491155E-3</v>
      </c>
      <c r="T133" s="57">
        <f t="shared" si="80"/>
        <v>1.3473053892215569E-2</v>
      </c>
      <c r="U133" s="57">
        <f t="shared" si="81"/>
        <v>-4.0000000000000018E-4</v>
      </c>
      <c r="V133" s="58">
        <f t="shared" si="82"/>
        <v>-5.0000000000000044E-4</v>
      </c>
    </row>
    <row r="134" spans="1:24">
      <c r="A134" s="138">
        <v>117</v>
      </c>
      <c r="B134" s="135" t="s">
        <v>301</v>
      </c>
      <c r="C134" s="136" t="s">
        <v>302</v>
      </c>
      <c r="D134" s="29">
        <f>60408.85*1517.2448</f>
        <v>91655013.536479995</v>
      </c>
      <c r="E134" s="30">
        <f t="shared" ref="E134" si="83">(D134/$D$108)</f>
        <v>4.7575508209747998E-4</v>
      </c>
      <c r="F134" s="35">
        <f>0.9874*1517.2448</f>
        <v>1498.1275155200001</v>
      </c>
      <c r="G134" s="35">
        <f>0.9874*1517.2448</f>
        <v>1498.1275155200001</v>
      </c>
      <c r="H134" s="32">
        <v>2</v>
      </c>
      <c r="I134" s="50">
        <v>1.0127607859022891E-3</v>
      </c>
      <c r="J134" s="50">
        <v>4.7060564845586295E-2</v>
      </c>
      <c r="K134" s="29">
        <f>60503.63*1517.93</f>
        <v>91840275.085899994</v>
      </c>
      <c r="L134" s="30">
        <f t="shared" ref="L134" si="84">(K134/$K$108)</f>
        <v>4.699004519509995E-4</v>
      </c>
      <c r="M134" s="35">
        <f>0.9874*1517.93</f>
        <v>1498.8040820000001</v>
      </c>
      <c r="N134" s="35">
        <f>0.9896*1517.93</f>
        <v>1502.1435280000001</v>
      </c>
      <c r="O134" s="32">
        <v>2</v>
      </c>
      <c r="P134" s="50">
        <v>1.214083367057972E-3</v>
      </c>
      <c r="Q134" s="50">
        <v>4.8264779597216978E-2</v>
      </c>
      <c r="R134" s="56">
        <f t="shared" si="78"/>
        <v>2.0212920414469462E-3</v>
      </c>
      <c r="S134" s="56">
        <f t="shared" si="79"/>
        <v>2.6806880178060237E-3</v>
      </c>
      <c r="T134" s="56">
        <f t="shared" si="80"/>
        <v>0</v>
      </c>
      <c r="U134" s="57">
        <f t="shared" si="81"/>
        <v>2.0132258115568291E-4</v>
      </c>
      <c r="V134" s="58">
        <f t="shared" si="82"/>
        <v>1.2042147516306834E-3</v>
      </c>
    </row>
    <row r="135" spans="1:24">
      <c r="A135" s="138">
        <v>118</v>
      </c>
      <c r="B135" s="135" t="s">
        <v>178</v>
      </c>
      <c r="C135" s="136" t="s">
        <v>65</v>
      </c>
      <c r="D135" s="33">
        <v>6759785118.4012785</v>
      </c>
      <c r="E135" s="30">
        <f t="shared" si="76"/>
        <v>3.7352222815083937E-3</v>
      </c>
      <c r="F135" s="33">
        <v>1943.0981094949727</v>
      </c>
      <c r="G135" s="33">
        <v>1943.0981094949727</v>
      </c>
      <c r="H135" s="32">
        <v>234</v>
      </c>
      <c r="I135" s="50">
        <v>0.19646594235251458</v>
      </c>
      <c r="J135" s="50">
        <v>7.1650191819181031E-2</v>
      </c>
      <c r="K135" s="33">
        <v>6844199990.3812046</v>
      </c>
      <c r="L135" s="30">
        <f t="shared" si="77"/>
        <v>3.7561053122434677E-3</v>
      </c>
      <c r="M135" s="33">
        <v>1943.2299646890253</v>
      </c>
      <c r="N135" s="33">
        <v>1943.2299646890253</v>
      </c>
      <c r="O135" s="32">
        <v>239</v>
      </c>
      <c r="P135" s="50">
        <v>5.8465400706000578E-2</v>
      </c>
      <c r="Q135" s="50">
        <v>7.0458531211969488E-2</v>
      </c>
      <c r="R135" s="57">
        <f t="shared" si="78"/>
        <v>1.2487804050181203E-2</v>
      </c>
      <c r="S135" s="57">
        <f t="shared" si="79"/>
        <v>6.7858227748919577E-5</v>
      </c>
      <c r="T135" s="56">
        <f t="shared" si="80"/>
        <v>2.1367521367521368E-2</v>
      </c>
      <c r="U135" s="57">
        <f t="shared" si="81"/>
        <v>-0.13800054164651399</v>
      </c>
      <c r="V135" s="58">
        <f t="shared" si="82"/>
        <v>-1.1916606072115421E-3</v>
      </c>
    </row>
    <row r="136" spans="1:24">
      <c r="A136" s="138">
        <v>119</v>
      </c>
      <c r="B136" s="135" t="s">
        <v>179</v>
      </c>
      <c r="C136" s="136" t="s">
        <v>37</v>
      </c>
      <c r="D136" s="33">
        <v>86933186295</v>
      </c>
      <c r="E136" s="30">
        <f t="shared" si="76"/>
        <v>4.8036256887467557E-2</v>
      </c>
      <c r="F136" s="33">
        <f>100*1500</f>
        <v>150000</v>
      </c>
      <c r="G136" s="33">
        <f>100*1500</f>
        <v>150000</v>
      </c>
      <c r="H136" s="32">
        <v>1871</v>
      </c>
      <c r="I136" s="50">
        <v>5.8099999999999999E-2</v>
      </c>
      <c r="J136" s="50">
        <v>5.0966600000000001E-2</v>
      </c>
      <c r="K136" s="33">
        <v>87449602650</v>
      </c>
      <c r="L136" s="30">
        <f t="shared" si="77"/>
        <v>4.7992448719919784E-2</v>
      </c>
      <c r="M136" s="33">
        <f>100*1517.93</f>
        <v>151793</v>
      </c>
      <c r="N136" s="33">
        <f>100*1517.93</f>
        <v>151793</v>
      </c>
      <c r="O136" s="32">
        <v>1891</v>
      </c>
      <c r="P136" s="50">
        <v>4.6699999999999998E-2</v>
      </c>
      <c r="Q136" s="50">
        <v>5.0554500000000002E-2</v>
      </c>
      <c r="R136" s="57">
        <f t="shared" si="78"/>
        <v>5.9403822292626801E-3</v>
      </c>
      <c r="S136" s="57">
        <f t="shared" si="79"/>
        <v>1.1953333333333333E-2</v>
      </c>
      <c r="T136" s="57">
        <f t="shared" si="80"/>
        <v>1.0689470871191877E-2</v>
      </c>
      <c r="U136" s="57">
        <f t="shared" si="81"/>
        <v>-1.14E-2</v>
      </c>
      <c r="V136" s="58">
        <f t="shared" si="82"/>
        <v>-4.1209999999999858E-4</v>
      </c>
    </row>
    <row r="137" spans="1:24" ht="15.6">
      <c r="A137" s="138">
        <v>120</v>
      </c>
      <c r="B137" s="135" t="s">
        <v>180</v>
      </c>
      <c r="C137" s="136" t="s">
        <v>135</v>
      </c>
      <c r="D137" s="33">
        <f>1067060.98*1517.2448</f>
        <v>1618992723.1879039</v>
      </c>
      <c r="E137" s="30">
        <f t="shared" si="76"/>
        <v>8.9459910149949039E-4</v>
      </c>
      <c r="F137" s="33">
        <f>1.1*1517.2448</f>
        <v>1668.96928</v>
      </c>
      <c r="G137" s="33">
        <f>1.13*1517.2448</f>
        <v>1714.4866239999997</v>
      </c>
      <c r="H137" s="32">
        <v>47</v>
      </c>
      <c r="I137" s="50">
        <v>1.9E-3</v>
      </c>
      <c r="J137" s="50">
        <v>9.9599999999999994E-2</v>
      </c>
      <c r="K137" s="33">
        <f>1061060.12*1517.93</f>
        <v>1610614987.9516003</v>
      </c>
      <c r="L137" s="30">
        <f t="shared" si="77"/>
        <v>8.8390747212619151E-4</v>
      </c>
      <c r="M137" s="33">
        <f>1.09*1517.93</f>
        <v>1654.5437000000002</v>
      </c>
      <c r="N137" s="33">
        <f>1.13*1517.93</f>
        <v>1715.2609</v>
      </c>
      <c r="O137" s="32">
        <v>47</v>
      </c>
      <c r="P137" s="50">
        <v>1.9E-3</v>
      </c>
      <c r="Q137" s="50">
        <v>9.9599999999999994E-2</v>
      </c>
      <c r="R137" s="57">
        <f t="shared" si="78"/>
        <v>-5.1746589816705612E-3</v>
      </c>
      <c r="S137" s="57">
        <f t="shared" si="79"/>
        <v>4.5160807273835423E-4</v>
      </c>
      <c r="T137" s="57">
        <f t="shared" si="80"/>
        <v>0</v>
      </c>
      <c r="U137" s="57">
        <f t="shared" si="81"/>
        <v>0</v>
      </c>
      <c r="V137" s="58">
        <f t="shared" si="82"/>
        <v>0</v>
      </c>
      <c r="X137" s="67"/>
    </row>
    <row r="138" spans="1:24" ht="15.6">
      <c r="A138" s="138">
        <v>121</v>
      </c>
      <c r="B138" s="135" t="s">
        <v>181</v>
      </c>
      <c r="C138" s="136" t="s">
        <v>43</v>
      </c>
      <c r="D138" s="29">
        <f>2902704.12*1517.2448</f>
        <v>4404112732.0085764</v>
      </c>
      <c r="E138" s="30">
        <f t="shared" si="76"/>
        <v>2.4335596056289767E-3</v>
      </c>
      <c r="F138" s="33">
        <f>10.48869*1517.2448</f>
        <v>15913.910361311999</v>
      </c>
      <c r="G138" s="33">
        <f>10.48869*1517.2448</f>
        <v>15913.910361311999</v>
      </c>
      <c r="H138" s="32">
        <v>68</v>
      </c>
      <c r="I138" s="50">
        <v>7.6300000000000007E-2</v>
      </c>
      <c r="J138" s="50">
        <v>9.6000000000000002E-2</v>
      </c>
      <c r="K138" s="29">
        <f>2990336.69*1517.93</f>
        <v>4539121771.8516998</v>
      </c>
      <c r="L138" s="30">
        <f t="shared" si="77"/>
        <v>2.4910755711600036E-3</v>
      </c>
      <c r="M138" s="33">
        <f>10.50384*1517.93</f>
        <v>15944.093851200001</v>
      </c>
      <c r="N138" s="33">
        <f>10.50384*1517.93</f>
        <v>15944.093851200001</v>
      </c>
      <c r="O138" s="32">
        <v>68</v>
      </c>
      <c r="P138" s="50">
        <v>7.4999999999999997E-2</v>
      </c>
      <c r="Q138" s="50">
        <v>9.4899999999999998E-2</v>
      </c>
      <c r="R138" s="57">
        <f t="shared" si="78"/>
        <v>3.0655218896168013E-2</v>
      </c>
      <c r="S138" s="57">
        <f t="shared" si="79"/>
        <v>1.8966733632847991E-3</v>
      </c>
      <c r="T138" s="57">
        <f t="shared" si="80"/>
        <v>0</v>
      </c>
      <c r="U138" s="57">
        <f t="shared" si="81"/>
        <v>-1.3000000000000095E-3</v>
      </c>
      <c r="V138" s="58">
        <f t="shared" si="82"/>
        <v>-1.1000000000000038E-3</v>
      </c>
      <c r="X138" s="67"/>
    </row>
    <row r="139" spans="1:24" ht="15.6">
      <c r="A139" s="138">
        <v>122</v>
      </c>
      <c r="B139" s="136" t="s">
        <v>182</v>
      </c>
      <c r="C139" s="145" t="s">
        <v>47</v>
      </c>
      <c r="D139" s="33">
        <v>25165503659.450001</v>
      </c>
      <c r="E139" s="30">
        <f t="shared" si="76"/>
        <v>1.3905582551474626E-2</v>
      </c>
      <c r="F139" s="33">
        <f>1.07*1517.2448</f>
        <v>1623.4519359999999</v>
      </c>
      <c r="G139" s="33">
        <f>1.07*1517.2448</f>
        <v>1623.4519359999999</v>
      </c>
      <c r="H139" s="32">
        <v>460</v>
      </c>
      <c r="I139" s="50">
        <v>-2.9999999999999997E-4</v>
      </c>
      <c r="J139" s="50">
        <v>3.3300000000000003E-2</v>
      </c>
      <c r="K139" s="33">
        <v>25107140303.639999</v>
      </c>
      <c r="L139" s="30">
        <f t="shared" si="77"/>
        <v>1.3778829257222175E-2</v>
      </c>
      <c r="M139" s="33">
        <f>1.06*1517.93</f>
        <v>1609.0058000000001</v>
      </c>
      <c r="N139" s="33">
        <f>1.06*1517.93</f>
        <v>1609.0058000000001</v>
      </c>
      <c r="O139" s="32">
        <v>460</v>
      </c>
      <c r="P139" s="50">
        <v>-4.5999999999999999E-3</v>
      </c>
      <c r="Q139" s="50">
        <v>2.1399999999999999E-2</v>
      </c>
      <c r="R139" s="57">
        <f t="shared" si="78"/>
        <v>-2.3191809152639437E-3</v>
      </c>
      <c r="S139" s="57">
        <f t="shared" si="79"/>
        <v>-8.8984069559788909E-3</v>
      </c>
      <c r="T139" s="57">
        <f t="shared" si="80"/>
        <v>0</v>
      </c>
      <c r="U139" s="57">
        <f t="shared" si="81"/>
        <v>-4.3E-3</v>
      </c>
      <c r="V139" s="58">
        <f t="shared" si="82"/>
        <v>-1.1900000000000004E-2</v>
      </c>
      <c r="X139" s="67"/>
    </row>
    <row r="140" spans="1:24">
      <c r="A140" s="138">
        <v>123</v>
      </c>
      <c r="B140" s="135" t="s">
        <v>183</v>
      </c>
      <c r="C140" s="136" t="s">
        <v>91</v>
      </c>
      <c r="D140" s="29">
        <f>272958.44*1520.6</f>
        <v>415060603.86399996</v>
      </c>
      <c r="E140" s="30">
        <f t="shared" si="76"/>
        <v>2.2934806189457769E-4</v>
      </c>
      <c r="F140" s="33">
        <f>1.14*1520.6</f>
        <v>1733.4839999999997</v>
      </c>
      <c r="G140" s="33">
        <f>1.14*1520.6</f>
        <v>1733.4839999999997</v>
      </c>
      <c r="H140" s="32">
        <v>2</v>
      </c>
      <c r="I140" s="50">
        <v>-1.1266E-2</v>
      </c>
      <c r="J140" s="50">
        <v>2.3947E-2</v>
      </c>
      <c r="K140" s="29">
        <f>271978.93*1519</f>
        <v>413135994.67000002</v>
      </c>
      <c r="L140" s="30">
        <f t="shared" si="77"/>
        <v>2.2672953835946365E-4</v>
      </c>
      <c r="M140" s="33">
        <f>1.13*1519</f>
        <v>1716.4699999999998</v>
      </c>
      <c r="N140" s="33">
        <f>1.13*1519</f>
        <v>1716.4699999999998</v>
      </c>
      <c r="O140" s="32">
        <v>2</v>
      </c>
      <c r="P140" s="50">
        <v>-3.1719999999999999E-3</v>
      </c>
      <c r="Q140" s="50">
        <v>2.0698999999999999E-2</v>
      </c>
      <c r="R140" s="57">
        <f t="shared" si="78"/>
        <v>-4.636935368191604E-3</v>
      </c>
      <c r="S140" s="57">
        <f t="shared" si="79"/>
        <v>-9.8149160880630568E-3</v>
      </c>
      <c r="T140" s="57">
        <f t="shared" si="80"/>
        <v>0</v>
      </c>
      <c r="U140" s="57">
        <f t="shared" si="81"/>
        <v>8.0940000000000005E-3</v>
      </c>
      <c r="V140" s="58">
        <f t="shared" si="82"/>
        <v>-3.2480000000000009E-3</v>
      </c>
    </row>
    <row r="141" spans="1:24">
      <c r="A141" s="138">
        <v>124</v>
      </c>
      <c r="B141" s="135" t="s">
        <v>184</v>
      </c>
      <c r="C141" s="136" t="s">
        <v>49</v>
      </c>
      <c r="D141" s="29">
        <v>1007057677361.21</v>
      </c>
      <c r="E141" s="30">
        <f t="shared" si="76"/>
        <v>0.55646506647141991</v>
      </c>
      <c r="F141" s="33">
        <v>2423.9899999999998</v>
      </c>
      <c r="G141" s="33">
        <v>2423.9899999999998</v>
      </c>
      <c r="H141" s="32">
        <v>10097</v>
      </c>
      <c r="I141" s="50">
        <v>1.2999999999999999E-3</v>
      </c>
      <c r="J141" s="50">
        <v>1.24E-2</v>
      </c>
      <c r="K141" s="29">
        <v>1010402296683.15</v>
      </c>
      <c r="L141" s="30">
        <f t="shared" si="77"/>
        <v>0.55451001423224022</v>
      </c>
      <c r="M141" s="33">
        <v>2424.3200000000002</v>
      </c>
      <c r="N141" s="33">
        <v>2424.3200000000002</v>
      </c>
      <c r="O141" s="32">
        <v>10187</v>
      </c>
      <c r="P141" s="50">
        <v>1.1999999999999999E-3</v>
      </c>
      <c r="Q141" s="50">
        <v>1.3599999999999999E-2</v>
      </c>
      <c r="R141" s="57">
        <f t="shared" si="78"/>
        <v>3.3211795085103355E-3</v>
      </c>
      <c r="S141" s="57">
        <f t="shared" si="79"/>
        <v>1.3613917549180568E-4</v>
      </c>
      <c r="T141" s="57">
        <f t="shared" si="80"/>
        <v>8.9135386748539162E-3</v>
      </c>
      <c r="U141" s="57">
        <f t="shared" si="81"/>
        <v>-1.0000000000000005E-4</v>
      </c>
      <c r="V141" s="58">
        <f t="shared" si="82"/>
        <v>1.1999999999999997E-3</v>
      </c>
    </row>
    <row r="142" spans="1:24">
      <c r="A142" s="138">
        <v>125</v>
      </c>
      <c r="B142" s="135" t="s">
        <v>293</v>
      </c>
      <c r="C142" s="135" t="s">
        <v>101</v>
      </c>
      <c r="D142" s="29">
        <f>269918.4*1517.2448</f>
        <v>409532288.82432002</v>
      </c>
      <c r="E142" s="30">
        <f t="shared" si="76"/>
        <v>2.2629330717179825E-4</v>
      </c>
      <c r="F142" s="33">
        <f>101.24*1517.2448</f>
        <v>153605.863552</v>
      </c>
      <c r="G142" s="33">
        <f>101.24*1517.2448</f>
        <v>153605.863552</v>
      </c>
      <c r="H142" s="32">
        <v>15</v>
      </c>
      <c r="I142" s="50">
        <v>0</v>
      </c>
      <c r="J142" s="50">
        <v>7.5899999999999995E-2</v>
      </c>
      <c r="K142" s="29">
        <f>284812.66*1517.93</f>
        <v>432325680.99379998</v>
      </c>
      <c r="L142" s="30">
        <f t="shared" si="77"/>
        <v>2.3726086164668634E-4</v>
      </c>
      <c r="M142" s="33">
        <f>101.24*1517.93</f>
        <v>153675.23319999999</v>
      </c>
      <c r="N142" s="33">
        <f>101.24*1517.93</f>
        <v>153675.23319999999</v>
      </c>
      <c r="O142" s="32">
        <v>15</v>
      </c>
      <c r="P142" s="50">
        <v>0</v>
      </c>
      <c r="Q142" s="50">
        <v>0</v>
      </c>
      <c r="R142" s="57">
        <f t="shared" ref="R142" si="85">((K142-D142)/D142)</f>
        <v>5.5657130808696283E-2</v>
      </c>
      <c r="S142" s="57">
        <f t="shared" ref="S142" si="86">((N142-G142)/G142)</f>
        <v>4.5160807273811511E-4</v>
      </c>
      <c r="T142" s="57">
        <f t="shared" ref="T142" si="87">((O142-H142)/H142)</f>
        <v>0</v>
      </c>
      <c r="U142" s="57">
        <f t="shared" ref="U142" si="88">P142-I142</f>
        <v>0</v>
      </c>
      <c r="V142" s="58">
        <f t="shared" ref="V142" si="89">Q142-J142</f>
        <v>-7.5899999999999995E-2</v>
      </c>
    </row>
    <row r="143" spans="1:24" ht="16.5" customHeight="1">
      <c r="A143" s="138">
        <v>126</v>
      </c>
      <c r="B143" s="135" t="s">
        <v>185</v>
      </c>
      <c r="C143" s="136" t="s">
        <v>52</v>
      </c>
      <c r="D143" s="29">
        <f>134346024.49*1520.6</f>
        <v>204286564839.49399</v>
      </c>
      <c r="E143" s="30">
        <f t="shared" si="76"/>
        <v>0.11288165458456961</v>
      </c>
      <c r="F143" s="33">
        <f>1.1855*1520.6</f>
        <v>1802.6713</v>
      </c>
      <c r="G143" s="33">
        <f>1.1855*1520.6</f>
        <v>1802.6713</v>
      </c>
      <c r="H143" s="32">
        <v>587</v>
      </c>
      <c r="I143" s="50">
        <v>6.3500000000000001E-2</v>
      </c>
      <c r="J143" s="50">
        <v>8.2100000000000006E-2</v>
      </c>
      <c r="K143" s="29">
        <f>135939136.76*1519</f>
        <v>206491548738.43997</v>
      </c>
      <c r="L143" s="30">
        <f t="shared" si="77"/>
        <v>0.11332281409658751</v>
      </c>
      <c r="M143" s="33">
        <f>1.1873*1519</f>
        <v>1803.5087000000001</v>
      </c>
      <c r="N143" s="33">
        <f>1.1873*1519</f>
        <v>1803.5087000000001</v>
      </c>
      <c r="O143" s="32">
        <v>601</v>
      </c>
      <c r="P143" s="50">
        <v>8.2299999999999998E-2</v>
      </c>
      <c r="Q143" s="50">
        <v>8.2100000000000006E-2</v>
      </c>
      <c r="R143" s="57">
        <f t="shared" si="78"/>
        <v>1.0793582537737706E-2</v>
      </c>
      <c r="S143" s="57">
        <f t="shared" si="79"/>
        <v>4.6453282969563894E-4</v>
      </c>
      <c r="T143" s="57">
        <f t="shared" si="80"/>
        <v>2.385008517887564E-2</v>
      </c>
      <c r="U143" s="57">
        <f t="shared" si="81"/>
        <v>1.8799999999999997E-2</v>
      </c>
      <c r="V143" s="58">
        <f t="shared" si="82"/>
        <v>0</v>
      </c>
    </row>
    <row r="144" spans="1:24" ht="16.5" customHeight="1">
      <c r="A144" s="138">
        <v>127</v>
      </c>
      <c r="B144" s="135" t="s">
        <v>186</v>
      </c>
      <c r="C144" s="136" t="s">
        <v>96</v>
      </c>
      <c r="D144" s="33">
        <v>945136515.10343814</v>
      </c>
      <c r="E144" s="30">
        <v>0</v>
      </c>
      <c r="F144" s="33">
        <v>158385.696</v>
      </c>
      <c r="G144" s="33">
        <v>158385.696</v>
      </c>
      <c r="H144" s="32">
        <v>23</v>
      </c>
      <c r="I144" s="50">
        <v>1.1000000000000001E-3</v>
      </c>
      <c r="J144" s="50">
        <v>5.91E-2</v>
      </c>
      <c r="K144" s="33">
        <v>822985598.49786901</v>
      </c>
      <c r="L144" s="30">
        <f t="shared" si="77"/>
        <v>4.5165550141172049E-4</v>
      </c>
      <c r="M144" s="33">
        <v>158401.32</v>
      </c>
      <c r="N144" s="33">
        <v>158401.32</v>
      </c>
      <c r="O144" s="32">
        <v>23</v>
      </c>
      <c r="P144" s="50">
        <v>1.1999999999999999E-3</v>
      </c>
      <c r="Q144" s="50">
        <v>6.6600000000000006E-2</v>
      </c>
      <c r="R144" s="57">
        <f t="shared" si="78"/>
        <v>-0.12924155892146502</v>
      </c>
      <c r="S144" s="57">
        <f t="shared" si="79"/>
        <v>9.8645271603382107E-5</v>
      </c>
      <c r="T144" s="57">
        <f t="shared" si="80"/>
        <v>0</v>
      </c>
      <c r="U144" s="57">
        <f t="shared" si="81"/>
        <v>9.9999999999999829E-5</v>
      </c>
      <c r="V144" s="58">
        <f t="shared" si="82"/>
        <v>7.5000000000000067E-3</v>
      </c>
    </row>
    <row r="145" spans="1:22">
      <c r="A145" s="138">
        <v>128</v>
      </c>
      <c r="B145" s="135" t="s">
        <v>187</v>
      </c>
      <c r="C145" s="136" t="s">
        <v>110</v>
      </c>
      <c r="D145" s="33">
        <f>1314125.4*1517.2448</f>
        <v>1993849929.6979198</v>
      </c>
      <c r="E145" s="30">
        <f>(D145/$D$146)</f>
        <v>1.1017321635148334E-3</v>
      </c>
      <c r="F145" s="33">
        <f>1.2437*1517.2448</f>
        <v>1886.9973577599999</v>
      </c>
      <c r="G145" s="33">
        <f>1.2437*1517.2448</f>
        <v>1886.9973577599999</v>
      </c>
      <c r="H145" s="32">
        <v>89</v>
      </c>
      <c r="I145" s="50">
        <v>-3.5389999999999998E-2</v>
      </c>
      <c r="J145" s="50">
        <v>1.26E-4</v>
      </c>
      <c r="K145" s="33">
        <f>1367519.92*1517.93</f>
        <v>2075799512.1656001</v>
      </c>
      <c r="L145" s="30">
        <f t="shared" si="77"/>
        <v>1.1392013070563912E-3</v>
      </c>
      <c r="M145" s="33">
        <f>1.2625*1517.93</f>
        <v>1916.3866250000001</v>
      </c>
      <c r="N145" s="33">
        <f>1.2625*1517.93</f>
        <v>1916.3866250000001</v>
      </c>
      <c r="O145" s="32">
        <v>90</v>
      </c>
      <c r="P145" s="50">
        <v>1.4716E-2</v>
      </c>
      <c r="Q145" s="50">
        <v>1.5204000000000001E-2</v>
      </c>
      <c r="R145" s="57">
        <f t="shared" si="78"/>
        <v>4.1101178803409778E-2</v>
      </c>
      <c r="S145" s="57">
        <f t="shared" si="79"/>
        <v>1.5574620239472597E-2</v>
      </c>
      <c r="T145" s="57">
        <f t="shared" si="80"/>
        <v>1.1235955056179775E-2</v>
      </c>
      <c r="U145" s="57">
        <f t="shared" si="81"/>
        <v>5.0105999999999998E-2</v>
      </c>
      <c r="V145" s="58">
        <f t="shared" si="82"/>
        <v>1.5078000000000001E-2</v>
      </c>
    </row>
    <row r="146" spans="1:22">
      <c r="A146" s="36"/>
      <c r="B146" s="37"/>
      <c r="C146" s="71" t="s">
        <v>53</v>
      </c>
      <c r="D146" s="48">
        <f>SUM(D112:D145)</f>
        <v>1809741056607.6074</v>
      </c>
      <c r="E146" s="40">
        <f>(D146/$D$217)</f>
        <v>0.40461987729592275</v>
      </c>
      <c r="F146" s="41"/>
      <c r="G146" s="45"/>
      <c r="H146" s="43">
        <f>SUM(H112:H145)</f>
        <v>23310</v>
      </c>
      <c r="I146" s="80"/>
      <c r="J146" s="80"/>
      <c r="K146" s="48">
        <f>SUM(K112:K145)</f>
        <v>1822153380010.8662</v>
      </c>
      <c r="L146" s="40">
        <f>(K146/$K$217)</f>
        <v>0.39547728817428091</v>
      </c>
      <c r="M146" s="41"/>
      <c r="N146" s="45"/>
      <c r="O146" s="43">
        <f>SUM(O112:O145)</f>
        <v>23492</v>
      </c>
      <c r="P146" s="80"/>
      <c r="Q146" s="80"/>
      <c r="R146" s="57">
        <f t="shared" si="78"/>
        <v>6.8586184514849409E-3</v>
      </c>
      <c r="S146" s="57" t="e">
        <f t="shared" si="79"/>
        <v>#DIV/0!</v>
      </c>
      <c r="T146" s="57">
        <f t="shared" si="80"/>
        <v>7.8078078078078076E-3</v>
      </c>
      <c r="U146" s="57">
        <f t="shared" si="81"/>
        <v>0</v>
      </c>
      <c r="V146" s="58">
        <f t="shared" si="82"/>
        <v>0</v>
      </c>
    </row>
    <row r="147" spans="1:22" ht="6" customHeight="1">
      <c r="A147" s="36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</row>
    <row r="148" spans="1:22">
      <c r="A148" s="159" t="s">
        <v>188</v>
      </c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</row>
    <row r="149" spans="1:22">
      <c r="A149" s="138">
        <v>129</v>
      </c>
      <c r="B149" s="135" t="s">
        <v>189</v>
      </c>
      <c r="C149" s="136" t="s">
        <v>190</v>
      </c>
      <c r="D149" s="72">
        <v>2309698905.4692993</v>
      </c>
      <c r="E149" s="30">
        <f>(D149/$D$154)</f>
        <v>2.2827536257554716E-2</v>
      </c>
      <c r="F149" s="60">
        <v>108.84537726057019</v>
      </c>
      <c r="G149" s="60">
        <v>108.84537726057019</v>
      </c>
      <c r="H149" s="32">
        <v>8</v>
      </c>
      <c r="I149" s="50">
        <v>3.3681532132208147E-3</v>
      </c>
      <c r="J149" s="50">
        <v>3.2500000000000001E-2</v>
      </c>
      <c r="K149" s="72">
        <v>2317478893.1474924</v>
      </c>
      <c r="L149" s="30">
        <f>(K149/$K$154)</f>
        <v>2.2893755114455197E-2</v>
      </c>
      <c r="M149" s="60">
        <v>109.21201192966505</v>
      </c>
      <c r="N149" s="60">
        <v>109.21201192966505</v>
      </c>
      <c r="O149" s="32">
        <v>8</v>
      </c>
      <c r="P149" s="50">
        <v>3.3681532132208147E-3</v>
      </c>
      <c r="Q149" s="50">
        <v>3.5999999999999997E-2</v>
      </c>
      <c r="R149" s="57">
        <f t="shared" ref="R149:R154" si="90">((K149-D149)/D149)</f>
        <v>3.3683990843006895E-3</v>
      </c>
      <c r="S149" s="57">
        <f t="shared" ref="S149:T154" si="91">((N149-G149)/G149)</f>
        <v>3.3683990843006583E-3</v>
      </c>
      <c r="T149" s="57">
        <f t="shared" si="91"/>
        <v>0</v>
      </c>
      <c r="U149" s="57">
        <f t="shared" ref="U149:V154" si="92">P149-I149</f>
        <v>0</v>
      </c>
      <c r="V149" s="58">
        <f t="shared" si="92"/>
        <v>3.4999999999999962E-3</v>
      </c>
    </row>
    <row r="150" spans="1:22">
      <c r="A150" s="138">
        <v>130</v>
      </c>
      <c r="B150" s="135" t="s">
        <v>191</v>
      </c>
      <c r="C150" s="136" t="s">
        <v>47</v>
      </c>
      <c r="D150" s="29">
        <v>54160728474</v>
      </c>
      <c r="E150" s="30">
        <f>(D150/$D$154)</f>
        <v>0.5352888162384094</v>
      </c>
      <c r="F150" s="60">
        <v>102.07</v>
      </c>
      <c r="G150" s="60">
        <v>102.07</v>
      </c>
      <c r="H150" s="32">
        <v>645</v>
      </c>
      <c r="I150" s="50">
        <v>8.3900000000000002E-2</v>
      </c>
      <c r="J150" s="50">
        <v>8.3900000000000002E-2</v>
      </c>
      <c r="K150" s="29">
        <v>54160728474</v>
      </c>
      <c r="L150" s="30">
        <f>(K150/$K$154)</f>
        <v>0.53503937324763484</v>
      </c>
      <c r="M150" s="60">
        <v>102.07</v>
      </c>
      <c r="N150" s="60">
        <v>102.07</v>
      </c>
      <c r="O150" s="32">
        <v>645</v>
      </c>
      <c r="P150" s="50">
        <v>8.3900000000000002E-2</v>
      </c>
      <c r="Q150" s="50">
        <v>8.3900000000000002E-2</v>
      </c>
      <c r="R150" s="57">
        <f t="shared" si="90"/>
        <v>0</v>
      </c>
      <c r="S150" s="57">
        <f t="shared" si="91"/>
        <v>0</v>
      </c>
      <c r="T150" s="57">
        <f t="shared" si="91"/>
        <v>0</v>
      </c>
      <c r="U150" s="57">
        <f t="shared" si="92"/>
        <v>0</v>
      </c>
      <c r="V150" s="58">
        <f t="shared" si="92"/>
        <v>0</v>
      </c>
    </row>
    <row r="151" spans="1:22" ht="15.75" customHeight="1">
      <c r="A151" s="138">
        <v>131</v>
      </c>
      <c r="B151" s="135" t="s">
        <v>192</v>
      </c>
      <c r="C151" s="136" t="s">
        <v>145</v>
      </c>
      <c r="D151" s="29">
        <v>2842857609.4057155</v>
      </c>
      <c r="E151" s="30">
        <f>(D151/$D$154)</f>
        <v>2.8096924235493988E-2</v>
      </c>
      <c r="F151" s="60">
        <v>206</v>
      </c>
      <c r="G151" s="60">
        <v>206</v>
      </c>
      <c r="H151" s="32">
        <v>3040</v>
      </c>
      <c r="I151" s="50">
        <v>0.12822485210450213</v>
      </c>
      <c r="J151" s="50">
        <v>5.1509140419245376E-2</v>
      </c>
      <c r="K151" s="29">
        <v>2848988953.3759108</v>
      </c>
      <c r="L151" s="30">
        <f>(K151/$K$154)</f>
        <v>2.8144401062394072E-2</v>
      </c>
      <c r="M151" s="60">
        <v>206</v>
      </c>
      <c r="N151" s="60">
        <v>206</v>
      </c>
      <c r="O151" s="32">
        <v>3040</v>
      </c>
      <c r="P151" s="50">
        <v>0.14286896042783934</v>
      </c>
      <c r="Q151" s="50">
        <v>5.1411314841208783E-2</v>
      </c>
      <c r="R151" s="57">
        <f t="shared" si="90"/>
        <v>2.1567538064198085E-3</v>
      </c>
      <c r="S151" s="57">
        <f t="shared" si="91"/>
        <v>0</v>
      </c>
      <c r="T151" s="57">
        <f t="shared" si="91"/>
        <v>0</v>
      </c>
      <c r="U151" s="57">
        <f t="shared" si="92"/>
        <v>1.4644108323337207E-2</v>
      </c>
      <c r="V151" s="58">
        <f t="shared" si="92"/>
        <v>-9.7825578036593586E-5</v>
      </c>
    </row>
    <row r="152" spans="1:22">
      <c r="A152" s="138">
        <v>132</v>
      </c>
      <c r="B152" s="135" t="s">
        <v>193</v>
      </c>
      <c r="C152" s="136" t="s">
        <v>145</v>
      </c>
      <c r="D152" s="29">
        <v>10841766819.23</v>
      </c>
      <c r="E152" s="30">
        <f>(D152/$D$154)</f>
        <v>0.10715285207776454</v>
      </c>
      <c r="F152" s="60">
        <v>56.9</v>
      </c>
      <c r="G152" s="60">
        <v>56.9</v>
      </c>
      <c r="H152" s="32">
        <v>5264</v>
      </c>
      <c r="I152" s="50">
        <v>0.12038258575197937</v>
      </c>
      <c r="J152" s="50">
        <v>0.11324128230935696</v>
      </c>
      <c r="K152" s="29">
        <v>10853340658.16</v>
      </c>
      <c r="L152" s="30">
        <f>(K152/$K$154)</f>
        <v>0.10721725403255326</v>
      </c>
      <c r="M152" s="60">
        <v>56.9</v>
      </c>
      <c r="N152" s="60">
        <v>56.9</v>
      </c>
      <c r="O152" s="32">
        <v>5264</v>
      </c>
      <c r="P152" s="50">
        <v>5.1473699055136178E-2</v>
      </c>
      <c r="Q152" s="50">
        <v>0.11115817457215794</v>
      </c>
      <c r="R152" s="57">
        <f t="shared" si="90"/>
        <v>1.0675233218880738E-3</v>
      </c>
      <c r="S152" s="57">
        <f t="shared" si="91"/>
        <v>0</v>
      </c>
      <c r="T152" s="57">
        <f t="shared" si="91"/>
        <v>0</v>
      </c>
      <c r="U152" s="57">
        <f t="shared" si="92"/>
        <v>-6.8908886696843197E-2</v>
      </c>
      <c r="V152" s="58">
        <f t="shared" si="92"/>
        <v>-2.0831077371990109E-3</v>
      </c>
    </row>
    <row r="153" spans="1:22">
      <c r="A153" s="138">
        <v>133</v>
      </c>
      <c r="B153" s="135" t="s">
        <v>194</v>
      </c>
      <c r="C153" s="136" t="s">
        <v>49</v>
      </c>
      <c r="D153" s="29">
        <v>31025333118.669998</v>
      </c>
      <c r="E153" s="30">
        <f>(D153/$D$154)</f>
        <v>0.30663387119077734</v>
      </c>
      <c r="F153" s="60">
        <v>5.9</v>
      </c>
      <c r="G153" s="60">
        <v>5.9</v>
      </c>
      <c r="H153" s="32">
        <v>208137</v>
      </c>
      <c r="I153" s="50">
        <v>-6.3500000000000001E-2</v>
      </c>
      <c r="J153" s="50">
        <v>0.18</v>
      </c>
      <c r="K153" s="29">
        <v>31047019687.380001</v>
      </c>
      <c r="L153" s="30">
        <f>(K153/$K$154)</f>
        <v>0.30670521654296268</v>
      </c>
      <c r="M153" s="60">
        <v>6.5</v>
      </c>
      <c r="N153" s="60">
        <v>6.5</v>
      </c>
      <c r="O153" s="32">
        <v>208137</v>
      </c>
      <c r="P153" s="50">
        <v>0.1017</v>
      </c>
      <c r="Q153" s="50">
        <v>0.3</v>
      </c>
      <c r="R153" s="57">
        <f t="shared" si="90"/>
        <v>6.9899551527950092E-4</v>
      </c>
      <c r="S153" s="57">
        <f t="shared" si="91"/>
        <v>0.10169491525423723</v>
      </c>
      <c r="T153" s="57">
        <f t="shared" si="91"/>
        <v>0</v>
      </c>
      <c r="U153" s="57">
        <f t="shared" si="92"/>
        <v>0.16520000000000001</v>
      </c>
      <c r="V153" s="58">
        <f t="shared" si="92"/>
        <v>0.12</v>
      </c>
    </row>
    <row r="154" spans="1:22">
      <c r="A154" s="36"/>
      <c r="B154" s="73"/>
      <c r="C154" s="38" t="s">
        <v>53</v>
      </c>
      <c r="D154" s="39">
        <f>SUM(D149:D153)</f>
        <v>101180384926.77501</v>
      </c>
      <c r="E154" s="40">
        <f>(D154/$D$217)</f>
        <v>2.2621797071105825E-2</v>
      </c>
      <c r="F154" s="41"/>
      <c r="G154" s="74"/>
      <c r="H154" s="43">
        <f>SUM(H149:H153)</f>
        <v>217094</v>
      </c>
      <c r="I154" s="81"/>
      <c r="J154" s="81"/>
      <c r="K154" s="39">
        <f>SUM(K149:K153)</f>
        <v>101227556666.0634</v>
      </c>
      <c r="L154" s="40">
        <f>(K154/$K$217)</f>
        <v>2.1970268824770597E-2</v>
      </c>
      <c r="M154" s="41"/>
      <c r="N154" s="74"/>
      <c r="O154" s="43">
        <f>SUM(O149:O153)</f>
        <v>217094</v>
      </c>
      <c r="P154" s="81"/>
      <c r="Q154" s="81"/>
      <c r="R154" s="57">
        <f t="shared" si="90"/>
        <v>4.6621426991535613E-4</v>
      </c>
      <c r="S154" s="57" t="e">
        <f t="shared" si="91"/>
        <v>#DIV/0!</v>
      </c>
      <c r="T154" s="57">
        <f t="shared" si="91"/>
        <v>0</v>
      </c>
      <c r="U154" s="57">
        <f t="shared" si="92"/>
        <v>0</v>
      </c>
      <c r="V154" s="58">
        <f t="shared" si="92"/>
        <v>0</v>
      </c>
    </row>
    <row r="155" spans="1:22" ht="5.25" customHeight="1">
      <c r="A155" s="36"/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</row>
    <row r="156" spans="1:22" ht="15" customHeight="1">
      <c r="A156" s="159" t="s">
        <v>195</v>
      </c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</row>
    <row r="157" spans="1:22">
      <c r="A157" s="139">
        <v>134</v>
      </c>
      <c r="B157" s="135" t="s">
        <v>196</v>
      </c>
      <c r="C157" s="136" t="s">
        <v>57</v>
      </c>
      <c r="D157" s="33">
        <v>266427757.58000001</v>
      </c>
      <c r="E157" s="30">
        <f t="shared" ref="E157:E184" si="93">(D157/$D$185)</f>
        <v>4.6474798867898008E-3</v>
      </c>
      <c r="F157" s="33">
        <v>5.9897</v>
      </c>
      <c r="G157" s="33">
        <v>6.0547000000000004</v>
      </c>
      <c r="H157" s="34">
        <v>11837</v>
      </c>
      <c r="I157" s="51">
        <v>-1.2357E-2</v>
      </c>
      <c r="J157" s="51">
        <v>4.8191999999999999E-2</v>
      </c>
      <c r="K157" s="33">
        <v>265862238.47</v>
      </c>
      <c r="L157" s="54">
        <f t="shared" ref="L157:L183" si="94">(K157/$K$185)</f>
        <v>4.6482765591949722E-3</v>
      </c>
      <c r="M157" s="33">
        <v>5.9733999999999998</v>
      </c>
      <c r="N157" s="33">
        <v>6.0441000000000003</v>
      </c>
      <c r="O157" s="34">
        <v>11837</v>
      </c>
      <c r="P157" s="51">
        <v>-2.8530000000000001E-3</v>
      </c>
      <c r="Q157" s="51">
        <v>4.5338999999999997E-2</v>
      </c>
      <c r="R157" s="57">
        <f>((K157-D157)/D157)</f>
        <v>-2.122598317595367E-3</v>
      </c>
      <c r="S157" s="57">
        <f>((N157-G157)/G157)</f>
        <v>-1.7507060630584776E-3</v>
      </c>
      <c r="T157" s="57">
        <f>((O157-H157)/H157)</f>
        <v>0</v>
      </c>
      <c r="U157" s="57">
        <f>P157-I157</f>
        <v>9.5040000000000003E-3</v>
      </c>
      <c r="V157" s="58">
        <f>Q157-J157</f>
        <v>-2.8530000000000014E-3</v>
      </c>
    </row>
    <row r="158" spans="1:22">
      <c r="A158" s="139">
        <v>135</v>
      </c>
      <c r="B158" s="135" t="s">
        <v>197</v>
      </c>
      <c r="C158" s="135" t="s">
        <v>198</v>
      </c>
      <c r="D158" s="33">
        <v>704599306.86569548</v>
      </c>
      <c r="E158" s="30">
        <f t="shared" si="93"/>
        <v>1.2290803092921316E-2</v>
      </c>
      <c r="F158" s="33">
        <v>1615.3512066531134</v>
      </c>
      <c r="G158" s="33">
        <v>1634.7382676077214</v>
      </c>
      <c r="H158" s="34">
        <v>173</v>
      </c>
      <c r="I158" s="51">
        <v>-1.0449463826625902E-2</v>
      </c>
      <c r="J158" s="51">
        <v>0.44412450025024108</v>
      </c>
      <c r="K158" s="33">
        <v>698536986.25138414</v>
      </c>
      <c r="L158" s="54">
        <f t="shared" si="94"/>
        <v>1.221306612631038E-2</v>
      </c>
      <c r="M158" s="33">
        <v>1601.715421312316</v>
      </c>
      <c r="N158" s="33">
        <v>1620.8711373270371</v>
      </c>
      <c r="O158" s="34">
        <v>171</v>
      </c>
      <c r="P158" s="51">
        <v>-8.4665458114588799E-3</v>
      </c>
      <c r="Q158" s="51">
        <v>0.43189775401142227</v>
      </c>
      <c r="R158" s="57">
        <f>((K158-D158)/D158)</f>
        <v>-8.6039264518704434E-3</v>
      </c>
      <c r="S158" s="57">
        <f>((N158-G158)/G158)</f>
        <v>-8.4827831803175636E-3</v>
      </c>
      <c r="T158" s="57">
        <f>((O158-H158)/H158)</f>
        <v>-1.1560693641618497E-2</v>
      </c>
      <c r="U158" s="57">
        <f>P158-I158</f>
        <v>1.9829180151670223E-3</v>
      </c>
      <c r="V158" s="58">
        <f>Q158-J158</f>
        <v>-1.2226746238818809E-2</v>
      </c>
    </row>
    <row r="159" spans="1:22">
      <c r="A159" s="139">
        <v>136</v>
      </c>
      <c r="B159" s="135" t="s">
        <v>199</v>
      </c>
      <c r="C159" s="136" t="s">
        <v>23</v>
      </c>
      <c r="D159" s="33">
        <v>7018029946.1899996</v>
      </c>
      <c r="E159" s="30">
        <f t="shared" si="93"/>
        <v>0.12242025123832269</v>
      </c>
      <c r="F159" s="33">
        <v>821.33370000000002</v>
      </c>
      <c r="G159" s="33">
        <v>846.09749999999997</v>
      </c>
      <c r="H159" s="34">
        <v>21394</v>
      </c>
      <c r="I159" s="51">
        <v>-0.1583</v>
      </c>
      <c r="J159" s="51">
        <v>0.184</v>
      </c>
      <c r="K159" s="33">
        <v>6987061694.8999996</v>
      </c>
      <c r="L159" s="54">
        <f t="shared" si="94"/>
        <v>0.12216024088624969</v>
      </c>
      <c r="M159" s="33">
        <v>817.89729999999997</v>
      </c>
      <c r="N159" s="33">
        <v>842.5575</v>
      </c>
      <c r="O159" s="34">
        <v>21407</v>
      </c>
      <c r="P159" s="51">
        <v>-0.21820000000000001</v>
      </c>
      <c r="Q159" s="51">
        <v>0.14480000000000001</v>
      </c>
      <c r="R159" s="57">
        <f t="shared" ref="R159:R184" si="95">((K159-D159)/D159)</f>
        <v>-4.4126701549360358E-3</v>
      </c>
      <c r="S159" s="57">
        <f t="shared" ref="S159:T184" si="96">((N159-G159)/G159)</f>
        <v>-4.1839149743380212E-3</v>
      </c>
      <c r="T159" s="57">
        <f t="shared" si="96"/>
        <v>6.0764700383285038E-4</v>
      </c>
      <c r="U159" s="57">
        <f t="shared" ref="U159:V184" si="97">P159-I159</f>
        <v>-5.9900000000000009E-2</v>
      </c>
      <c r="V159" s="58">
        <f t="shared" si="97"/>
        <v>-3.9199999999999985E-2</v>
      </c>
    </row>
    <row r="160" spans="1:22">
      <c r="A160" s="139">
        <v>137</v>
      </c>
      <c r="B160" s="135" t="s">
        <v>200</v>
      </c>
      <c r="C160" s="136" t="s">
        <v>112</v>
      </c>
      <c r="D160" s="33">
        <v>3971999311.4200001</v>
      </c>
      <c r="E160" s="30">
        <f t="shared" si="93"/>
        <v>6.9286275115776882E-2</v>
      </c>
      <c r="F160" s="33">
        <v>23.453600000000002</v>
      </c>
      <c r="G160" s="33">
        <v>23.743400000000001</v>
      </c>
      <c r="H160" s="32">
        <v>6157</v>
      </c>
      <c r="I160" s="50">
        <v>-4.8999999999999998E-3</v>
      </c>
      <c r="J160" s="50">
        <v>0.10299999999999999</v>
      </c>
      <c r="K160" s="33">
        <v>3959525937.5799999</v>
      </c>
      <c r="L160" s="54">
        <f t="shared" si="94"/>
        <v>6.9227475504214681E-2</v>
      </c>
      <c r="M160" s="33">
        <v>23.651599999999998</v>
      </c>
      <c r="N160" s="33">
        <v>23.945399999999999</v>
      </c>
      <c r="O160" s="32">
        <v>6159</v>
      </c>
      <c r="P160" s="50">
        <v>3.0000000000000001E-3</v>
      </c>
      <c r="Q160" s="50">
        <v>0.1124</v>
      </c>
      <c r="R160" s="57">
        <f t="shared" si="95"/>
        <v>-3.1403262845835916E-3</v>
      </c>
      <c r="S160" s="57">
        <f t="shared" si="96"/>
        <v>8.5076273827673441E-3</v>
      </c>
      <c r="T160" s="57">
        <f t="shared" si="96"/>
        <v>3.2483352281955497E-4</v>
      </c>
      <c r="U160" s="57">
        <f t="shared" si="97"/>
        <v>7.9000000000000008E-3</v>
      </c>
      <c r="V160" s="58">
        <f t="shared" si="97"/>
        <v>9.4000000000000056E-3</v>
      </c>
    </row>
    <row r="161" spans="1:22">
      <c r="A161" s="139">
        <v>138</v>
      </c>
      <c r="B161" s="135" t="s">
        <v>201</v>
      </c>
      <c r="C161" s="136" t="s">
        <v>121</v>
      </c>
      <c r="D161" s="29">
        <v>1977725231.3396208</v>
      </c>
      <c r="E161" s="30">
        <f t="shared" si="93"/>
        <v>3.4498801167471033E-2</v>
      </c>
      <c r="F161" s="33">
        <v>4.7114000000000003</v>
      </c>
      <c r="G161" s="33">
        <v>4.8163</v>
      </c>
      <c r="H161" s="32">
        <v>2741</v>
      </c>
      <c r="I161" s="50">
        <v>-0.47099999999999997</v>
      </c>
      <c r="J161" s="50">
        <v>0.17960000000000001</v>
      </c>
      <c r="K161" s="29">
        <v>1969485233.8349612</v>
      </c>
      <c r="L161" s="54">
        <f t="shared" si="94"/>
        <v>3.4434044107955177E-2</v>
      </c>
      <c r="M161" s="33">
        <v>4.6925999999999997</v>
      </c>
      <c r="N161" s="33">
        <v>4.7965</v>
      </c>
      <c r="O161" s="32">
        <v>2740</v>
      </c>
      <c r="P161" s="50">
        <v>-0.21440000000000001</v>
      </c>
      <c r="Q161" s="50">
        <v>0.14119999999999999</v>
      </c>
      <c r="R161" s="57">
        <f t="shared" si="95"/>
        <v>-4.1664015678650442E-3</v>
      </c>
      <c r="S161" s="57">
        <f t="shared" si="96"/>
        <v>-4.1110395947096404E-3</v>
      </c>
      <c r="T161" s="57">
        <f t="shared" si="96"/>
        <v>-3.6483035388544326E-4</v>
      </c>
      <c r="U161" s="57">
        <f t="shared" si="97"/>
        <v>0.25659999999999994</v>
      </c>
      <c r="V161" s="58">
        <f t="shared" si="97"/>
        <v>-3.8400000000000017E-2</v>
      </c>
    </row>
    <row r="162" spans="1:22">
      <c r="A162" s="139">
        <v>139</v>
      </c>
      <c r="B162" s="135" t="s">
        <v>202</v>
      </c>
      <c r="C162" s="136" t="s">
        <v>65</v>
      </c>
      <c r="D162" s="33">
        <v>3840631715.9860802</v>
      </c>
      <c r="E162" s="30">
        <f t="shared" si="93"/>
        <v>6.6994741143864209E-2</v>
      </c>
      <c r="F162" s="33">
        <v>8586.5326473697205</v>
      </c>
      <c r="G162" s="33">
        <v>8669.5816883710995</v>
      </c>
      <c r="H162" s="32">
        <v>998</v>
      </c>
      <c r="I162" s="50">
        <v>-0.56659690860021283</v>
      </c>
      <c r="J162" s="50">
        <v>0.68396349192146033</v>
      </c>
      <c r="K162" s="33">
        <v>3822966495.1990399</v>
      </c>
      <c r="L162" s="54">
        <f t="shared" si="94"/>
        <v>6.6839900425447796E-2</v>
      </c>
      <c r="M162" s="33">
        <v>8584.3037252150698</v>
      </c>
      <c r="N162" s="33">
        <v>8667.5271430178309</v>
      </c>
      <c r="O162" s="32">
        <v>1002</v>
      </c>
      <c r="P162" s="50">
        <v>-1.3535425097126215E-2</v>
      </c>
      <c r="Q162" s="50">
        <v>0.61691951341524187</v>
      </c>
      <c r="R162" s="57">
        <f t="shared" si="95"/>
        <v>-4.5995612423631455E-3</v>
      </c>
      <c r="S162" s="57">
        <f t="shared" si="96"/>
        <v>-2.3698321639029903E-4</v>
      </c>
      <c r="T162" s="57">
        <f t="shared" si="96"/>
        <v>4.0080160320641279E-3</v>
      </c>
      <c r="U162" s="57">
        <f t="shared" si="97"/>
        <v>0.55306148350308659</v>
      </c>
      <c r="V162" s="58">
        <f t="shared" si="97"/>
        <v>-6.704397850621846E-2</v>
      </c>
    </row>
    <row r="163" spans="1:22">
      <c r="A163" s="139">
        <v>140</v>
      </c>
      <c r="B163" s="135" t="s">
        <v>203</v>
      </c>
      <c r="C163" s="136" t="s">
        <v>67</v>
      </c>
      <c r="D163" s="33">
        <v>872327255.73000002</v>
      </c>
      <c r="E163" s="30">
        <f t="shared" si="93"/>
        <v>1.5216595344748906E-2</v>
      </c>
      <c r="F163" s="33">
        <v>214.26</v>
      </c>
      <c r="G163" s="33">
        <v>216.1</v>
      </c>
      <c r="H163" s="32">
        <v>688</v>
      </c>
      <c r="I163" s="50">
        <v>-1.9400000000000001E-2</v>
      </c>
      <c r="J163" s="50">
        <v>4.9099999999999998E-2</v>
      </c>
      <c r="K163" s="33">
        <v>879756282.26999998</v>
      </c>
      <c r="L163" s="54">
        <f t="shared" si="94"/>
        <v>1.5381464205724725E-2</v>
      </c>
      <c r="M163" s="33">
        <v>215.2</v>
      </c>
      <c r="N163" s="33">
        <v>217.05</v>
      </c>
      <c r="O163" s="32">
        <v>689</v>
      </c>
      <c r="P163" s="50">
        <v>4.4000000000000003E-3</v>
      </c>
      <c r="Q163" s="50">
        <v>5.3699999999999998E-2</v>
      </c>
      <c r="R163" s="57">
        <f t="shared" si="95"/>
        <v>8.5163297274060759E-3</v>
      </c>
      <c r="S163" s="57">
        <f t="shared" si="96"/>
        <v>4.3961129106895747E-3</v>
      </c>
      <c r="T163" s="57">
        <f t="shared" si="96"/>
        <v>1.4534883720930232E-3</v>
      </c>
      <c r="U163" s="57">
        <f t="shared" si="97"/>
        <v>2.3800000000000002E-2</v>
      </c>
      <c r="V163" s="58">
        <f t="shared" si="97"/>
        <v>4.5999999999999999E-3</v>
      </c>
    </row>
    <row r="164" spans="1:22">
      <c r="A164" s="139">
        <v>141</v>
      </c>
      <c r="B164" s="135" t="s">
        <v>204</v>
      </c>
      <c r="C164" s="136" t="s">
        <v>69</v>
      </c>
      <c r="D164" s="33">
        <v>3734808.11</v>
      </c>
      <c r="E164" s="30">
        <f t="shared" si="93"/>
        <v>6.5148788286567796E-5</v>
      </c>
      <c r="F164" s="33">
        <v>102.747</v>
      </c>
      <c r="G164" s="33">
        <v>102.99</v>
      </c>
      <c r="H164" s="32">
        <v>0</v>
      </c>
      <c r="I164" s="50">
        <v>0</v>
      </c>
      <c r="J164" s="50">
        <v>0</v>
      </c>
      <c r="K164" s="33">
        <v>3734808.11</v>
      </c>
      <c r="L164" s="54">
        <f t="shared" si="94"/>
        <v>6.5298558722408533E-5</v>
      </c>
      <c r="M164" s="33">
        <v>102.747</v>
      </c>
      <c r="N164" s="33">
        <v>102.99</v>
      </c>
      <c r="O164" s="32">
        <v>0</v>
      </c>
      <c r="P164" s="50">
        <v>0</v>
      </c>
      <c r="Q164" s="50">
        <v>0</v>
      </c>
      <c r="R164" s="57">
        <f t="shared" si="95"/>
        <v>0</v>
      </c>
      <c r="S164" s="57">
        <f t="shared" si="96"/>
        <v>0</v>
      </c>
      <c r="T164" s="57" t="e">
        <f t="shared" si="96"/>
        <v>#DIV/0!</v>
      </c>
      <c r="U164" s="57">
        <f t="shared" si="97"/>
        <v>0</v>
      </c>
      <c r="V164" s="58">
        <f t="shared" si="97"/>
        <v>0</v>
      </c>
    </row>
    <row r="165" spans="1:22">
      <c r="A165" s="139">
        <v>142</v>
      </c>
      <c r="B165" s="135" t="s">
        <v>205</v>
      </c>
      <c r="C165" s="136" t="s">
        <v>126</v>
      </c>
      <c r="D165" s="33">
        <v>227262919.41</v>
      </c>
      <c r="E165" s="30">
        <f t="shared" si="93"/>
        <v>3.9643010794547648E-3</v>
      </c>
      <c r="F165" s="33">
        <v>1.5852999999999999</v>
      </c>
      <c r="G165" s="33">
        <v>1.6008</v>
      </c>
      <c r="H165" s="32">
        <v>382</v>
      </c>
      <c r="I165" s="50">
        <v>-1.0115516703090854E-2</v>
      </c>
      <c r="J165" s="50">
        <v>8.2929161827993703E-2</v>
      </c>
      <c r="K165" s="33">
        <v>226760502.97999999</v>
      </c>
      <c r="L165" s="54">
        <f t="shared" si="94"/>
        <v>3.9646304665870574E-3</v>
      </c>
      <c r="M165" s="33">
        <v>1.5807</v>
      </c>
      <c r="N165" s="33">
        <v>1.5961000000000001</v>
      </c>
      <c r="O165" s="32">
        <v>385</v>
      </c>
      <c r="P165" s="50">
        <v>-2.9016589919889091E-3</v>
      </c>
      <c r="Q165" s="50">
        <v>7.9786870687888589E-2</v>
      </c>
      <c r="R165" s="57">
        <f t="shared" si="95"/>
        <v>-2.2107276950605777E-3</v>
      </c>
      <c r="S165" s="57">
        <f t="shared" si="96"/>
        <v>-2.9360319840079502E-3</v>
      </c>
      <c r="T165" s="57">
        <f t="shared" si="96"/>
        <v>7.8534031413612562E-3</v>
      </c>
      <c r="U165" s="57">
        <f t="shared" si="97"/>
        <v>7.2138577111019453E-3</v>
      </c>
      <c r="V165" s="58">
        <f t="shared" si="97"/>
        <v>-3.1422911401051135E-3</v>
      </c>
    </row>
    <row r="166" spans="1:22">
      <c r="A166" s="139">
        <v>143</v>
      </c>
      <c r="B166" s="135" t="s">
        <v>206</v>
      </c>
      <c r="C166" s="136" t="s">
        <v>29</v>
      </c>
      <c r="D166" s="44">
        <v>130212917.98</v>
      </c>
      <c r="E166" s="30">
        <f t="shared" si="93"/>
        <v>2.2713921507617261E-3</v>
      </c>
      <c r="F166" s="33">
        <v>165.09800000000001</v>
      </c>
      <c r="G166" s="33">
        <v>165.9092</v>
      </c>
      <c r="H166" s="32">
        <v>106</v>
      </c>
      <c r="I166" s="50">
        <v>2.4510000000000001E-3</v>
      </c>
      <c r="J166" s="50">
        <v>3.2899999999999999E-2</v>
      </c>
      <c r="K166" s="44">
        <v>129985965.19</v>
      </c>
      <c r="L166" s="54">
        <f t="shared" si="94"/>
        <v>2.2726458578478793E-3</v>
      </c>
      <c r="M166" s="33">
        <v>164.79830000000001</v>
      </c>
      <c r="N166" s="33">
        <v>165.60570000000001</v>
      </c>
      <c r="O166" s="32">
        <v>106</v>
      </c>
      <c r="P166" s="50">
        <v>-1.284E-3</v>
      </c>
      <c r="Q166" s="50">
        <v>3.1E-2</v>
      </c>
      <c r="R166" s="57">
        <f t="shared" si="95"/>
        <v>-1.7429360582708489E-3</v>
      </c>
      <c r="S166" s="57">
        <f t="shared" si="96"/>
        <v>-1.8293138656565486E-3</v>
      </c>
      <c r="T166" s="57">
        <f t="shared" si="96"/>
        <v>0</v>
      </c>
      <c r="U166" s="57">
        <f t="shared" si="97"/>
        <v>-3.735E-3</v>
      </c>
      <c r="V166" s="58">
        <f t="shared" si="97"/>
        <v>-1.8999999999999989E-3</v>
      </c>
    </row>
    <row r="167" spans="1:22">
      <c r="A167" s="139">
        <v>144</v>
      </c>
      <c r="B167" s="135" t="s">
        <v>207</v>
      </c>
      <c r="C167" s="136" t="s">
        <v>72</v>
      </c>
      <c r="D167" s="44">
        <v>253379775.08000001</v>
      </c>
      <c r="E167" s="30">
        <f t="shared" si="93"/>
        <v>4.4198750877150386E-3</v>
      </c>
      <c r="F167" s="33">
        <v>128.24</v>
      </c>
      <c r="G167" s="33">
        <v>128.97</v>
      </c>
      <c r="H167" s="32">
        <v>34</v>
      </c>
      <c r="I167" s="50">
        <v>2.0999999999999999E-3</v>
      </c>
      <c r="J167" s="50">
        <v>8.1900000000000001E-2</v>
      </c>
      <c r="K167" s="44">
        <v>253138073.77000001</v>
      </c>
      <c r="L167" s="54">
        <f t="shared" si="94"/>
        <v>4.4258100786194691E-3</v>
      </c>
      <c r="M167" s="33">
        <v>128.12</v>
      </c>
      <c r="N167" s="33">
        <v>128.91</v>
      </c>
      <c r="O167" s="32">
        <v>34</v>
      </c>
      <c r="P167" s="50">
        <v>-8.0000000000000004E-4</v>
      </c>
      <c r="Q167" s="50">
        <v>8.1100000000000005E-2</v>
      </c>
      <c r="R167" s="57">
        <f t="shared" si="95"/>
        <v>-9.539092452177354E-4</v>
      </c>
      <c r="S167" s="57">
        <f t="shared" si="96"/>
        <v>-4.6522447080718212E-4</v>
      </c>
      <c r="T167" s="57">
        <f t="shared" si="96"/>
        <v>0</v>
      </c>
      <c r="U167" s="57">
        <f t="shared" si="97"/>
        <v>-2.8999999999999998E-3</v>
      </c>
      <c r="V167" s="58">
        <f t="shared" si="97"/>
        <v>-7.9999999999999516E-4</v>
      </c>
    </row>
    <row r="168" spans="1:22" ht="15.75" customHeight="1">
      <c r="A168" s="139">
        <v>145</v>
      </c>
      <c r="B168" s="135" t="s">
        <v>208</v>
      </c>
      <c r="C168" s="136" t="s">
        <v>75</v>
      </c>
      <c r="D168" s="29">
        <v>336437598.10000002</v>
      </c>
      <c r="E168" s="30">
        <f t="shared" si="93"/>
        <v>5.8687089683593643E-3</v>
      </c>
      <c r="F168" s="33">
        <v>1.3454999999999999</v>
      </c>
      <c r="G168" s="33">
        <v>1.3584000000000001</v>
      </c>
      <c r="H168" s="32">
        <v>102</v>
      </c>
      <c r="I168" s="50">
        <v>-2E-3</v>
      </c>
      <c r="J168" s="50">
        <v>0.34960000000000002</v>
      </c>
      <c r="K168" s="29">
        <v>334056408.12</v>
      </c>
      <c r="L168" s="54">
        <f t="shared" si="94"/>
        <v>5.8405683343717195E-3</v>
      </c>
      <c r="M168" s="33">
        <v>1.3375999999999999</v>
      </c>
      <c r="N168" s="33">
        <v>1.3502000000000001</v>
      </c>
      <c r="O168" s="32">
        <v>101</v>
      </c>
      <c r="P168" s="50">
        <v>-6.4000000000000003E-3</v>
      </c>
      <c r="Q168" s="50">
        <v>0.27329999999999999</v>
      </c>
      <c r="R168" s="57">
        <f t="shared" si="95"/>
        <v>-7.0776571746070226E-3</v>
      </c>
      <c r="S168" s="57">
        <f t="shared" si="96"/>
        <v>-6.0365135453474567E-3</v>
      </c>
      <c r="T168" s="57">
        <f t="shared" si="96"/>
        <v>-9.8039215686274508E-3</v>
      </c>
      <c r="U168" s="57">
        <f t="shared" si="97"/>
        <v>-4.4000000000000003E-3</v>
      </c>
      <c r="V168" s="58">
        <f t="shared" si="97"/>
        <v>-7.6300000000000034E-2</v>
      </c>
    </row>
    <row r="169" spans="1:22">
      <c r="A169" s="139">
        <v>146</v>
      </c>
      <c r="B169" s="135" t="s">
        <v>209</v>
      </c>
      <c r="C169" s="136" t="s">
        <v>31</v>
      </c>
      <c r="D169" s="33">
        <v>9947419138.1900005</v>
      </c>
      <c r="E169" s="30">
        <f t="shared" si="93"/>
        <v>0.17351957164720119</v>
      </c>
      <c r="F169" s="33">
        <v>342.43</v>
      </c>
      <c r="G169" s="33">
        <v>345.05</v>
      </c>
      <c r="H169" s="32">
        <v>5477</v>
      </c>
      <c r="I169" s="50">
        <v>-5.4999999999999997E-3</v>
      </c>
      <c r="J169" s="50">
        <v>5.6500000000000002E-2</v>
      </c>
      <c r="K169" s="33">
        <v>9924661092.3899994</v>
      </c>
      <c r="L169" s="54">
        <f t="shared" si="94"/>
        <v>0.17352057885014918</v>
      </c>
      <c r="M169" s="33">
        <v>341.8</v>
      </c>
      <c r="N169" s="33">
        <v>344.41</v>
      </c>
      <c r="O169" s="32">
        <v>5477</v>
      </c>
      <c r="P169" s="50">
        <v>-1.9E-3</v>
      </c>
      <c r="Q169" s="50">
        <v>5.4600000000000003E-2</v>
      </c>
      <c r="R169" s="57">
        <f t="shared" si="95"/>
        <v>-2.287834209441196E-3</v>
      </c>
      <c r="S169" s="57">
        <f t="shared" si="96"/>
        <v>-1.8548036516446496E-3</v>
      </c>
      <c r="T169" s="57">
        <f t="shared" si="96"/>
        <v>0</v>
      </c>
      <c r="U169" s="57">
        <f t="shared" si="97"/>
        <v>3.5999999999999999E-3</v>
      </c>
      <c r="V169" s="58">
        <f t="shared" si="97"/>
        <v>-1.8999999999999989E-3</v>
      </c>
    </row>
    <row r="170" spans="1:22">
      <c r="A170" s="139">
        <v>147</v>
      </c>
      <c r="B170" s="135" t="s">
        <v>210</v>
      </c>
      <c r="C170" s="136" t="s">
        <v>80</v>
      </c>
      <c r="D170" s="33">
        <v>3520267208.73</v>
      </c>
      <c r="E170" s="30">
        <f t="shared" si="93"/>
        <v>6.1406405989007491E-2</v>
      </c>
      <c r="F170" s="33">
        <v>2.4662000000000002</v>
      </c>
      <c r="G170" s="33">
        <v>2.5104000000000002</v>
      </c>
      <c r="H170" s="32">
        <v>10305</v>
      </c>
      <c r="I170" s="50">
        <v>-3.0000000000000001E-3</v>
      </c>
      <c r="J170" s="50">
        <v>6.3899999999999998E-2</v>
      </c>
      <c r="K170" s="33">
        <v>3508046797.5500002</v>
      </c>
      <c r="L170" s="54">
        <f t="shared" si="94"/>
        <v>6.1333914103227083E-2</v>
      </c>
      <c r="M170" s="33">
        <v>2.4578000000000002</v>
      </c>
      <c r="N170" s="33">
        <v>2.5015000000000001</v>
      </c>
      <c r="O170" s="32">
        <v>10306</v>
      </c>
      <c r="P170" s="50">
        <v>-3.5000000000000001E-3</v>
      </c>
      <c r="Q170" s="50">
        <v>6.0199999999999997E-2</v>
      </c>
      <c r="R170" s="57">
        <f t="shared" si="95"/>
        <v>-3.471444198808011E-3</v>
      </c>
      <c r="S170" s="57">
        <f t="shared" si="96"/>
        <v>-3.545251752708783E-3</v>
      </c>
      <c r="T170" s="57">
        <f t="shared" si="96"/>
        <v>9.704027171276079E-5</v>
      </c>
      <c r="U170" s="57">
        <f t="shared" si="97"/>
        <v>-5.0000000000000001E-4</v>
      </c>
      <c r="V170" s="58">
        <f t="shared" si="97"/>
        <v>-3.7000000000000019E-3</v>
      </c>
    </row>
    <row r="171" spans="1:22">
      <c r="A171" s="139">
        <v>148</v>
      </c>
      <c r="B171" s="135" t="s">
        <v>211</v>
      </c>
      <c r="C171" s="136" t="s">
        <v>82</v>
      </c>
      <c r="D171" s="33">
        <v>264268432.81132922</v>
      </c>
      <c r="E171" s="30">
        <f t="shared" si="93"/>
        <v>4.6098133218545343E-3</v>
      </c>
      <c r="F171" s="33">
        <v>343.850999997722</v>
      </c>
      <c r="G171" s="33">
        <v>346.78127767424598</v>
      </c>
      <c r="H171" s="32">
        <v>40</v>
      </c>
      <c r="I171" s="50">
        <v>2.7770803436519609E-2</v>
      </c>
      <c r="J171" s="50">
        <v>2.7494397124524284E-2</v>
      </c>
      <c r="K171" s="33">
        <v>261838245.94715121</v>
      </c>
      <c r="L171" s="54">
        <f t="shared" si="94"/>
        <v>4.5779219641762271E-3</v>
      </c>
      <c r="M171" s="33">
        <v>340.68897956819336</v>
      </c>
      <c r="N171" s="33">
        <v>343.81562158585774</v>
      </c>
      <c r="O171" s="32">
        <v>40</v>
      </c>
      <c r="P171" s="50">
        <v>-9.1959029624738564E-3</v>
      </c>
      <c r="Q171" s="50">
        <v>1.8045658354081562E-2</v>
      </c>
      <c r="R171" s="57">
        <f t="shared" si="95"/>
        <v>-9.1959029624737662E-3</v>
      </c>
      <c r="S171" s="57">
        <f t="shared" si="96"/>
        <v>-8.5519498292352322E-3</v>
      </c>
      <c r="T171" s="57">
        <f t="shared" si="96"/>
        <v>0</v>
      </c>
      <c r="U171" s="57">
        <f t="shared" si="97"/>
        <v>-3.6966706398993465E-2</v>
      </c>
      <c r="V171" s="58">
        <f t="shared" si="97"/>
        <v>-9.4487387704427217E-3</v>
      </c>
    </row>
    <row r="172" spans="1:22">
      <c r="A172" s="139">
        <v>149</v>
      </c>
      <c r="B172" s="135" t="s">
        <v>212</v>
      </c>
      <c r="C172" s="135" t="s">
        <v>84</v>
      </c>
      <c r="D172" s="140">
        <v>61670489.530653201</v>
      </c>
      <c r="E172" s="30">
        <f t="shared" si="93"/>
        <v>1.0757601321481336E-3</v>
      </c>
      <c r="F172" s="33">
        <v>1.2015293385104999</v>
      </c>
      <c r="G172" s="33">
        <v>1.21558925217616</v>
      </c>
      <c r="H172" s="32">
        <v>29</v>
      </c>
      <c r="I172" s="50">
        <v>1.07731789163804E-3</v>
      </c>
      <c r="J172" s="50">
        <v>9.3289600675670707E-3</v>
      </c>
      <c r="K172" s="140">
        <v>61740786.891960129</v>
      </c>
      <c r="L172" s="54">
        <f t="shared" si="94"/>
        <v>1.0794622587537355E-3</v>
      </c>
      <c r="M172" s="33">
        <v>1.2029149723446304</v>
      </c>
      <c r="N172" s="33">
        <v>1.2169748860102918</v>
      </c>
      <c r="O172" s="32">
        <v>29</v>
      </c>
      <c r="P172" s="50">
        <v>1.139886546092107E-3</v>
      </c>
      <c r="Q172" s="50">
        <v>1.0479480569729227E-2</v>
      </c>
      <c r="R172" s="57">
        <f t="shared" si="95"/>
        <v>1.1398865460924697E-3</v>
      </c>
      <c r="S172" s="57">
        <f t="shared" si="96"/>
        <v>1.1398865460937903E-3</v>
      </c>
      <c r="T172" s="57">
        <f t="shared" si="96"/>
        <v>0</v>
      </c>
      <c r="U172" s="57">
        <f t="shared" si="97"/>
        <v>6.2568654454066936E-5</v>
      </c>
      <c r="V172" s="58">
        <f t="shared" si="97"/>
        <v>1.150520502162156E-3</v>
      </c>
    </row>
    <row r="173" spans="1:22" ht="13.5" customHeight="1">
      <c r="A173" s="139">
        <v>150</v>
      </c>
      <c r="B173" s="135" t="s">
        <v>213</v>
      </c>
      <c r="C173" s="136" t="s">
        <v>37</v>
      </c>
      <c r="D173" s="29">
        <v>3264083475.6100001</v>
      </c>
      <c r="E173" s="30">
        <f t="shared" si="93"/>
        <v>5.6937619561450589E-2</v>
      </c>
      <c r="F173" s="33">
        <v>4.6057079999999999</v>
      </c>
      <c r="G173" s="33">
        <v>4.7335330000000004</v>
      </c>
      <c r="H173" s="32">
        <v>2356</v>
      </c>
      <c r="I173" s="50">
        <v>-3.8197262255568187E-3</v>
      </c>
      <c r="J173" s="50">
        <v>8.6434838319471741E-2</v>
      </c>
      <c r="K173" s="29">
        <v>3263496117.1300001</v>
      </c>
      <c r="L173" s="54">
        <f t="shared" si="94"/>
        <v>5.7058244110101158E-2</v>
      </c>
      <c r="M173" s="33">
        <v>4.6057709999999998</v>
      </c>
      <c r="N173" s="33">
        <v>4.7361019999999998</v>
      </c>
      <c r="O173" s="32">
        <v>2356</v>
      </c>
      <c r="P173" s="50">
        <v>1.3678678717710113E-5</v>
      </c>
      <c r="Q173" s="50">
        <v>8.6449699312572958E-2</v>
      </c>
      <c r="R173" s="57">
        <f t="shared" si="95"/>
        <v>-1.7994591265477731E-4</v>
      </c>
      <c r="S173" s="57">
        <f t="shared" si="96"/>
        <v>5.4272358511060911E-4</v>
      </c>
      <c r="T173" s="57">
        <f t="shared" si="96"/>
        <v>0</v>
      </c>
      <c r="U173" s="57">
        <f t="shared" si="97"/>
        <v>3.8334049042745288E-3</v>
      </c>
      <c r="V173" s="58">
        <f t="shared" si="97"/>
        <v>1.4860993101217801E-5</v>
      </c>
    </row>
    <row r="174" spans="1:22" ht="13.5" customHeight="1">
      <c r="A174" s="139">
        <v>151</v>
      </c>
      <c r="B174" s="135" t="s">
        <v>214</v>
      </c>
      <c r="C174" s="136" t="s">
        <v>215</v>
      </c>
      <c r="D174" s="29">
        <v>78105182.099999994</v>
      </c>
      <c r="E174" s="30">
        <f t="shared" si="93"/>
        <v>1.3624416095414135E-3</v>
      </c>
      <c r="F174" s="33">
        <v>2.294</v>
      </c>
      <c r="G174" s="33">
        <v>2.3050000000000002</v>
      </c>
      <c r="H174" s="32">
        <v>84</v>
      </c>
      <c r="I174" s="50">
        <v>-2.0000000000000001E-4</v>
      </c>
      <c r="J174" s="50">
        <v>8.43E-2</v>
      </c>
      <c r="K174" s="29">
        <v>77356815.650000006</v>
      </c>
      <c r="L174" s="54">
        <f t="shared" si="94"/>
        <v>1.3524894507364817E-3</v>
      </c>
      <c r="M174" s="33">
        <v>2.2637999999999998</v>
      </c>
      <c r="N174" s="33">
        <v>2.2745000000000002</v>
      </c>
      <c r="O174" s="32">
        <v>86</v>
      </c>
      <c r="P174" s="50">
        <v>1E-3</v>
      </c>
      <c r="Q174" s="50">
        <v>7.1999999999999995E-2</v>
      </c>
      <c r="R174" s="57">
        <f t="shared" si="95"/>
        <v>-9.5815210960245381E-3</v>
      </c>
      <c r="S174" s="57">
        <f t="shared" si="96"/>
        <v>-1.3232104121475042E-2</v>
      </c>
      <c r="T174" s="57">
        <f t="shared" si="96"/>
        <v>2.3809523809523808E-2</v>
      </c>
      <c r="U174" s="57">
        <f t="shared" si="97"/>
        <v>1.2000000000000001E-3</v>
      </c>
      <c r="V174" s="58">
        <f t="shared" si="97"/>
        <v>-1.2300000000000005E-2</v>
      </c>
    </row>
    <row r="175" spans="1:22">
      <c r="A175" s="139">
        <v>152</v>
      </c>
      <c r="B175" s="135" t="s">
        <v>216</v>
      </c>
      <c r="C175" s="136" t="s">
        <v>135</v>
      </c>
      <c r="D175" s="29">
        <v>528393175.60000002</v>
      </c>
      <c r="E175" s="30">
        <f t="shared" si="93"/>
        <v>9.217120161290334E-3</v>
      </c>
      <c r="F175" s="33">
        <v>253.59</v>
      </c>
      <c r="G175" s="33">
        <v>256.3</v>
      </c>
      <c r="H175" s="32">
        <v>143</v>
      </c>
      <c r="I175" s="50">
        <v>1.37E-2</v>
      </c>
      <c r="J175" s="50">
        <v>0.25030000000000002</v>
      </c>
      <c r="K175" s="29">
        <v>505599381.56999999</v>
      </c>
      <c r="L175" s="54">
        <f t="shared" si="94"/>
        <v>8.8397877307442394E-3</v>
      </c>
      <c r="M175" s="33">
        <v>239.2</v>
      </c>
      <c r="N175" s="33">
        <v>241.94</v>
      </c>
      <c r="O175" s="32">
        <v>143</v>
      </c>
      <c r="P175" s="50">
        <v>1.37E-2</v>
      </c>
      <c r="Q175" s="50">
        <v>0.25030000000000002</v>
      </c>
      <c r="R175" s="57">
        <f t="shared" si="95"/>
        <v>-4.3137941749753418E-2</v>
      </c>
      <c r="S175" s="57">
        <f t="shared" si="96"/>
        <v>-5.6028092079594277E-2</v>
      </c>
      <c r="T175" s="57">
        <f t="shared" si="96"/>
        <v>0</v>
      </c>
      <c r="U175" s="57">
        <f t="shared" si="97"/>
        <v>0</v>
      </c>
      <c r="V175" s="58">
        <f t="shared" si="97"/>
        <v>0</v>
      </c>
    </row>
    <row r="176" spans="1:22">
      <c r="A176" s="139">
        <v>153</v>
      </c>
      <c r="B176" s="135" t="s">
        <v>217</v>
      </c>
      <c r="C176" s="136" t="s">
        <v>33</v>
      </c>
      <c r="D176" s="29">
        <v>2205241678.02</v>
      </c>
      <c r="E176" s="30">
        <f t="shared" si="93"/>
        <v>3.8467524694873946E-2</v>
      </c>
      <c r="F176" s="33">
        <v>552.22</v>
      </c>
      <c r="G176" s="33">
        <v>552.22</v>
      </c>
      <c r="H176" s="32">
        <v>823</v>
      </c>
      <c r="I176" s="50">
        <v>1.9E-3</v>
      </c>
      <c r="J176" s="50">
        <v>0.41060000000000002</v>
      </c>
      <c r="K176" s="29">
        <v>2187741276.7600002</v>
      </c>
      <c r="L176" s="54">
        <f t="shared" si="94"/>
        <v>3.8249984476431347E-2</v>
      </c>
      <c r="M176" s="33">
        <v>552.22</v>
      </c>
      <c r="N176" s="33">
        <v>552.22</v>
      </c>
      <c r="O176" s="32">
        <v>823</v>
      </c>
      <c r="P176" s="50">
        <v>7.9299999999999995E-3</v>
      </c>
      <c r="Q176" s="50">
        <v>0.39939999999999998</v>
      </c>
      <c r="R176" s="57">
        <f t="shared" si="95"/>
        <v>-7.9358201118857295E-3</v>
      </c>
      <c r="S176" s="57">
        <f t="shared" si="96"/>
        <v>0</v>
      </c>
      <c r="T176" s="57">
        <f t="shared" si="96"/>
        <v>0</v>
      </c>
      <c r="U176" s="57">
        <f t="shared" si="97"/>
        <v>6.0299999999999998E-3</v>
      </c>
      <c r="V176" s="58">
        <f t="shared" si="97"/>
        <v>-1.1200000000000043E-2</v>
      </c>
    </row>
    <row r="177" spans="1:22">
      <c r="A177" s="139">
        <v>154</v>
      </c>
      <c r="B177" s="135" t="s">
        <v>218</v>
      </c>
      <c r="C177" s="136" t="s">
        <v>91</v>
      </c>
      <c r="D177" s="33">
        <v>29761171.52</v>
      </c>
      <c r="E177" s="30">
        <f t="shared" si="93"/>
        <v>5.191442787449423E-4</v>
      </c>
      <c r="F177" s="33">
        <v>1.9</v>
      </c>
      <c r="G177" s="33">
        <v>1.9</v>
      </c>
      <c r="H177" s="32">
        <v>8</v>
      </c>
      <c r="I177" s="50">
        <v>-5.5751000000000002E-2</v>
      </c>
      <c r="J177" s="50">
        <v>1.4529E-2</v>
      </c>
      <c r="K177" s="33">
        <v>29442866.210000001</v>
      </c>
      <c r="L177" s="54">
        <f t="shared" si="94"/>
        <v>5.1477255900295854E-4</v>
      </c>
      <c r="M177" s="33">
        <v>1.88</v>
      </c>
      <c r="N177" s="33">
        <v>1.88</v>
      </c>
      <c r="O177" s="32">
        <v>8</v>
      </c>
      <c r="P177" s="50">
        <v>-1.0695E-2</v>
      </c>
      <c r="Q177" s="50">
        <v>3.6779999999999998E-3</v>
      </c>
      <c r="R177" s="57">
        <f t="shared" si="95"/>
        <v>-1.0695321915875933E-2</v>
      </c>
      <c r="S177" s="57">
        <f t="shared" si="96"/>
        <v>-1.0526315789473694E-2</v>
      </c>
      <c r="T177" s="57">
        <f t="shared" si="96"/>
        <v>0</v>
      </c>
      <c r="U177" s="57">
        <f t="shared" si="97"/>
        <v>4.5055999999999999E-2</v>
      </c>
      <c r="V177" s="58">
        <f t="shared" si="97"/>
        <v>-1.0851E-2</v>
      </c>
    </row>
    <row r="178" spans="1:22">
      <c r="A178" s="139">
        <v>155</v>
      </c>
      <c r="B178" s="135" t="s">
        <v>219</v>
      </c>
      <c r="C178" s="136" t="s">
        <v>45</v>
      </c>
      <c r="D178" s="33">
        <v>243535576.78999999</v>
      </c>
      <c r="E178" s="30">
        <f t="shared" si="93"/>
        <v>4.2481560672574647E-3</v>
      </c>
      <c r="F178" s="33">
        <v>2.443346</v>
      </c>
      <c r="G178" s="33">
        <v>2.5017049999999998</v>
      </c>
      <c r="H178" s="32">
        <v>121</v>
      </c>
      <c r="I178" s="50">
        <v>0.10630000000000001</v>
      </c>
      <c r="J178" s="50">
        <v>4.2099999999999999E-2</v>
      </c>
      <c r="K178" s="33">
        <v>243090159.09999999</v>
      </c>
      <c r="L178" s="54">
        <f t="shared" si="94"/>
        <v>4.2501345614864754E-3</v>
      </c>
      <c r="M178" s="33">
        <v>2.4388610000000002</v>
      </c>
      <c r="N178" s="33">
        <v>2.4981330000000002</v>
      </c>
      <c r="O178" s="32">
        <v>121</v>
      </c>
      <c r="P178" s="50">
        <v>-2.5000000000000001E-3</v>
      </c>
      <c r="Q178" s="50">
        <v>-6.5699999999999995E-2</v>
      </c>
      <c r="R178" s="57">
        <f t="shared" si="95"/>
        <v>-1.8289635373647274E-3</v>
      </c>
      <c r="S178" s="57">
        <f t="shared" si="96"/>
        <v>-1.4278262225161187E-3</v>
      </c>
      <c r="T178" s="57">
        <f t="shared" si="96"/>
        <v>0</v>
      </c>
      <c r="U178" s="57">
        <f t="shared" si="97"/>
        <v>-0.10880000000000001</v>
      </c>
      <c r="V178" s="58">
        <f t="shared" si="97"/>
        <v>-0.10779999999999999</v>
      </c>
    </row>
    <row r="179" spans="1:22">
      <c r="A179" s="139">
        <v>156</v>
      </c>
      <c r="B179" s="135" t="s">
        <v>220</v>
      </c>
      <c r="C179" s="136" t="s">
        <v>49</v>
      </c>
      <c r="D179" s="29">
        <v>2620359277.0900002</v>
      </c>
      <c r="E179" s="30">
        <f t="shared" si="93"/>
        <v>4.5708702227777981E-2</v>
      </c>
      <c r="F179" s="33">
        <v>6730.83</v>
      </c>
      <c r="G179" s="33">
        <v>6797.03</v>
      </c>
      <c r="H179" s="32">
        <v>2307</v>
      </c>
      <c r="I179" s="50">
        <v>-1.6299999999999999E-2</v>
      </c>
      <c r="J179" s="50">
        <v>5.6000000000000001E-2</v>
      </c>
      <c r="K179" s="29">
        <v>2633906239.23</v>
      </c>
      <c r="L179" s="30">
        <f t="shared" si="94"/>
        <v>4.6050633972645617E-2</v>
      </c>
      <c r="M179" s="33">
        <v>6734.47</v>
      </c>
      <c r="N179" s="33">
        <v>6800.19</v>
      </c>
      <c r="O179" s="32">
        <v>2310</v>
      </c>
      <c r="P179" s="50">
        <v>5.0000000000000001E-4</v>
      </c>
      <c r="Q179" s="50">
        <v>5.6500000000000002E-2</v>
      </c>
      <c r="R179" s="57">
        <f t="shared" si="95"/>
        <v>5.1698872969222131E-3</v>
      </c>
      <c r="S179" s="57">
        <f t="shared" si="96"/>
        <v>4.6490893816856105E-4</v>
      </c>
      <c r="T179" s="57">
        <f t="shared" si="96"/>
        <v>1.3003901170351106E-3</v>
      </c>
      <c r="U179" s="57">
        <f t="shared" si="97"/>
        <v>1.6799999999999999E-2</v>
      </c>
      <c r="V179" s="58">
        <f t="shared" si="97"/>
        <v>5.0000000000000044E-4</v>
      </c>
    </row>
    <row r="180" spans="1:22">
      <c r="A180" s="139">
        <v>157</v>
      </c>
      <c r="B180" s="135" t="s">
        <v>221</v>
      </c>
      <c r="C180" s="135" t="s">
        <v>101</v>
      </c>
      <c r="D180" s="29">
        <v>108901483.06999999</v>
      </c>
      <c r="E180" s="30">
        <f t="shared" si="93"/>
        <v>1.8996423526082247E-3</v>
      </c>
      <c r="F180" s="33">
        <v>1147.31</v>
      </c>
      <c r="G180" s="33">
        <v>1163.46</v>
      </c>
      <c r="H180" s="32">
        <v>10</v>
      </c>
      <c r="I180" s="50">
        <v>-7.981345640037607E-3</v>
      </c>
      <c r="J180" s="50">
        <v>3.6575999999999997E-2</v>
      </c>
      <c r="K180" s="29">
        <v>108891822.89</v>
      </c>
      <c r="L180" s="30">
        <f t="shared" si="94"/>
        <v>1.9038405406517057E-3</v>
      </c>
      <c r="M180" s="33">
        <v>1147.3</v>
      </c>
      <c r="N180" s="33">
        <v>1163.3</v>
      </c>
      <c r="O180" s="32">
        <v>10</v>
      </c>
      <c r="P180" s="50">
        <v>-3.1909318924139285E-4</v>
      </c>
      <c r="Q180" s="50">
        <v>3.6327999999999999E-2</v>
      </c>
      <c r="R180" s="57">
        <f t="shared" si="95"/>
        <v>-8.8705679001477465E-5</v>
      </c>
      <c r="S180" s="57">
        <f t="shared" si="96"/>
        <v>-1.3752084300283794E-4</v>
      </c>
      <c r="T180" s="57">
        <f t="shared" si="96"/>
        <v>0</v>
      </c>
      <c r="U180" s="57">
        <f t="shared" si="97"/>
        <v>7.6622524507962142E-3</v>
      </c>
      <c r="V180" s="58">
        <f t="shared" si="97"/>
        <v>-2.4799999999999822E-4</v>
      </c>
    </row>
    <row r="181" spans="1:22">
      <c r="A181" s="139">
        <v>158</v>
      </c>
      <c r="B181" s="135" t="s">
        <v>222</v>
      </c>
      <c r="C181" s="135" t="s">
        <v>84</v>
      </c>
      <c r="D181" s="29">
        <v>738209401.35844898</v>
      </c>
      <c r="E181" s="30">
        <f t="shared" si="93"/>
        <v>1.2877086742819446E-2</v>
      </c>
      <c r="F181" s="33">
        <v>1.40881399214109</v>
      </c>
      <c r="G181" s="33">
        <v>1.40881399214109</v>
      </c>
      <c r="H181" s="32">
        <v>44</v>
      </c>
      <c r="I181" s="50">
        <v>1.27476399337508E-2</v>
      </c>
      <c r="J181" s="50">
        <v>4.7118099853079999E-2</v>
      </c>
      <c r="K181" s="29">
        <v>740341698.52139699</v>
      </c>
      <c r="L181" s="30">
        <f t="shared" si="94"/>
        <v>1.2943970466945119E-2</v>
      </c>
      <c r="M181" s="33">
        <v>1.4128833118666799</v>
      </c>
      <c r="N181" s="33">
        <v>1.4128833118666799</v>
      </c>
      <c r="O181" s="32">
        <v>44</v>
      </c>
      <c r="P181" s="50">
        <v>2.8884719688259302E-3</v>
      </c>
      <c r="Q181" s="50">
        <v>5.0142671132555897E-2</v>
      </c>
      <c r="R181" s="57">
        <f t="shared" si="95"/>
        <v>2.8884719688264207E-3</v>
      </c>
      <c r="S181" s="57">
        <f t="shared" si="96"/>
        <v>2.8884719688263482E-3</v>
      </c>
      <c r="T181" s="57">
        <f t="shared" si="96"/>
        <v>0</v>
      </c>
      <c r="U181" s="57">
        <f t="shared" si="97"/>
        <v>-9.8591679649248712E-3</v>
      </c>
      <c r="V181" s="58">
        <f t="shared" si="97"/>
        <v>3.0245712794758975E-3</v>
      </c>
    </row>
    <row r="182" spans="1:22">
      <c r="A182" s="139">
        <v>159</v>
      </c>
      <c r="B182" s="135" t="s">
        <v>223</v>
      </c>
      <c r="C182" s="136" t="s">
        <v>52</v>
      </c>
      <c r="D182" s="33">
        <v>2336523774.8400002</v>
      </c>
      <c r="E182" s="30">
        <f t="shared" si="93"/>
        <v>4.0757567256536613E-2</v>
      </c>
      <c r="F182" s="33">
        <v>2.0968</v>
      </c>
      <c r="G182" s="33">
        <v>2.1109</v>
      </c>
      <c r="H182" s="32">
        <v>2275</v>
      </c>
      <c r="I182" s="50">
        <v>-1.2200000000000001E-2</v>
      </c>
      <c r="J182" s="50">
        <v>6.0400000000000002E-2</v>
      </c>
      <c r="K182" s="33">
        <v>2341884736.5599999</v>
      </c>
      <c r="L182" s="54">
        <f t="shared" si="94"/>
        <v>4.094499462554059E-2</v>
      </c>
      <c r="M182" s="33">
        <v>2.1034999999999999</v>
      </c>
      <c r="N182" s="33">
        <v>2.1177000000000001</v>
      </c>
      <c r="O182" s="32">
        <v>2281</v>
      </c>
      <c r="P182" s="50">
        <v>3.2000000000000002E-3</v>
      </c>
      <c r="Q182" s="50">
        <v>6.3799999999999996E-2</v>
      </c>
      <c r="R182" s="57">
        <f t="shared" si="95"/>
        <v>2.2944177918184875E-3</v>
      </c>
      <c r="S182" s="57">
        <f t="shared" si="96"/>
        <v>3.2213747690559191E-3</v>
      </c>
      <c r="T182" s="57">
        <f t="shared" si="96"/>
        <v>2.6373626373626374E-3</v>
      </c>
      <c r="U182" s="57">
        <f t="shared" si="97"/>
        <v>1.54E-2</v>
      </c>
      <c r="V182" s="58">
        <f t="shared" si="97"/>
        <v>3.3999999999999933E-3</v>
      </c>
    </row>
    <row r="183" spans="1:22">
      <c r="A183" s="139">
        <v>160</v>
      </c>
      <c r="B183" s="135" t="s">
        <v>224</v>
      </c>
      <c r="C183" s="136" t="s">
        <v>52</v>
      </c>
      <c r="D183" s="33">
        <v>1366117819.9100001</v>
      </c>
      <c r="E183" s="30">
        <f t="shared" si="93"/>
        <v>2.3830118710924657E-2</v>
      </c>
      <c r="F183" s="33">
        <v>1.6180000000000001</v>
      </c>
      <c r="G183" s="33">
        <v>1.6275999999999999</v>
      </c>
      <c r="H183" s="32">
        <v>863</v>
      </c>
      <c r="I183" s="50">
        <v>-6.7999999999999996E-3</v>
      </c>
      <c r="J183" s="50">
        <v>6.4899999999999999E-2</v>
      </c>
      <c r="K183" s="33">
        <v>1339738537.01</v>
      </c>
      <c r="L183" s="54">
        <f t="shared" si="94"/>
        <v>2.3423692183109558E-2</v>
      </c>
      <c r="M183" s="33">
        <v>1.6220000000000001</v>
      </c>
      <c r="N183" s="33">
        <v>1.6315</v>
      </c>
      <c r="O183" s="32">
        <v>887</v>
      </c>
      <c r="P183" s="50">
        <v>2.5000000000000001E-3</v>
      </c>
      <c r="Q183" s="50">
        <v>6.7599999999999993E-2</v>
      </c>
      <c r="R183" s="57">
        <f t="shared" si="95"/>
        <v>-1.9309668987216609E-2</v>
      </c>
      <c r="S183" s="57">
        <f t="shared" si="96"/>
        <v>2.3961661341853125E-3</v>
      </c>
      <c r="T183" s="57">
        <f t="shared" si="96"/>
        <v>2.7809965237543453E-2</v>
      </c>
      <c r="U183" s="57">
        <f t="shared" si="97"/>
        <v>9.2999999999999992E-3</v>
      </c>
      <c r="V183" s="58">
        <f t="shared" si="97"/>
        <v>2.6999999999999941E-3</v>
      </c>
    </row>
    <row r="184" spans="1:22">
      <c r="A184" s="139">
        <v>161</v>
      </c>
      <c r="B184" s="135" t="s">
        <v>225</v>
      </c>
      <c r="C184" s="136" t="s">
        <v>106</v>
      </c>
      <c r="D184" s="29">
        <v>10411735250.6</v>
      </c>
      <c r="E184" s="30">
        <f t="shared" si="93"/>
        <v>0.18161895218149088</v>
      </c>
      <c r="F184" s="33">
        <v>565.49</v>
      </c>
      <c r="G184" s="33">
        <v>572.30999999999995</v>
      </c>
      <c r="H184" s="32">
        <v>39</v>
      </c>
      <c r="I184" s="50">
        <v>-4.8180856647110915E-3</v>
      </c>
      <c r="J184" s="50">
        <v>9.3377687459933467E-2</v>
      </c>
      <c r="K184" s="29">
        <v>10437226385.379999</v>
      </c>
      <c r="L184" s="54">
        <v>5.2058</v>
      </c>
      <c r="M184" s="33">
        <v>566.9</v>
      </c>
      <c r="N184" s="33">
        <v>573.70000000000005</v>
      </c>
      <c r="O184" s="32">
        <v>39</v>
      </c>
      <c r="P184" s="50">
        <v>2.4484253481145135E-3</v>
      </c>
      <c r="Q184" s="50">
        <v>9.6054741104973251E-2</v>
      </c>
      <c r="R184" s="57">
        <f t="shared" si="95"/>
        <v>2.4483080069222654E-3</v>
      </c>
      <c r="S184" s="57">
        <f t="shared" si="96"/>
        <v>2.4287536474989083E-3</v>
      </c>
      <c r="T184" s="57">
        <f t="shared" si="96"/>
        <v>0</v>
      </c>
      <c r="U184" s="57">
        <f t="shared" si="97"/>
        <v>7.266511012825605E-3</v>
      </c>
      <c r="V184" s="58">
        <f t="shared" si="97"/>
        <v>2.6770536450397842E-3</v>
      </c>
    </row>
    <row r="185" spans="1:22">
      <c r="A185" s="36"/>
      <c r="B185" s="37"/>
      <c r="C185" s="38" t="s">
        <v>53</v>
      </c>
      <c r="D185" s="75">
        <f>SUM(D157:D184)</f>
        <v>57327361079.561821</v>
      </c>
      <c r="E185" s="40">
        <f>(D185/$D$217)</f>
        <v>1.2817187144547791E-2</v>
      </c>
      <c r="F185" s="41"/>
      <c r="G185" s="76"/>
      <c r="H185" s="43">
        <f>SUM(H157:H184)</f>
        <v>69536</v>
      </c>
      <c r="I185" s="82"/>
      <c r="J185" s="82"/>
      <c r="K185" s="75">
        <f>SUM(K157:K184)</f>
        <v>57195873585.465897</v>
      </c>
      <c r="L185" s="40">
        <f>(K185/$K$217)</f>
        <v>1.2413701957518059E-2</v>
      </c>
      <c r="M185" s="41"/>
      <c r="N185" s="76"/>
      <c r="O185" s="43">
        <f>SUM(O157:O184)</f>
        <v>69591</v>
      </c>
      <c r="P185" s="82"/>
      <c r="Q185" s="82"/>
      <c r="R185" s="57">
        <f t="shared" ref="R185" si="98">((K185-D185)/D185)</f>
        <v>-2.2936254455082862E-3</v>
      </c>
      <c r="S185" s="57" t="e">
        <f t="shared" ref="S185" si="99">((N185-G185)/G185)</f>
        <v>#DIV/0!</v>
      </c>
      <c r="T185" s="57">
        <f t="shared" ref="T185" si="100">((O185-H185)/H185)</f>
        <v>7.9095720202485042E-4</v>
      </c>
      <c r="U185" s="57">
        <f t="shared" ref="U185" si="101">P185-I185</f>
        <v>0</v>
      </c>
      <c r="V185" s="58">
        <f t="shared" ref="V185" si="102">Q185-J185</f>
        <v>0</v>
      </c>
    </row>
    <row r="186" spans="1:22" ht="5.25" customHeight="1">
      <c r="A186" s="36"/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</row>
    <row r="187" spans="1:22" ht="15" customHeight="1">
      <c r="A187" s="159" t="s">
        <v>226</v>
      </c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</row>
    <row r="188" spans="1:22" ht="16.2" customHeight="1">
      <c r="A188" s="138">
        <v>162</v>
      </c>
      <c r="B188" s="135" t="s">
        <v>227</v>
      </c>
      <c r="C188" s="136" t="s">
        <v>23</v>
      </c>
      <c r="D188" s="78">
        <v>1067837480.96</v>
      </c>
      <c r="E188" s="30">
        <f>(D188/$D$191)</f>
        <v>0.1602508131371769</v>
      </c>
      <c r="F188" s="77">
        <v>72.427899999999994</v>
      </c>
      <c r="G188" s="77">
        <v>74.611699999999999</v>
      </c>
      <c r="H188" s="34">
        <v>1706</v>
      </c>
      <c r="I188" s="51">
        <v>0.16500000000000001</v>
      </c>
      <c r="J188" s="51">
        <v>0.31130000000000002</v>
      </c>
      <c r="K188" s="78">
        <v>1061076180.04</v>
      </c>
      <c r="L188" s="54">
        <f>(K188/$K$191)</f>
        <v>0.15961177261113746</v>
      </c>
      <c r="M188" s="77">
        <v>71.868899999999996</v>
      </c>
      <c r="N188" s="77">
        <v>74.035799999999995</v>
      </c>
      <c r="O188" s="34">
        <v>1715</v>
      </c>
      <c r="P188" s="51">
        <v>-0.40250000000000002</v>
      </c>
      <c r="Q188" s="51">
        <v>0.24060000000000001</v>
      </c>
      <c r="R188" s="57">
        <f>((K188-D188)/D188)</f>
        <v>-6.3317696190262748E-3</v>
      </c>
      <c r="S188" s="57">
        <f t="shared" ref="S188:T191" si="103">((N188-G188)/G188)</f>
        <v>-7.718628579700024E-3</v>
      </c>
      <c r="T188" s="57">
        <f t="shared" si="103"/>
        <v>5.275498241500586E-3</v>
      </c>
      <c r="U188" s="57">
        <f t="shared" ref="U188:V191" si="104">P188-I188</f>
        <v>-0.5675</v>
      </c>
      <c r="V188" s="58">
        <f t="shared" si="104"/>
        <v>-7.0700000000000013E-2</v>
      </c>
    </row>
    <row r="189" spans="1:22">
      <c r="A189" s="138">
        <v>163</v>
      </c>
      <c r="B189" s="135" t="s">
        <v>228</v>
      </c>
      <c r="C189" s="136" t="s">
        <v>229</v>
      </c>
      <c r="D189" s="78">
        <v>1043582191.7</v>
      </c>
      <c r="E189" s="30">
        <f>(D189/$D$191)</f>
        <v>0.15661081182977005</v>
      </c>
      <c r="F189" s="77">
        <v>29.391999999999999</v>
      </c>
      <c r="G189" s="77">
        <v>29.6782</v>
      </c>
      <c r="H189" s="32">
        <v>1483</v>
      </c>
      <c r="I189" s="50">
        <v>-8.0000000000000004E-4</v>
      </c>
      <c r="J189" s="50">
        <v>0.1041</v>
      </c>
      <c r="K189" s="78">
        <v>1042448128.24</v>
      </c>
      <c r="L189" s="54">
        <f>(K189/$K$191)</f>
        <v>0.15680965865926455</v>
      </c>
      <c r="M189" s="77">
        <v>29.729900000000001</v>
      </c>
      <c r="N189" s="77">
        <v>30.0228</v>
      </c>
      <c r="O189" s="32">
        <v>1486</v>
      </c>
      <c r="P189" s="50">
        <v>3.5999999999999999E-3</v>
      </c>
      <c r="Q189" s="50">
        <v>0.1168</v>
      </c>
      <c r="R189" s="57">
        <f>((K189-D189)/D189)</f>
        <v>-1.086702579844376E-3</v>
      </c>
      <c r="S189" s="57">
        <f t="shared" si="103"/>
        <v>1.1611216313657829E-2</v>
      </c>
      <c r="T189" s="57">
        <f t="shared" si="103"/>
        <v>2.0229265003371545E-3</v>
      </c>
      <c r="U189" s="57">
        <f t="shared" si="104"/>
        <v>4.4000000000000003E-3</v>
      </c>
      <c r="V189" s="58">
        <f t="shared" si="104"/>
        <v>1.2700000000000003E-2</v>
      </c>
    </row>
    <row r="190" spans="1:22">
      <c r="A190" s="138">
        <v>164</v>
      </c>
      <c r="B190" s="135" t="s">
        <v>230</v>
      </c>
      <c r="C190" s="136" t="s">
        <v>49</v>
      </c>
      <c r="D190" s="44">
        <v>4552118939.4399996</v>
      </c>
      <c r="E190" s="30">
        <f>(D190/$D$191)</f>
        <v>0.68313837503305308</v>
      </c>
      <c r="F190" s="77">
        <v>3.12</v>
      </c>
      <c r="G190" s="77">
        <v>3.16</v>
      </c>
      <c r="H190" s="32">
        <v>10300</v>
      </c>
      <c r="I190" s="50">
        <v>-1.2500000000000001E-2</v>
      </c>
      <c r="J190" s="50">
        <v>8.9700000000000002E-2</v>
      </c>
      <c r="K190" s="44">
        <v>4544332317.0900002</v>
      </c>
      <c r="L190" s="54">
        <f>(K190/$K$191)</f>
        <v>0.68357856872959799</v>
      </c>
      <c r="M190" s="77">
        <v>3.11</v>
      </c>
      <c r="N190" s="77">
        <v>3.15</v>
      </c>
      <c r="O190" s="32">
        <v>10311</v>
      </c>
      <c r="P190" s="50">
        <v>-3.2000000000000002E-3</v>
      </c>
      <c r="Q190" s="50">
        <v>8.6199999999999999E-2</v>
      </c>
      <c r="R190" s="57">
        <f>((K190-D190)/D190)</f>
        <v>-1.7105489671052699E-3</v>
      </c>
      <c r="S190" s="57">
        <f t="shared" si="103"/>
        <v>-3.1645569620253893E-3</v>
      </c>
      <c r="T190" s="57">
        <f t="shared" si="103"/>
        <v>1.0679611650485437E-3</v>
      </c>
      <c r="U190" s="57">
        <f t="shared" si="104"/>
        <v>9.300000000000001E-3</v>
      </c>
      <c r="V190" s="58">
        <f t="shared" si="104"/>
        <v>-3.5000000000000031E-3</v>
      </c>
    </row>
    <row r="191" spans="1:22">
      <c r="A191" s="36"/>
      <c r="B191" s="37"/>
      <c r="C191" s="71" t="s">
        <v>53</v>
      </c>
      <c r="D191" s="75">
        <f>SUM(D188:D190)</f>
        <v>6663538612.0999994</v>
      </c>
      <c r="E191" s="40">
        <f>(D191/$D$217)</f>
        <v>1.4898264951996069E-3</v>
      </c>
      <c r="F191" s="41"/>
      <c r="G191" s="76"/>
      <c r="H191" s="43">
        <f>SUM(H188:H190)</f>
        <v>13489</v>
      </c>
      <c r="I191" s="82"/>
      <c r="J191" s="82"/>
      <c r="K191" s="75">
        <f>SUM(K188:K190)</f>
        <v>6647856625.3699999</v>
      </c>
      <c r="L191" s="40">
        <f>(K191/$K$217)</f>
        <v>1.4428402895244065E-3</v>
      </c>
      <c r="M191" s="41"/>
      <c r="N191" s="76"/>
      <c r="O191" s="43">
        <f>SUM(O188:O190)</f>
        <v>13512</v>
      </c>
      <c r="P191" s="82"/>
      <c r="Q191" s="82"/>
      <c r="R191" s="57">
        <f>((K191-D191)/D191)</f>
        <v>-2.353402245095928E-3</v>
      </c>
      <c r="S191" s="57" t="e">
        <f t="shared" si="103"/>
        <v>#DIV/0!</v>
      </c>
      <c r="T191" s="57">
        <f t="shared" si="103"/>
        <v>1.705093038772333E-3</v>
      </c>
      <c r="U191" s="57">
        <f t="shared" si="104"/>
        <v>0</v>
      </c>
      <c r="V191" s="58">
        <f t="shared" si="104"/>
        <v>0</v>
      </c>
    </row>
    <row r="192" spans="1:22" ht="6" customHeight="1">
      <c r="A192" s="36"/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</row>
    <row r="193" spans="1:24" ht="15" customHeight="1">
      <c r="A193" s="160" t="s">
        <v>231</v>
      </c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</row>
    <row r="194" spans="1:24">
      <c r="A194" s="161" t="s">
        <v>232</v>
      </c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</row>
    <row r="195" spans="1:24">
      <c r="A195" s="138">
        <v>165</v>
      </c>
      <c r="B195" s="135" t="s">
        <v>233</v>
      </c>
      <c r="C195" s="136" t="s">
        <v>234</v>
      </c>
      <c r="D195" s="47">
        <v>5367421550.7700005</v>
      </c>
      <c r="E195" s="30">
        <f>(D195/$D$216)</f>
        <v>9.7555633037387693E-2</v>
      </c>
      <c r="F195" s="79">
        <v>2.35</v>
      </c>
      <c r="G195" s="79">
        <v>2.39</v>
      </c>
      <c r="H195" s="46">
        <v>15018</v>
      </c>
      <c r="I195" s="53">
        <v>-1.2999999999999999E-3</v>
      </c>
      <c r="J195" s="53">
        <v>3.6900000000000002E-2</v>
      </c>
      <c r="K195" s="47">
        <v>5367421550.7700005</v>
      </c>
      <c r="L195" s="30">
        <f>(K195/$K$216)</f>
        <v>9.7664301544746604E-2</v>
      </c>
      <c r="M195" s="79">
        <v>2.35</v>
      </c>
      <c r="N195" s="79">
        <v>2.39</v>
      </c>
      <c r="O195" s="46">
        <v>15018</v>
      </c>
      <c r="P195" s="53">
        <v>-1.2999999999999999E-3</v>
      </c>
      <c r="Q195" s="53">
        <v>3.6900000000000002E-2</v>
      </c>
      <c r="R195" s="57">
        <f>((K195-D195)/D195)</f>
        <v>0</v>
      </c>
      <c r="S195" s="57">
        <f>((N195-G195)/G195)</f>
        <v>0</v>
      </c>
      <c r="T195" s="57">
        <f>((O195-H195)/H195)</f>
        <v>0</v>
      </c>
      <c r="U195" s="57">
        <f>P195-I195</f>
        <v>0</v>
      </c>
      <c r="V195" s="58">
        <f>Q195-J195</f>
        <v>0</v>
      </c>
    </row>
    <row r="196" spans="1:24">
      <c r="A196" s="138">
        <v>166</v>
      </c>
      <c r="B196" s="135" t="s">
        <v>235</v>
      </c>
      <c r="C196" s="136" t="s">
        <v>49</v>
      </c>
      <c r="D196" s="47">
        <v>908832282.94000006</v>
      </c>
      <c r="E196" s="30">
        <f>(D196/$D$216)</f>
        <v>1.6518491765251178E-2</v>
      </c>
      <c r="F196" s="79">
        <v>558.55999999999995</v>
      </c>
      <c r="G196" s="79">
        <v>565.49</v>
      </c>
      <c r="H196" s="46">
        <v>907</v>
      </c>
      <c r="I196" s="53">
        <v>-1.06E-2</v>
      </c>
      <c r="J196" s="53">
        <v>0.1205</v>
      </c>
      <c r="K196" s="47">
        <v>892285394.55999994</v>
      </c>
      <c r="L196" s="30">
        <f>(K196/$K$216)</f>
        <v>1.6235808761057617E-2</v>
      </c>
      <c r="M196" s="79">
        <v>554.28</v>
      </c>
      <c r="N196" s="79">
        <v>561.20000000000005</v>
      </c>
      <c r="O196" s="46">
        <v>908</v>
      </c>
      <c r="P196" s="53">
        <v>-7.6E-3</v>
      </c>
      <c r="Q196" s="53">
        <v>0.112</v>
      </c>
      <c r="R196" s="57">
        <f>((K196-D196)/D196)</f>
        <v>-1.8206756835785199E-2</v>
      </c>
      <c r="S196" s="57">
        <f>((N196-G196)/G196)</f>
        <v>-7.5863410493553617E-3</v>
      </c>
      <c r="T196" s="57">
        <f>((O196-H196)/H196)</f>
        <v>1.1025358324145535E-3</v>
      </c>
      <c r="U196" s="57">
        <f>P196-I196</f>
        <v>3.0000000000000001E-3</v>
      </c>
      <c r="V196" s="58">
        <f>Q196-J196</f>
        <v>-8.4999999999999937E-3</v>
      </c>
    </row>
    <row r="197" spans="1:24" ht="6" customHeight="1">
      <c r="A197" s="36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</row>
    <row r="198" spans="1:24" ht="15" customHeight="1">
      <c r="A198" s="161" t="s">
        <v>174</v>
      </c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</row>
    <row r="199" spans="1:24">
      <c r="A199" s="138">
        <v>167</v>
      </c>
      <c r="B199" s="135" t="s">
        <v>295</v>
      </c>
      <c r="C199" s="136" t="s">
        <v>23</v>
      </c>
      <c r="D199" s="29">
        <v>1144277426.72</v>
      </c>
      <c r="E199" s="30">
        <f>(D199/$D$216)</f>
        <v>2.079782772382547E-2</v>
      </c>
      <c r="F199" s="77">
        <v>1.0438000000000001</v>
      </c>
      <c r="G199" s="77">
        <v>1.0438000000000001</v>
      </c>
      <c r="H199" s="32">
        <v>503</v>
      </c>
      <c r="I199" s="50">
        <v>0.15029999999999999</v>
      </c>
      <c r="J199" s="50">
        <v>0.1676</v>
      </c>
      <c r="K199" s="29">
        <v>1166754279.78</v>
      </c>
      <c r="L199" s="30">
        <f t="shared" ref="L199:L211" si="105">(K199/$K$216)</f>
        <v>2.1229978068838373E-2</v>
      </c>
      <c r="M199" s="77">
        <v>1.0468999999999999</v>
      </c>
      <c r="N199" s="77">
        <v>1.0468999999999999</v>
      </c>
      <c r="O199" s="32">
        <v>519</v>
      </c>
      <c r="P199" s="50">
        <v>0.15490000000000001</v>
      </c>
      <c r="Q199" s="50">
        <v>0.1668</v>
      </c>
      <c r="R199" s="57">
        <f>((K199-D199)/D199)</f>
        <v>1.9642835325720302E-2</v>
      </c>
      <c r="S199" s="57">
        <f>((N199-G199)/G199)</f>
        <v>2.9699176087371916E-3</v>
      </c>
      <c r="T199" s="57">
        <f>((O199-H199)/H199)</f>
        <v>3.1809145129224649E-2</v>
      </c>
      <c r="U199" s="57">
        <f>P199-I199</f>
        <v>4.6000000000000207E-3</v>
      </c>
      <c r="V199" s="58">
        <f>Q199-J199</f>
        <v>-7.9999999999999516E-4</v>
      </c>
      <c r="X199" s="83"/>
    </row>
    <row r="200" spans="1:24">
      <c r="A200" s="138">
        <v>168</v>
      </c>
      <c r="B200" s="135" t="s">
        <v>236</v>
      </c>
      <c r="C200" s="136" t="s">
        <v>237</v>
      </c>
      <c r="D200" s="29">
        <v>347675745.82999998</v>
      </c>
      <c r="E200" s="30">
        <f>(D200/$D$216)</f>
        <v>6.3191845759395923E-3</v>
      </c>
      <c r="F200" s="77">
        <v>1062.52</v>
      </c>
      <c r="G200" s="77">
        <v>1062.52</v>
      </c>
      <c r="H200" s="32">
        <v>18</v>
      </c>
      <c r="I200" s="50">
        <v>1.4E-3</v>
      </c>
      <c r="J200" s="50">
        <v>2.1499999999999998E-2</v>
      </c>
      <c r="K200" s="29">
        <v>348020499.83999997</v>
      </c>
      <c r="L200" s="30">
        <f t="shared" si="105"/>
        <v>6.3324966594530234E-3</v>
      </c>
      <c r="M200" s="77">
        <v>1063.58</v>
      </c>
      <c r="N200" s="77">
        <v>1063.58</v>
      </c>
      <c r="O200" s="32">
        <v>18</v>
      </c>
      <c r="P200" s="50">
        <v>1.4E-3</v>
      </c>
      <c r="Q200" s="50">
        <v>2.29E-2</v>
      </c>
      <c r="R200" s="57">
        <f>((K200-D200)/D200)</f>
        <v>9.9159637718462487E-4</v>
      </c>
      <c r="S200" s="57">
        <f>((N200-G200)/G200)</f>
        <v>9.9762827993820865E-4</v>
      </c>
      <c r="T200" s="57">
        <f>((O200-H200)/H200)</f>
        <v>0</v>
      </c>
      <c r="U200" s="57">
        <f>P200-I200</f>
        <v>0</v>
      </c>
      <c r="V200" s="58">
        <f>Q200-J200</f>
        <v>1.4000000000000019E-3</v>
      </c>
      <c r="X200" s="83"/>
    </row>
    <row r="201" spans="1:24">
      <c r="A201" s="138">
        <v>169</v>
      </c>
      <c r="B201" s="135" t="s">
        <v>238</v>
      </c>
      <c r="C201" s="136" t="s">
        <v>67</v>
      </c>
      <c r="D201" s="29">
        <v>135258320.43000001</v>
      </c>
      <c r="E201" s="30">
        <f>(D201/$D$216)</f>
        <v>2.4583891815297271E-3</v>
      </c>
      <c r="F201" s="77">
        <v>118.27</v>
      </c>
      <c r="G201" s="77">
        <v>118.27</v>
      </c>
      <c r="H201" s="32">
        <v>75</v>
      </c>
      <c r="I201" s="50">
        <v>1.5E-3</v>
      </c>
      <c r="J201" s="50">
        <v>0.123</v>
      </c>
      <c r="K201" s="29">
        <v>135834586.16999999</v>
      </c>
      <c r="L201" s="30">
        <f t="shared" si="105"/>
        <v>2.4716132054151034E-3</v>
      </c>
      <c r="M201" s="77">
        <v>118.47</v>
      </c>
      <c r="N201" s="77">
        <v>118.47</v>
      </c>
      <c r="O201" s="32">
        <v>75</v>
      </c>
      <c r="P201" s="50">
        <v>1.1999999999999999E-3</v>
      </c>
      <c r="Q201" s="50">
        <v>6.4899999999999999E-2</v>
      </c>
      <c r="R201" s="57">
        <f t="shared" ref="R201:R217" si="106">((K201-D201)/D201)</f>
        <v>4.2604827427101871E-3</v>
      </c>
      <c r="S201" s="57">
        <f t="shared" ref="S201:S216" si="107">((N201-G201)/G201)</f>
        <v>1.691045911896532E-3</v>
      </c>
      <c r="T201" s="57">
        <f t="shared" ref="T201:T216" si="108">((O201-H201)/H201)</f>
        <v>0</v>
      </c>
      <c r="U201" s="57">
        <f t="shared" ref="U201:U216" si="109">P201-I201</f>
        <v>-3.0000000000000014E-4</v>
      </c>
      <c r="V201" s="58">
        <f t="shared" ref="V201:V216" si="110">Q201-J201</f>
        <v>-5.8099999999999999E-2</v>
      </c>
    </row>
    <row r="202" spans="1:24">
      <c r="A202" s="138">
        <v>170</v>
      </c>
      <c r="B202" s="147" t="s">
        <v>239</v>
      </c>
      <c r="C202" s="136" t="s">
        <v>72</v>
      </c>
      <c r="D202" s="44">
        <v>61318411.369999997</v>
      </c>
      <c r="E202" s="30">
        <f>(D202/$D$216)</f>
        <v>1.1144935014819435E-3</v>
      </c>
      <c r="F202" s="77">
        <v>100.84</v>
      </c>
      <c r="G202" s="77">
        <v>100.84</v>
      </c>
      <c r="H202" s="32">
        <v>15</v>
      </c>
      <c r="I202" s="50">
        <v>1E-3</v>
      </c>
      <c r="J202" s="50">
        <v>3.8899999999999997E-2</v>
      </c>
      <c r="K202" s="44">
        <v>61386706.68</v>
      </c>
      <c r="L202" s="30">
        <f t="shared" si="105"/>
        <v>1.1169776354112446E-3</v>
      </c>
      <c r="M202" s="77">
        <v>100.95</v>
      </c>
      <c r="N202" s="77">
        <v>100.95</v>
      </c>
      <c r="O202" s="32">
        <v>15</v>
      </c>
      <c r="P202" s="50">
        <v>1.1999999999999999E-3</v>
      </c>
      <c r="Q202" s="50">
        <v>0.04</v>
      </c>
      <c r="R202" s="57">
        <f t="shared" si="106"/>
        <v>1.1137814642310814E-3</v>
      </c>
      <c r="S202" s="57">
        <f t="shared" si="107"/>
        <v>1.0908369694565593E-3</v>
      </c>
      <c r="T202" s="57">
        <f t="shared" si="108"/>
        <v>0</v>
      </c>
      <c r="U202" s="57">
        <f t="shared" si="109"/>
        <v>1.9999999999999987E-4</v>
      </c>
      <c r="V202" s="58">
        <f t="shared" si="110"/>
        <v>1.1000000000000038E-3</v>
      </c>
    </row>
    <row r="203" spans="1:24">
      <c r="A203" s="138">
        <v>171</v>
      </c>
      <c r="B203" s="135" t="s">
        <v>240</v>
      </c>
      <c r="C203" s="136" t="s">
        <v>75</v>
      </c>
      <c r="D203" s="44">
        <v>114527695.06999999</v>
      </c>
      <c r="E203" s="30">
        <v>0</v>
      </c>
      <c r="F203" s="77">
        <v>1.0643</v>
      </c>
      <c r="G203" s="77">
        <v>1.0643</v>
      </c>
      <c r="H203" s="32">
        <v>27</v>
      </c>
      <c r="I203" s="50">
        <v>1.6000000000000001E-3</v>
      </c>
      <c r="J203" s="50">
        <v>0.12189999999999999</v>
      </c>
      <c r="K203" s="44">
        <v>115150225.29000001</v>
      </c>
      <c r="L203" s="30">
        <f t="shared" si="105"/>
        <v>2.0952455884622528E-3</v>
      </c>
      <c r="M203" s="77">
        <v>1.0667</v>
      </c>
      <c r="N203" s="77">
        <v>1.0667</v>
      </c>
      <c r="O203" s="32">
        <v>27</v>
      </c>
      <c r="P203" s="50">
        <v>1.5E-3</v>
      </c>
      <c r="Q203" s="50">
        <v>0.1221</v>
      </c>
      <c r="R203" s="57">
        <f t="shared" ref="R203:R204" si="111">((K203-D203)/D203)</f>
        <v>5.4356303915792563E-3</v>
      </c>
      <c r="S203" s="57">
        <f t="shared" ref="S203:S204" si="112">((N203-G203)/G203)</f>
        <v>2.2550032885464226E-3</v>
      </c>
      <c r="T203" s="57">
        <f t="shared" ref="T203" si="113">((O203-H203)/H203)</f>
        <v>0</v>
      </c>
      <c r="U203" s="57">
        <f t="shared" ref="U203" si="114">P203-I203</f>
        <v>-1.0000000000000005E-4</v>
      </c>
      <c r="V203" s="58">
        <f t="shared" ref="V203" si="115">Q203-J203</f>
        <v>2.0000000000000573E-4</v>
      </c>
    </row>
    <row r="204" spans="1:24">
      <c r="A204" s="138">
        <v>172</v>
      </c>
      <c r="B204" s="135" t="s">
        <v>241</v>
      </c>
      <c r="C204" s="136" t="s">
        <v>31</v>
      </c>
      <c r="D204" s="29">
        <v>5284156692.1099997</v>
      </c>
      <c r="E204" s="30">
        <f t="shared" ref="E204:E211" si="116">(D204/$D$216)</f>
        <v>9.6042251627056749E-2</v>
      </c>
      <c r="F204" s="77">
        <v>148.04</v>
      </c>
      <c r="G204" s="77">
        <v>148.04</v>
      </c>
      <c r="H204" s="32">
        <v>697</v>
      </c>
      <c r="I204" s="50">
        <v>2.5999999999999999E-3</v>
      </c>
      <c r="J204" s="50">
        <v>3.1899999999999998E-2</v>
      </c>
      <c r="K204" s="29">
        <v>5194272255.1599998</v>
      </c>
      <c r="L204" s="30">
        <f t="shared" si="105"/>
        <v>9.4513718930960736E-2</v>
      </c>
      <c r="M204" s="77">
        <v>148.56</v>
      </c>
      <c r="N204" s="77">
        <v>148.56</v>
      </c>
      <c r="O204" s="32">
        <v>700</v>
      </c>
      <c r="P204" s="50">
        <v>3.5000000000000001E-3</v>
      </c>
      <c r="Q204" s="50">
        <v>3.5499999999999997E-2</v>
      </c>
      <c r="R204" s="57">
        <f t="shared" si="111"/>
        <v>-1.7010176303857549E-2</v>
      </c>
      <c r="S204" s="57">
        <f t="shared" si="112"/>
        <v>3.5125641718455167E-3</v>
      </c>
      <c r="T204" s="57">
        <f t="shared" si="108"/>
        <v>4.30416068866571E-3</v>
      </c>
      <c r="U204" s="57">
        <f t="shared" si="109"/>
        <v>9.0000000000000019E-4</v>
      </c>
      <c r="V204" s="58">
        <f t="shared" si="110"/>
        <v>3.599999999999999E-3</v>
      </c>
    </row>
    <row r="205" spans="1:24">
      <c r="A205" s="138">
        <v>173</v>
      </c>
      <c r="B205" s="135" t="s">
        <v>242</v>
      </c>
      <c r="C205" s="136" t="s">
        <v>65</v>
      </c>
      <c r="D205" s="29">
        <v>811779452.87102103</v>
      </c>
      <c r="E205" s="30">
        <f t="shared" si="116"/>
        <v>1.4754506919661585E-2</v>
      </c>
      <c r="F205" s="35">
        <v>1221.14241416754</v>
      </c>
      <c r="G205" s="35">
        <v>1221.14241416754</v>
      </c>
      <c r="H205" s="32">
        <v>146</v>
      </c>
      <c r="I205" s="50">
        <v>0.12769149324518297</v>
      </c>
      <c r="J205" s="50">
        <v>0.15908967004081565</v>
      </c>
      <c r="K205" s="29">
        <v>813910991.69148302</v>
      </c>
      <c r="L205" s="30">
        <f t="shared" si="105"/>
        <v>1.4809727123396382E-2</v>
      </c>
      <c r="M205" s="35">
        <v>1223.9236408474401</v>
      </c>
      <c r="N205" s="35">
        <v>1223.9236408474401</v>
      </c>
      <c r="O205" s="32">
        <v>147</v>
      </c>
      <c r="P205" s="50">
        <v>0.11875855245826963</v>
      </c>
      <c r="Q205" s="50">
        <v>0.15554989448067288</v>
      </c>
      <c r="R205" s="57">
        <f t="shared" si="106"/>
        <v>2.6257609907757253E-3</v>
      </c>
      <c r="S205" s="57">
        <f t="shared" si="107"/>
        <v>2.2775612800216096E-3</v>
      </c>
      <c r="T205" s="57">
        <f t="shared" si="108"/>
        <v>6.8493150684931503E-3</v>
      </c>
      <c r="U205" s="57">
        <f t="shared" si="109"/>
        <v>-8.9329407869133404E-3</v>
      </c>
      <c r="V205" s="58">
        <f t="shared" si="110"/>
        <v>-3.5397755601427605E-3</v>
      </c>
    </row>
    <row r="206" spans="1:24">
      <c r="A206" s="138">
        <v>174</v>
      </c>
      <c r="B206" s="135" t="s">
        <v>243</v>
      </c>
      <c r="C206" s="136" t="s">
        <v>234</v>
      </c>
      <c r="D206" s="29">
        <v>28458696557.400002</v>
      </c>
      <c r="E206" s="30">
        <f t="shared" si="116"/>
        <v>0.51725137141087774</v>
      </c>
      <c r="F206" s="35">
        <v>1250.6099999999999</v>
      </c>
      <c r="G206" s="35">
        <v>1250.6099999999999</v>
      </c>
      <c r="H206" s="32">
        <v>9774</v>
      </c>
      <c r="I206" s="50">
        <v>1.2999999999999999E-3</v>
      </c>
      <c r="J206" s="50">
        <v>2.41E-2</v>
      </c>
      <c r="K206" s="29">
        <v>28458696557.400002</v>
      </c>
      <c r="L206" s="30">
        <f t="shared" si="105"/>
        <v>0.51782754454112667</v>
      </c>
      <c r="M206" s="35">
        <v>1250.6099999999999</v>
      </c>
      <c r="N206" s="35">
        <v>1250.6099999999999</v>
      </c>
      <c r="O206" s="32">
        <v>9774</v>
      </c>
      <c r="P206" s="50">
        <v>1.2999999999999999E-3</v>
      </c>
      <c r="Q206" s="50">
        <v>2.41E-2</v>
      </c>
      <c r="R206" s="57">
        <f t="shared" si="106"/>
        <v>0</v>
      </c>
      <c r="S206" s="57">
        <f t="shared" si="107"/>
        <v>0</v>
      </c>
      <c r="T206" s="57">
        <f t="shared" si="108"/>
        <v>0</v>
      </c>
      <c r="U206" s="57">
        <f t="shared" si="109"/>
        <v>0</v>
      </c>
      <c r="V206" s="58">
        <f t="shared" si="110"/>
        <v>0</v>
      </c>
    </row>
    <row r="207" spans="1:24">
      <c r="A207" s="138">
        <v>175</v>
      </c>
      <c r="B207" s="135" t="s">
        <v>244</v>
      </c>
      <c r="C207" s="136" t="s">
        <v>245</v>
      </c>
      <c r="D207" s="29">
        <v>508194991.35000002</v>
      </c>
      <c r="E207" s="30">
        <f t="shared" si="116"/>
        <v>9.2367039962543557E-3</v>
      </c>
      <c r="F207" s="79">
        <v>122.71</v>
      </c>
      <c r="G207" s="79">
        <v>123.68</v>
      </c>
      <c r="H207" s="46">
        <v>148</v>
      </c>
      <c r="I207" s="50">
        <v>9.4999999999999998E-3</v>
      </c>
      <c r="J207" s="50">
        <v>-2.5999999999999999E-3</v>
      </c>
      <c r="K207" s="29">
        <v>507346735.88999999</v>
      </c>
      <c r="L207" s="30">
        <f t="shared" si="105"/>
        <v>9.2315582320146947E-3</v>
      </c>
      <c r="M207" s="79">
        <v>122.47</v>
      </c>
      <c r="N207" s="79">
        <v>123.46</v>
      </c>
      <c r="O207" s="46">
        <v>149</v>
      </c>
      <c r="P207" s="50">
        <v>-1.8E-3</v>
      </c>
      <c r="Q207" s="50">
        <v>-4.4000000000000003E-3</v>
      </c>
      <c r="R207" s="57">
        <f t="shared" si="106"/>
        <v>-1.6691535226403568E-3</v>
      </c>
      <c r="S207" s="57">
        <f t="shared" si="107"/>
        <v>-1.7787839586029517E-3</v>
      </c>
      <c r="T207" s="57">
        <f t="shared" si="108"/>
        <v>6.7567567567567571E-3</v>
      </c>
      <c r="U207" s="57">
        <f t="shared" si="109"/>
        <v>-1.1299999999999999E-2</v>
      </c>
      <c r="V207" s="58">
        <f t="shared" si="110"/>
        <v>-1.8000000000000004E-3</v>
      </c>
    </row>
    <row r="208" spans="1:24">
      <c r="A208" s="138">
        <v>176</v>
      </c>
      <c r="B208" s="135" t="s">
        <v>246</v>
      </c>
      <c r="C208" s="136" t="s">
        <v>245</v>
      </c>
      <c r="D208" s="29">
        <v>156533080.71000001</v>
      </c>
      <c r="E208" s="30">
        <f t="shared" si="116"/>
        <v>2.8450688352894228E-3</v>
      </c>
      <c r="F208" s="79">
        <v>116.5</v>
      </c>
      <c r="G208" s="79">
        <v>116.5</v>
      </c>
      <c r="H208" s="46">
        <v>72</v>
      </c>
      <c r="I208" s="50">
        <v>4.4000000000000003E-3</v>
      </c>
      <c r="J208" s="50">
        <v>4.3099999999999999E-2</v>
      </c>
      <c r="K208" s="29">
        <v>158157953.37</v>
      </c>
      <c r="L208" s="30">
        <f t="shared" si="105"/>
        <v>2.8778037840928934E-3</v>
      </c>
      <c r="M208" s="79">
        <v>116.97</v>
      </c>
      <c r="N208" s="79">
        <v>116.97</v>
      </c>
      <c r="O208" s="46">
        <v>72</v>
      </c>
      <c r="P208" s="50">
        <v>4.0000000000000001E-3</v>
      </c>
      <c r="Q208" s="50">
        <v>4.7199999999999999E-2</v>
      </c>
      <c r="R208" s="57">
        <f t="shared" si="106"/>
        <v>1.0380378720139714E-2</v>
      </c>
      <c r="S208" s="57">
        <f t="shared" si="107"/>
        <v>4.0343347639484883E-3</v>
      </c>
      <c r="T208" s="57">
        <f t="shared" si="108"/>
        <v>0</v>
      </c>
      <c r="U208" s="57">
        <f t="shared" si="109"/>
        <v>-4.0000000000000018E-4</v>
      </c>
      <c r="V208" s="58">
        <f t="shared" si="110"/>
        <v>4.0999999999999995E-3</v>
      </c>
    </row>
    <row r="209" spans="1:22" ht="13.5" customHeight="1">
      <c r="A209" s="138">
        <v>177</v>
      </c>
      <c r="B209" s="135" t="s">
        <v>247</v>
      </c>
      <c r="C209" s="136" t="s">
        <v>89</v>
      </c>
      <c r="D209" s="29">
        <v>1444813829</v>
      </c>
      <c r="E209" s="30">
        <f t="shared" si="116"/>
        <v>2.626023061092465E-2</v>
      </c>
      <c r="F209" s="60">
        <v>105.51</v>
      </c>
      <c r="G209" s="60">
        <v>105.51</v>
      </c>
      <c r="H209" s="32">
        <v>617</v>
      </c>
      <c r="I209" s="50">
        <v>2.7000000000000001E-3</v>
      </c>
      <c r="J209" s="50">
        <v>0.14230000000000001</v>
      </c>
      <c r="K209" s="29">
        <v>1449020144</v>
      </c>
      <c r="L209" s="30">
        <f t="shared" si="105"/>
        <v>2.6366019316616991E-2</v>
      </c>
      <c r="M209" s="60">
        <v>105.8</v>
      </c>
      <c r="N209" s="60">
        <v>105.8</v>
      </c>
      <c r="O209" s="32">
        <v>617</v>
      </c>
      <c r="P209" s="50">
        <v>2.7000000000000001E-3</v>
      </c>
      <c r="Q209" s="50">
        <v>0.1424</v>
      </c>
      <c r="R209" s="57">
        <f t="shared" si="106"/>
        <v>2.9113197254703187E-3</v>
      </c>
      <c r="S209" s="57">
        <f t="shared" si="107"/>
        <v>2.7485546393706001E-3</v>
      </c>
      <c r="T209" s="57">
        <f t="shared" si="108"/>
        <v>0</v>
      </c>
      <c r="U209" s="57">
        <f t="shared" si="109"/>
        <v>0</v>
      </c>
      <c r="V209" s="58">
        <f t="shared" si="110"/>
        <v>9.9999999999988987E-5</v>
      </c>
    </row>
    <row r="210" spans="1:22" ht="15.75" customHeight="1">
      <c r="A210" s="138">
        <v>178</v>
      </c>
      <c r="B210" s="135" t="s">
        <v>248</v>
      </c>
      <c r="C210" s="136" t="s">
        <v>49</v>
      </c>
      <c r="D210" s="29">
        <v>6118111296.5299997</v>
      </c>
      <c r="E210" s="30">
        <f t="shared" si="116"/>
        <v>0.11119980327249553</v>
      </c>
      <c r="F210" s="60">
        <v>135.71</v>
      </c>
      <c r="G210" s="60">
        <v>135.71</v>
      </c>
      <c r="H210" s="32">
        <v>1282</v>
      </c>
      <c r="I210" s="50">
        <v>2.0000000000000001E-4</v>
      </c>
      <c r="J210" s="50">
        <v>1.0500000000000001E-2</v>
      </c>
      <c r="K210" s="29">
        <v>6112371487.6700001</v>
      </c>
      <c r="L210" s="30">
        <f t="shared" si="105"/>
        <v>0.1112192300304185</v>
      </c>
      <c r="M210" s="60">
        <v>135.75</v>
      </c>
      <c r="N210" s="60">
        <v>135.75</v>
      </c>
      <c r="O210" s="32">
        <v>1284</v>
      </c>
      <c r="P210" s="50">
        <v>2.9999999999999997E-4</v>
      </c>
      <c r="Q210" s="50">
        <v>1.0800000000000001E-2</v>
      </c>
      <c r="R210" s="57">
        <f t="shared" si="106"/>
        <v>-9.3816679393444438E-4</v>
      </c>
      <c r="S210" s="57">
        <f t="shared" si="107"/>
        <v>2.9474614987835856E-4</v>
      </c>
      <c r="T210" s="57">
        <f t="shared" si="108"/>
        <v>1.5600624024960999E-3</v>
      </c>
      <c r="U210" s="57">
        <f t="shared" si="109"/>
        <v>9.9999999999999964E-5</v>
      </c>
      <c r="V210" s="58">
        <f t="shared" si="110"/>
        <v>2.9999999999999992E-4</v>
      </c>
    </row>
    <row r="211" spans="1:22">
      <c r="A211" s="138">
        <v>179</v>
      </c>
      <c r="B211" s="135" t="s">
        <v>249</v>
      </c>
      <c r="C211" s="136" t="s">
        <v>52</v>
      </c>
      <c r="D211" s="29">
        <v>3911802581.8200002</v>
      </c>
      <c r="E211" s="30">
        <f t="shared" si="116"/>
        <v>7.1099013479198669E-2</v>
      </c>
      <c r="F211" s="60">
        <v>1.2378</v>
      </c>
      <c r="G211" s="60">
        <v>1.2378</v>
      </c>
      <c r="H211" s="32">
        <v>1396</v>
      </c>
      <c r="I211" s="50">
        <v>0.1206</v>
      </c>
      <c r="J211" s="50">
        <v>9.1300000000000006E-2</v>
      </c>
      <c r="K211" s="29">
        <v>3929803558.4499998</v>
      </c>
      <c r="L211" s="30">
        <f t="shared" si="105"/>
        <v>7.1505753016365844E-2</v>
      </c>
      <c r="M211" s="60">
        <v>1.2403999999999999</v>
      </c>
      <c r="N211" s="60">
        <v>1.2403999999999999</v>
      </c>
      <c r="O211" s="32">
        <v>1413</v>
      </c>
      <c r="P211" s="50">
        <v>0.11559999999999999</v>
      </c>
      <c r="Q211" s="50">
        <v>9.3600000000000003E-2</v>
      </c>
      <c r="R211" s="57">
        <f t="shared" si="106"/>
        <v>4.6017088678397787E-3</v>
      </c>
      <c r="S211" s="57">
        <f t="shared" si="107"/>
        <v>2.1005008886734009E-3</v>
      </c>
      <c r="T211" s="57">
        <f t="shared" si="108"/>
        <v>1.2177650429799427E-2</v>
      </c>
      <c r="U211" s="57">
        <f t="shared" si="109"/>
        <v>-5.0000000000000044E-3</v>
      </c>
      <c r="V211" s="58">
        <f t="shared" si="110"/>
        <v>2.2999999999999965E-3</v>
      </c>
    </row>
    <row r="212" spans="1:22" ht="6" customHeight="1">
      <c r="A212" s="36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</row>
    <row r="213" spans="1:22">
      <c r="A213" s="161" t="s">
        <v>250</v>
      </c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</row>
    <row r="214" spans="1:22">
      <c r="A214" s="148">
        <v>180</v>
      </c>
      <c r="B214" s="135" t="s">
        <v>251</v>
      </c>
      <c r="C214" s="136" t="s">
        <v>234</v>
      </c>
      <c r="D214" s="29">
        <v>200413531.91999999</v>
      </c>
      <c r="E214" s="30">
        <f t="shared" ref="E214" si="117">(D214/$D$216)</f>
        <v>3.6426184883707313E-3</v>
      </c>
      <c r="F214" s="35">
        <v>1044.96</v>
      </c>
      <c r="G214" s="35">
        <v>1044.96</v>
      </c>
      <c r="H214" s="32">
        <v>96</v>
      </c>
      <c r="I214" s="50">
        <v>4.1000000000000003E-3</v>
      </c>
      <c r="J214" s="50">
        <v>-0.15820000000000001</v>
      </c>
      <c r="K214" s="29">
        <v>200413531.91999999</v>
      </c>
      <c r="L214" s="30">
        <f t="shared" ref="L214" si="118">(K214/$K$216)</f>
        <v>3.6466760491869017E-3</v>
      </c>
      <c r="M214" s="35">
        <v>1044.96</v>
      </c>
      <c r="N214" s="35">
        <v>1044.96</v>
      </c>
      <c r="O214" s="32">
        <v>96</v>
      </c>
      <c r="P214" s="50">
        <v>4.1000000000000003E-3</v>
      </c>
      <c r="Q214" s="50">
        <v>-0.15820000000000001</v>
      </c>
      <c r="R214" s="57">
        <f t="shared" ref="R214" si="119">((K214-D214)/D214)</f>
        <v>0</v>
      </c>
      <c r="S214" s="57">
        <f t="shared" ref="S214" si="120">((N214-G214)/G214)</f>
        <v>0</v>
      </c>
      <c r="T214" s="57">
        <f t="shared" ref="T214" si="121">((O214-H214)/H214)</f>
        <v>0</v>
      </c>
      <c r="U214" s="57">
        <f t="shared" ref="U214" si="122">P214-I214</f>
        <v>0</v>
      </c>
      <c r="V214" s="58">
        <f t="shared" ref="V214" si="123">Q214-J214</f>
        <v>0</v>
      </c>
    </row>
    <row r="215" spans="1:22">
      <c r="A215" s="148">
        <v>181</v>
      </c>
      <c r="B215" s="135" t="s">
        <v>296</v>
      </c>
      <c r="C215" s="136" t="s">
        <v>297</v>
      </c>
      <c r="D215" s="29">
        <v>45270368.780000001</v>
      </c>
      <c r="E215" s="30">
        <f t="shared" ref="E215" si="124">(D215/$D$216)</f>
        <v>8.2281211609610335E-4</v>
      </c>
      <c r="F215" s="35">
        <v>100.16</v>
      </c>
      <c r="G215" s="35">
        <v>102.22</v>
      </c>
      <c r="H215" s="32">
        <v>140</v>
      </c>
      <c r="I215" s="50">
        <v>1.1900000000000001E-2</v>
      </c>
      <c r="J215" s="50">
        <v>1.29E-2</v>
      </c>
      <c r="K215" s="29">
        <v>47019065.137671202</v>
      </c>
      <c r="L215" s="30">
        <f t="shared" ref="L215" si="125">(K215/$K$216)</f>
        <v>8.5554751243617727E-4</v>
      </c>
      <c r="M215" s="35">
        <v>101.75</v>
      </c>
      <c r="N215" s="35">
        <v>103.84856000000001</v>
      </c>
      <c r="O215" s="32">
        <v>149</v>
      </c>
      <c r="P215" s="50">
        <v>1.41E-2</v>
      </c>
      <c r="Q215" s="50">
        <v>1.3100000000000001E-2</v>
      </c>
      <c r="R215" s="57">
        <f t="shared" ref="R215" si="126">((K215-D215)/D215)</f>
        <v>3.8627835487034023E-2</v>
      </c>
      <c r="S215" s="57">
        <f t="shared" ref="S215" si="127">((N215-G215)/G215)</f>
        <v>1.5931911563294925E-2</v>
      </c>
      <c r="T215" s="57">
        <f t="shared" ref="T215" si="128">((O215-H215)/H215)</f>
        <v>6.4285714285714279E-2</v>
      </c>
      <c r="U215" s="57">
        <f t="shared" ref="U215" si="129">P215-I215</f>
        <v>2.1999999999999988E-3</v>
      </c>
      <c r="V215" s="58">
        <f t="shared" ref="V215" si="130">Q215-J215</f>
        <v>2.0000000000000052E-4</v>
      </c>
    </row>
    <row r="216" spans="1:22">
      <c r="A216" s="36"/>
      <c r="B216" s="37"/>
      <c r="C216" s="71" t="s">
        <v>53</v>
      </c>
      <c r="D216" s="48">
        <f>SUM(D195:D215)</f>
        <v>55019083815.621017</v>
      </c>
      <c r="E216" s="40">
        <f>(D216/$D$217)</f>
        <v>1.2301105100715814E-2</v>
      </c>
      <c r="F216" s="41"/>
      <c r="G216" s="74"/>
      <c r="H216" s="84">
        <f>SUM(H195:H215)</f>
        <v>30931</v>
      </c>
      <c r="I216" s="81"/>
      <c r="J216" s="81"/>
      <c r="K216" s="48">
        <f>SUM(K195:K215)</f>
        <v>54957865523.779152</v>
      </c>
      <c r="L216" s="40">
        <f>(K216/$K$217)</f>
        <v>1.1927968226835752E-2</v>
      </c>
      <c r="M216" s="41"/>
      <c r="N216" s="74"/>
      <c r="O216" s="43">
        <f>SUM(O195:O215)</f>
        <v>30981</v>
      </c>
      <c r="P216" s="81"/>
      <c r="Q216" s="81"/>
      <c r="R216" s="57">
        <f t="shared" si="106"/>
        <v>-1.1126737778298745E-3</v>
      </c>
      <c r="S216" s="57" t="e">
        <f t="shared" si="107"/>
        <v>#DIV/0!</v>
      </c>
      <c r="T216" s="57">
        <f t="shared" si="108"/>
        <v>1.6165012447059584E-3</v>
      </c>
      <c r="U216" s="57">
        <f t="shared" si="109"/>
        <v>0</v>
      </c>
      <c r="V216" s="58">
        <f t="shared" si="110"/>
        <v>0</v>
      </c>
    </row>
    <row r="217" spans="1:22">
      <c r="A217" s="85"/>
      <c r="B217" s="85"/>
      <c r="C217" s="86" t="s">
        <v>252</v>
      </c>
      <c r="D217" s="87">
        <f>SUM(D25,D68,D108,D146,D154,D185,D191,D216)</f>
        <v>4472694393320.7598</v>
      </c>
      <c r="E217" s="88"/>
      <c r="F217" s="88"/>
      <c r="G217" s="89"/>
      <c r="H217" s="87">
        <f>SUM(H25,H68,H108,H146,H154,H185,H191,H216)</f>
        <v>846065</v>
      </c>
      <c r="I217" s="111"/>
      <c r="J217" s="111"/>
      <c r="K217" s="87">
        <f>SUM(K25,K68,K108,K146,K154,K185,K191,K216)</f>
        <v>4607479201707.9639</v>
      </c>
      <c r="L217" s="88"/>
      <c r="M217" s="88"/>
      <c r="N217" s="89"/>
      <c r="O217" s="87">
        <f>SUM(O25,O68,O108,O146,O154,O185,O191,O216)</f>
        <v>849828</v>
      </c>
      <c r="P217" s="112"/>
      <c r="Q217" s="87"/>
      <c r="R217" s="118">
        <f t="shared" si="106"/>
        <v>3.0135036408587015E-2</v>
      </c>
      <c r="S217" s="118"/>
      <c r="T217" s="118"/>
      <c r="U217" s="118"/>
      <c r="V217" s="118"/>
    </row>
    <row r="218" spans="1:22" ht="6.75" customHeight="1">
      <c r="A218" s="36"/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37"/>
    </row>
    <row r="219" spans="1:22" ht="14.4" customHeight="1">
      <c r="A219" s="160" t="s">
        <v>253</v>
      </c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</row>
    <row r="220" spans="1:22" ht="14.4" customHeight="1">
      <c r="A220" s="138">
        <v>1</v>
      </c>
      <c r="B220" s="135" t="s">
        <v>254</v>
      </c>
      <c r="C220" s="136" t="s">
        <v>190</v>
      </c>
      <c r="D220" s="29">
        <v>3939141675.2735901</v>
      </c>
      <c r="E220" s="30">
        <f t="shared" ref="E220" si="131">(D220/$D$216)</f>
        <v>7.1595915491329737E-2</v>
      </c>
      <c r="F220" s="35">
        <v>123.2</v>
      </c>
      <c r="G220" s="35">
        <v>123.2</v>
      </c>
      <c r="H220" s="32">
        <v>9</v>
      </c>
      <c r="I220" s="50">
        <v>0.33535215219587</v>
      </c>
      <c r="J220" s="50">
        <v>0.24759116569348499</v>
      </c>
      <c r="K220" s="29">
        <v>3961911180.243207</v>
      </c>
      <c r="L220" s="30">
        <f>(K220/$K$222)</f>
        <v>0.25755241722822303</v>
      </c>
      <c r="M220" s="35">
        <v>123.2</v>
      </c>
      <c r="N220" s="35">
        <v>123.2</v>
      </c>
      <c r="O220" s="32">
        <v>9</v>
      </c>
      <c r="P220" s="50">
        <v>0.32956049740934679</v>
      </c>
      <c r="Q220" s="50">
        <v>0.24772266579451746</v>
      </c>
      <c r="R220" s="57">
        <f t="shared" ref="R220" si="132">((K220-D220)/D220)</f>
        <v>5.7803214117794965E-3</v>
      </c>
      <c r="S220" s="57">
        <f t="shared" ref="S220" si="133">((N220-G220)/G220)</f>
        <v>0</v>
      </c>
      <c r="T220" s="57">
        <f t="shared" ref="T220" si="134">((O220-H220)/H220)</f>
        <v>0</v>
      </c>
      <c r="U220" s="57">
        <f t="shared" ref="U220" si="135">P220-I220</f>
        <v>-5.7916547865232149E-3</v>
      </c>
      <c r="V220" s="58">
        <f t="shared" ref="V220" si="136">Q220-J220</f>
        <v>1.3150010103246679E-4</v>
      </c>
    </row>
    <row r="221" spans="1:22" ht="14.4" customHeight="1">
      <c r="A221" s="138">
        <v>2</v>
      </c>
      <c r="B221" s="135" t="s">
        <v>303</v>
      </c>
      <c r="C221" s="136" t="s">
        <v>41</v>
      </c>
      <c r="D221" s="29">
        <v>11284995932.42</v>
      </c>
      <c r="E221" s="30">
        <f t="shared" ref="E221" si="137">(D221/$D$216)</f>
        <v>0.20511057527308305</v>
      </c>
      <c r="F221" s="35">
        <v>1.08</v>
      </c>
      <c r="G221" s="35">
        <v>1.08</v>
      </c>
      <c r="H221" s="32">
        <v>16</v>
      </c>
      <c r="I221" s="50">
        <v>5.3E-3</v>
      </c>
      <c r="J221" s="50">
        <v>0.2167</v>
      </c>
      <c r="K221" s="29">
        <v>11421020274.57</v>
      </c>
      <c r="L221" s="30">
        <f>(K221/$K$222)</f>
        <v>0.74244758277177703</v>
      </c>
      <c r="M221" s="35">
        <v>1.1000000000000001</v>
      </c>
      <c r="N221" s="35">
        <v>1.1000000000000001</v>
      </c>
      <c r="O221" s="32">
        <v>16</v>
      </c>
      <c r="P221" s="50">
        <v>1.21E-2</v>
      </c>
      <c r="Q221" s="50">
        <v>0.2586</v>
      </c>
      <c r="R221" s="57">
        <f t="shared" ref="R221:R222" si="138">((K221-D221)/D221)</f>
        <v>1.2053557038441041E-2</v>
      </c>
      <c r="S221" s="57">
        <f t="shared" ref="S221" si="139">((N221-G221)/G221)</f>
        <v>1.8518518518518535E-2</v>
      </c>
      <c r="T221" s="57">
        <f t="shared" ref="T221" si="140">((O221-H221)/H221)</f>
        <v>0</v>
      </c>
      <c r="U221" s="57">
        <f t="shared" ref="U221" si="141">P221-I221</f>
        <v>6.7999999999999996E-3</v>
      </c>
      <c r="V221" s="58">
        <f t="shared" ref="V221" si="142">Q221-J221</f>
        <v>4.1899999999999993E-2</v>
      </c>
    </row>
    <row r="222" spans="1:22" ht="14.4" customHeight="1">
      <c r="A222" s="90"/>
      <c r="B222" s="90"/>
      <c r="C222" s="90" t="s">
        <v>53</v>
      </c>
      <c r="D222" s="90">
        <f>SUM(D220:D221)</f>
        <v>15224137607.69359</v>
      </c>
      <c r="E222" s="90"/>
      <c r="F222" s="90"/>
      <c r="G222" s="90"/>
      <c r="H222" s="90">
        <f>SUM(H220:H221)</f>
        <v>25</v>
      </c>
      <c r="I222" s="90"/>
      <c r="J222" s="90"/>
      <c r="K222" s="90">
        <f>SUM(K220:K221)</f>
        <v>15382931454.813206</v>
      </c>
      <c r="L222" s="40"/>
      <c r="M222" s="90"/>
      <c r="N222" s="90"/>
      <c r="O222" s="90">
        <f>SUM(O220:O221)</f>
        <v>25</v>
      </c>
      <c r="P222" s="90"/>
      <c r="Q222" s="90"/>
      <c r="R222" s="118">
        <f t="shared" si="138"/>
        <v>1.0430400145579893E-2</v>
      </c>
      <c r="S222" s="90"/>
      <c r="T222" s="90"/>
      <c r="U222" s="90"/>
      <c r="V222" s="90"/>
    </row>
    <row r="223" spans="1:22" ht="6" customHeight="1">
      <c r="A223" s="36"/>
      <c r="B223" s="142"/>
      <c r="C223" s="71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37"/>
    </row>
    <row r="224" spans="1:22" ht="15.6">
      <c r="A224" s="160" t="s">
        <v>255</v>
      </c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</row>
    <row r="225" spans="1:22">
      <c r="A225" s="138">
        <v>1</v>
      </c>
      <c r="B225" s="135" t="s">
        <v>256</v>
      </c>
      <c r="C225" s="136" t="s">
        <v>257</v>
      </c>
      <c r="D225" s="29">
        <v>117431274879</v>
      </c>
      <c r="E225" s="30">
        <f>(D225/$D$227)</f>
        <v>0.89891108209867709</v>
      </c>
      <c r="F225" s="60">
        <v>111.28</v>
      </c>
      <c r="G225" s="60">
        <v>111.28</v>
      </c>
      <c r="H225" s="32">
        <v>0</v>
      </c>
      <c r="I225" s="50">
        <v>0.23899999999999999</v>
      </c>
      <c r="J225" s="50">
        <v>0.23899999999999999</v>
      </c>
      <c r="K225" s="29">
        <v>117431274879</v>
      </c>
      <c r="L225" s="30">
        <f>(K225/$K$227)</f>
        <v>0.89770917687405938</v>
      </c>
      <c r="M225" s="60">
        <v>111.28</v>
      </c>
      <c r="N225" s="60">
        <v>111.28</v>
      </c>
      <c r="O225" s="32">
        <v>0</v>
      </c>
      <c r="P225" s="50">
        <v>0.23899999999999999</v>
      </c>
      <c r="Q225" s="50">
        <v>0.23899999999999999</v>
      </c>
      <c r="R225" s="57">
        <f>((K225-D225)/D225)</f>
        <v>0</v>
      </c>
      <c r="S225" s="57">
        <f>((N225-G225)/G225)</f>
        <v>0</v>
      </c>
      <c r="T225" s="57" t="e">
        <f>((O225-H225)/H225)</f>
        <v>#DIV/0!</v>
      </c>
      <c r="U225" s="57">
        <f>P225-I225</f>
        <v>0</v>
      </c>
      <c r="V225" s="58">
        <f>Q225-J225</f>
        <v>0</v>
      </c>
    </row>
    <row r="226" spans="1:22">
      <c r="A226" s="138">
        <v>2</v>
      </c>
      <c r="B226" s="135" t="s">
        <v>258</v>
      </c>
      <c r="C226" s="136" t="s">
        <v>52</v>
      </c>
      <c r="D226" s="29">
        <v>13205978590.870001</v>
      </c>
      <c r="E226" s="30">
        <f>(D226/$D$227)</f>
        <v>0.10108891790132292</v>
      </c>
      <c r="F226" s="91">
        <v>1000000</v>
      </c>
      <c r="G226" s="91">
        <v>1000000</v>
      </c>
      <c r="H226" s="32">
        <v>26</v>
      </c>
      <c r="I226" s="50">
        <v>0.22239999999999999</v>
      </c>
      <c r="J226" s="50">
        <v>0.22239999999999999</v>
      </c>
      <c r="K226" s="29">
        <v>13380883339</v>
      </c>
      <c r="L226" s="30">
        <f>(K226/$K$227)</f>
        <v>0.10229082312594064</v>
      </c>
      <c r="M226" s="91">
        <v>1000000</v>
      </c>
      <c r="N226" s="91">
        <v>1000000</v>
      </c>
      <c r="O226" s="32">
        <v>26</v>
      </c>
      <c r="P226" s="50">
        <v>0.26819999999999999</v>
      </c>
      <c r="Q226" s="50">
        <v>0.26819999999999999</v>
      </c>
      <c r="R226" s="57">
        <f>((K226-D226)/D226)</f>
        <v>1.3244361023795705E-2</v>
      </c>
      <c r="S226" s="57">
        <f>((N226-G226)/G226)</f>
        <v>0</v>
      </c>
      <c r="T226" s="57">
        <f>((O226-H226)/H226)</f>
        <v>0</v>
      </c>
      <c r="U226" s="57">
        <f>P226-I226</f>
        <v>4.5800000000000007E-2</v>
      </c>
      <c r="V226" s="58">
        <f>Q226-J226</f>
        <v>4.5800000000000007E-2</v>
      </c>
    </row>
    <row r="227" spans="1:22">
      <c r="A227" s="85"/>
      <c r="B227" s="85"/>
      <c r="C227" s="86" t="s">
        <v>259</v>
      </c>
      <c r="D227" s="90">
        <f>SUM(D225:D226)</f>
        <v>130637253469.87</v>
      </c>
      <c r="E227" s="92"/>
      <c r="F227" s="93"/>
      <c r="G227" s="93"/>
      <c r="H227" s="90">
        <f>SUM(H225:H226)</f>
        <v>26</v>
      </c>
      <c r="I227" s="113"/>
      <c r="J227" s="113"/>
      <c r="K227" s="90">
        <f>SUM(K225:K226)</f>
        <v>130812158218</v>
      </c>
      <c r="L227" s="92"/>
      <c r="M227" s="93"/>
      <c r="N227" s="93"/>
      <c r="O227" s="90">
        <f>SUM(O225:O226)</f>
        <v>26</v>
      </c>
      <c r="P227" s="113"/>
      <c r="Q227" s="90"/>
      <c r="R227" s="118">
        <f>((K227-D227)/D227)</f>
        <v>1.338858124190009E-3</v>
      </c>
      <c r="S227" s="119"/>
      <c r="T227" s="119"/>
      <c r="U227" s="118"/>
      <c r="V227" s="120"/>
    </row>
    <row r="228" spans="1:22" ht="4.5" customHeight="1">
      <c r="A228" s="36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</row>
    <row r="229" spans="1:22" ht="15.6">
      <c r="A229" s="160" t="s">
        <v>260</v>
      </c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</row>
    <row r="230" spans="1:22">
      <c r="A230" s="138">
        <v>1</v>
      </c>
      <c r="B230" s="135" t="s">
        <v>261</v>
      </c>
      <c r="C230" s="136" t="s">
        <v>82</v>
      </c>
      <c r="D230" s="94">
        <v>998680200.28690982</v>
      </c>
      <c r="E230" s="95">
        <f t="shared" ref="E230:E241" si="143">(D230/$D$242)</f>
        <v>7.4478930452227143E-2</v>
      </c>
      <c r="F230" s="91">
        <v>235.34351367666073</v>
      </c>
      <c r="G230" s="91">
        <v>238.97623358312717</v>
      </c>
      <c r="H230" s="96">
        <v>61</v>
      </c>
      <c r="I230" s="52">
        <v>-1.7682971547455018E-2</v>
      </c>
      <c r="J230" s="52">
        <v>2.6177350992677928E-2</v>
      </c>
      <c r="K230" s="94">
        <v>996654869.83979166</v>
      </c>
      <c r="L230" s="95">
        <f t="shared" ref="L230:L241" si="144">(K230/$K$242)</f>
        <v>7.5360256752653301E-2</v>
      </c>
      <c r="M230" s="91">
        <v>234.8662353811221</v>
      </c>
      <c r="N230" s="91">
        <v>238.62186162601628</v>
      </c>
      <c r="O230" s="96">
        <v>61</v>
      </c>
      <c r="P230" s="52">
        <v>-2.0280070101884595E-3</v>
      </c>
      <c r="Q230" s="52">
        <v>2.409625613116817E-2</v>
      </c>
      <c r="R230" s="57">
        <f>((K230-D230)/D230)</f>
        <v>-2.0280070101883546E-3</v>
      </c>
      <c r="S230" s="57">
        <f>((N230-G230)/G230)</f>
        <v>-1.4828753127353058E-3</v>
      </c>
      <c r="T230" s="57">
        <f>((O230-H230)/H230)</f>
        <v>0</v>
      </c>
      <c r="U230" s="57">
        <f>P230-I230</f>
        <v>1.5654964537266558E-2</v>
      </c>
      <c r="V230" s="58">
        <f>Q230-J230</f>
        <v>-2.081094861509758E-3</v>
      </c>
    </row>
    <row r="231" spans="1:22">
      <c r="A231" s="138">
        <v>2</v>
      </c>
      <c r="B231" s="135" t="s">
        <v>262</v>
      </c>
      <c r="C231" s="136" t="s">
        <v>234</v>
      </c>
      <c r="D231" s="94">
        <v>1176283036.6600001</v>
      </c>
      <c r="E231" s="95">
        <f t="shared" si="143"/>
        <v>8.7724080696068477E-2</v>
      </c>
      <c r="F231" s="91">
        <v>33.46</v>
      </c>
      <c r="G231" s="91">
        <v>36.979999999999997</v>
      </c>
      <c r="H231" s="96">
        <v>220</v>
      </c>
      <c r="I231" s="52">
        <v>-9.4000000000000004E-3</v>
      </c>
      <c r="J231" s="52">
        <v>9.0999999999999998E-2</v>
      </c>
      <c r="K231" s="94">
        <v>1176283036.6600001</v>
      </c>
      <c r="L231" s="95">
        <f t="shared" si="144"/>
        <v>8.8942515949114509E-2</v>
      </c>
      <c r="M231" s="91">
        <v>33.46</v>
      </c>
      <c r="N231" s="91">
        <v>36.979999999999997</v>
      </c>
      <c r="O231" s="96">
        <v>220</v>
      </c>
      <c r="P231" s="52">
        <v>-9.4000000000000004E-3</v>
      </c>
      <c r="Q231" s="52">
        <v>9.0999999999999998E-2</v>
      </c>
      <c r="R231" s="57">
        <f t="shared" ref="R231:R242" si="145">((K231-D231)/D231)</f>
        <v>0</v>
      </c>
      <c r="S231" s="57">
        <f t="shared" ref="S231:S242" si="146">((N231-G231)/G231)</f>
        <v>0</v>
      </c>
      <c r="T231" s="57">
        <f t="shared" ref="T231:T242" si="147">((O231-H231)/H231)</f>
        <v>0</v>
      </c>
      <c r="U231" s="57">
        <f t="shared" ref="U231:U242" si="148">P231-I231</f>
        <v>0</v>
      </c>
      <c r="V231" s="58">
        <f t="shared" ref="V231:V242" si="149">Q231-J231</f>
        <v>0</v>
      </c>
    </row>
    <row r="232" spans="1:22">
      <c r="A232" s="138">
        <v>3</v>
      </c>
      <c r="B232" s="135" t="s">
        <v>263</v>
      </c>
      <c r="C232" s="136" t="s">
        <v>43</v>
      </c>
      <c r="D232" s="94">
        <v>391906867.81</v>
      </c>
      <c r="E232" s="95">
        <f t="shared" si="143"/>
        <v>2.922737863731107E-2</v>
      </c>
      <c r="F232" s="91">
        <v>29.240462999999998</v>
      </c>
      <c r="G232" s="91">
        <v>29.610341999999999</v>
      </c>
      <c r="H232" s="96">
        <v>167</v>
      </c>
      <c r="I232" s="52">
        <v>-6.209792468254749E-2</v>
      </c>
      <c r="J232" s="52">
        <v>2.2483849382526566E-2</v>
      </c>
      <c r="K232" s="94">
        <v>396662716.60000002</v>
      </c>
      <c r="L232" s="95">
        <f t="shared" si="144"/>
        <v>2.999293443675851E-2</v>
      </c>
      <c r="M232" s="91">
        <v>29.259018999999999</v>
      </c>
      <c r="N232" s="91">
        <v>29.596174000000001</v>
      </c>
      <c r="O232" s="96">
        <v>167</v>
      </c>
      <c r="P232" s="52">
        <v>6.3457244673892355E-4</v>
      </c>
      <c r="Q232" s="52">
        <v>2.3132689460580336E-2</v>
      </c>
      <c r="R232" s="57">
        <f t="shared" si="145"/>
        <v>1.213515041615882E-2</v>
      </c>
      <c r="S232" s="57">
        <f t="shared" si="146"/>
        <v>-4.7848147110215615E-4</v>
      </c>
      <c r="T232" s="57">
        <f t="shared" si="147"/>
        <v>0</v>
      </c>
      <c r="U232" s="57">
        <f t="shared" si="148"/>
        <v>6.2732497129286413E-2</v>
      </c>
      <c r="V232" s="58">
        <f t="shared" si="149"/>
        <v>6.4884007805376953E-4</v>
      </c>
    </row>
    <row r="233" spans="1:22">
      <c r="A233" s="138">
        <v>4</v>
      </c>
      <c r="B233" s="135" t="s">
        <v>264</v>
      </c>
      <c r="C233" s="136" t="s">
        <v>43</v>
      </c>
      <c r="D233" s="94">
        <v>884139069.00999999</v>
      </c>
      <c r="E233" s="95">
        <f t="shared" si="143"/>
        <v>6.5936755541938993E-2</v>
      </c>
      <c r="F233" s="91">
        <v>66.344465999999997</v>
      </c>
      <c r="G233" s="91">
        <v>66.879608000000005</v>
      </c>
      <c r="H233" s="96">
        <v>99</v>
      </c>
      <c r="I233" s="52">
        <v>-2.4674918064138907E-2</v>
      </c>
      <c r="J233" s="52">
        <v>9.4711955646920032E-5</v>
      </c>
      <c r="K233" s="94">
        <v>881382963.17999995</v>
      </c>
      <c r="L233" s="95">
        <f t="shared" si="144"/>
        <v>6.6644179858706881E-2</v>
      </c>
      <c r="M233" s="91">
        <v>65.629782000000006</v>
      </c>
      <c r="N233" s="91">
        <v>66.139602999999994</v>
      </c>
      <c r="O233" s="96">
        <v>460</v>
      </c>
      <c r="P233" s="52">
        <v>-1.0772319982041534E-2</v>
      </c>
      <c r="Q233" s="52">
        <v>-1.0678628293887105E-2</v>
      </c>
      <c r="R233" s="57">
        <f t="shared" si="145"/>
        <v>-3.1172763726934343E-3</v>
      </c>
      <c r="S233" s="57">
        <f t="shared" si="146"/>
        <v>-1.1064732915300739E-2</v>
      </c>
      <c r="T233" s="57">
        <f t="shared" si="147"/>
        <v>3.6464646464646466</v>
      </c>
      <c r="U233" s="57">
        <f t="shared" si="148"/>
        <v>1.3902598082097373E-2</v>
      </c>
      <c r="V233" s="58">
        <f t="shared" si="149"/>
        <v>-1.0773340249534025E-2</v>
      </c>
    </row>
    <row r="234" spans="1:22">
      <c r="A234" s="138">
        <v>5</v>
      </c>
      <c r="B234" s="135" t="s">
        <v>265</v>
      </c>
      <c r="C234" s="136" t="s">
        <v>266</v>
      </c>
      <c r="D234" s="94">
        <v>1389642970.9400001</v>
      </c>
      <c r="E234" s="95">
        <f t="shared" si="143"/>
        <v>0.10363590081823232</v>
      </c>
      <c r="F234" s="91">
        <v>39890</v>
      </c>
      <c r="G234" s="91">
        <v>41750</v>
      </c>
      <c r="H234" s="96">
        <v>225</v>
      </c>
      <c r="I234" s="52">
        <v>4.5999999999999999E-2</v>
      </c>
      <c r="J234" s="52">
        <v>0.1</v>
      </c>
      <c r="K234" s="94">
        <v>1430021919.1199999</v>
      </c>
      <c r="L234" s="95">
        <f t="shared" si="144"/>
        <v>0.10812852297017152</v>
      </c>
      <c r="M234" s="91">
        <v>41630</v>
      </c>
      <c r="N234" s="91">
        <v>43840</v>
      </c>
      <c r="O234" s="96">
        <v>225</v>
      </c>
      <c r="P234" s="52">
        <v>2.9000000000000001E-2</v>
      </c>
      <c r="Q234" s="52">
        <v>0.14000000000000001</v>
      </c>
      <c r="R234" s="57">
        <f t="shared" si="145"/>
        <v>2.905706647275464E-2</v>
      </c>
      <c r="S234" s="57">
        <f t="shared" si="146"/>
        <v>5.005988023952096E-2</v>
      </c>
      <c r="T234" s="57">
        <f t="shared" si="147"/>
        <v>0</v>
      </c>
      <c r="U234" s="57">
        <f t="shared" si="148"/>
        <v>-1.6999999999999998E-2</v>
      </c>
      <c r="V234" s="58">
        <f t="shared" si="149"/>
        <v>4.0000000000000008E-2</v>
      </c>
    </row>
    <row r="235" spans="1:22">
      <c r="A235" s="138">
        <v>6</v>
      </c>
      <c r="B235" s="135" t="s">
        <v>267</v>
      </c>
      <c r="C235" s="136" t="s">
        <v>268</v>
      </c>
      <c r="D235" s="94">
        <v>1028679017.1</v>
      </c>
      <c r="E235" s="95">
        <f t="shared" si="143"/>
        <v>7.6716162942096641E-2</v>
      </c>
      <c r="F235" s="91">
        <v>270.89999999999998</v>
      </c>
      <c r="G235" s="91">
        <v>270.89999999999998</v>
      </c>
      <c r="H235" s="96">
        <v>136</v>
      </c>
      <c r="I235" s="52">
        <v>-1.9400000000000001E-2</v>
      </c>
      <c r="J235" s="52">
        <v>6.3399999999999998E-2</v>
      </c>
      <c r="K235" s="94">
        <v>1024360791.14</v>
      </c>
      <c r="L235" s="95">
        <f t="shared" si="144"/>
        <v>7.7455189919525935E-2</v>
      </c>
      <c r="M235" s="91">
        <v>300</v>
      </c>
      <c r="N235" s="91">
        <v>300</v>
      </c>
      <c r="O235" s="96">
        <v>136</v>
      </c>
      <c r="P235" s="52">
        <v>-4.1999999999999997E-3</v>
      </c>
      <c r="Q235" s="52">
        <v>5.8999999999999997E-2</v>
      </c>
      <c r="R235" s="57">
        <f t="shared" si="145"/>
        <v>-4.1978361454030264E-3</v>
      </c>
      <c r="S235" s="57">
        <f t="shared" si="146"/>
        <v>0.10741971207087496</v>
      </c>
      <c r="T235" s="57">
        <f t="shared" si="147"/>
        <v>0</v>
      </c>
      <c r="U235" s="57">
        <f t="shared" si="148"/>
        <v>1.5200000000000002E-2</v>
      </c>
      <c r="V235" s="58">
        <f t="shared" si="149"/>
        <v>-4.4000000000000011E-3</v>
      </c>
    </row>
    <row r="236" spans="1:22">
      <c r="A236" s="138">
        <v>7</v>
      </c>
      <c r="B236" s="135" t="s">
        <v>269</v>
      </c>
      <c r="C236" s="136" t="s">
        <v>268</v>
      </c>
      <c r="D236" s="94">
        <v>868768904.91999996</v>
      </c>
      <c r="E236" s="95">
        <f t="shared" si="143"/>
        <v>6.4790489317806829E-2</v>
      </c>
      <c r="F236" s="91">
        <v>439.99</v>
      </c>
      <c r="G236" s="91">
        <v>439.99</v>
      </c>
      <c r="H236" s="96">
        <v>618</v>
      </c>
      <c r="I236" s="52">
        <v>-1.3100000000000001E-2</v>
      </c>
      <c r="J236" s="52">
        <v>3.7699999999999997E-2</v>
      </c>
      <c r="K236" s="94">
        <v>865503435.44000006</v>
      </c>
      <c r="L236" s="95">
        <f t="shared" si="144"/>
        <v>6.5443478067333874E-2</v>
      </c>
      <c r="M236" s="91">
        <v>320.95999999999998</v>
      </c>
      <c r="N236" s="91">
        <v>320.95999999999998</v>
      </c>
      <c r="O236" s="96">
        <v>618</v>
      </c>
      <c r="P236" s="52">
        <v>-3.8E-3</v>
      </c>
      <c r="Q236" s="52">
        <v>3.39E-2</v>
      </c>
      <c r="R236" s="57">
        <f t="shared" si="145"/>
        <v>-3.7587319959392408E-3</v>
      </c>
      <c r="S236" s="57">
        <f t="shared" si="146"/>
        <v>-0.27052887565626499</v>
      </c>
      <c r="T236" s="57">
        <f t="shared" si="147"/>
        <v>0</v>
      </c>
      <c r="U236" s="57">
        <f t="shared" si="148"/>
        <v>9.300000000000001E-3</v>
      </c>
      <c r="V236" s="58">
        <f t="shared" si="149"/>
        <v>-3.7999999999999978E-3</v>
      </c>
    </row>
    <row r="237" spans="1:22">
      <c r="A237" s="138">
        <v>8</v>
      </c>
      <c r="B237" s="135" t="s">
        <v>270</v>
      </c>
      <c r="C237" s="136" t="s">
        <v>271</v>
      </c>
      <c r="D237" s="94">
        <v>63658978.770000003</v>
      </c>
      <c r="E237" s="95">
        <f t="shared" si="143"/>
        <v>4.7475184259270636E-3</v>
      </c>
      <c r="F237" s="91">
        <v>18.03</v>
      </c>
      <c r="G237" s="91">
        <v>18.13</v>
      </c>
      <c r="H237" s="96">
        <v>77</v>
      </c>
      <c r="I237" s="52">
        <v>3.73E-2</v>
      </c>
      <c r="J237" s="52">
        <v>0.1308</v>
      </c>
      <c r="K237" s="94">
        <v>63336428.219999999</v>
      </c>
      <c r="L237" s="95">
        <f t="shared" si="144"/>
        <v>4.7890695534578039E-3</v>
      </c>
      <c r="M237" s="91">
        <v>18.04</v>
      </c>
      <c r="N237" s="91">
        <v>18.14</v>
      </c>
      <c r="O237" s="96">
        <v>77</v>
      </c>
      <c r="P237" s="52">
        <v>2.06E-2</v>
      </c>
      <c r="Q237" s="52">
        <v>0.15409999999999999</v>
      </c>
      <c r="R237" s="57">
        <f t="shared" si="145"/>
        <v>-5.0668508391468253E-3</v>
      </c>
      <c r="S237" s="57">
        <f t="shared" si="146"/>
        <v>5.5157198014349495E-4</v>
      </c>
      <c r="T237" s="57">
        <f t="shared" si="147"/>
        <v>0</v>
      </c>
      <c r="U237" s="57">
        <f t="shared" si="148"/>
        <v>-1.67E-2</v>
      </c>
      <c r="V237" s="58">
        <f t="shared" si="149"/>
        <v>2.3299999999999987E-2</v>
      </c>
    </row>
    <row r="238" spans="1:22">
      <c r="A238" s="138">
        <v>9</v>
      </c>
      <c r="B238" s="135" t="s">
        <v>272</v>
      </c>
      <c r="C238" s="136" t="s">
        <v>271</v>
      </c>
      <c r="D238" s="97">
        <v>720768871.74000001</v>
      </c>
      <c r="E238" s="95">
        <f t="shared" si="143"/>
        <v>5.3753037914470933E-2</v>
      </c>
      <c r="F238" s="91">
        <v>11.27</v>
      </c>
      <c r="G238" s="91">
        <v>11.37</v>
      </c>
      <c r="H238" s="96">
        <v>124</v>
      </c>
      <c r="I238" s="52">
        <v>3.6799999999999999E-2</v>
      </c>
      <c r="J238" s="52">
        <v>0.2661</v>
      </c>
      <c r="K238" s="97">
        <v>681097749.58000004</v>
      </c>
      <c r="L238" s="95">
        <f t="shared" si="144"/>
        <v>5.1499975402973644E-2</v>
      </c>
      <c r="M238" s="91">
        <v>11.22</v>
      </c>
      <c r="N238" s="91">
        <v>11.32</v>
      </c>
      <c r="O238" s="96">
        <v>124</v>
      </c>
      <c r="P238" s="52">
        <v>-5.8000000000000003E-2</v>
      </c>
      <c r="Q238" s="52">
        <v>0.19270000000000001</v>
      </c>
      <c r="R238" s="57">
        <f t="shared" si="145"/>
        <v>-5.504000479963897E-2</v>
      </c>
      <c r="S238" s="57">
        <f t="shared" si="146"/>
        <v>-4.3975373790676288E-3</v>
      </c>
      <c r="T238" s="57">
        <f t="shared" si="147"/>
        <v>0</v>
      </c>
      <c r="U238" s="57">
        <f t="shared" si="148"/>
        <v>-9.4799999999999995E-2</v>
      </c>
      <c r="V238" s="58">
        <f t="shared" si="149"/>
        <v>-7.3399999999999993E-2</v>
      </c>
    </row>
    <row r="239" spans="1:22" ht="15" customHeight="1">
      <c r="A239" s="138">
        <v>10</v>
      </c>
      <c r="B239" s="135" t="s">
        <v>273</v>
      </c>
      <c r="C239" s="136" t="s">
        <v>271</v>
      </c>
      <c r="D239" s="94">
        <v>97825154.120000005</v>
      </c>
      <c r="E239" s="95">
        <f t="shared" si="143"/>
        <v>7.2955415037653897E-3</v>
      </c>
      <c r="F239" s="91">
        <v>133.72999999999999</v>
      </c>
      <c r="G239" s="91">
        <v>135.72999999999999</v>
      </c>
      <c r="H239" s="96">
        <v>300</v>
      </c>
      <c r="I239" s="52">
        <v>-0.1721</v>
      </c>
      <c r="J239" s="52">
        <v>-8.7300000000000003E-2</v>
      </c>
      <c r="K239" s="94">
        <v>94370346.069999993</v>
      </c>
      <c r="L239" s="95">
        <f t="shared" si="144"/>
        <v>7.1356431648351209E-3</v>
      </c>
      <c r="M239" s="91">
        <v>128.97</v>
      </c>
      <c r="N239" s="91">
        <v>130.97</v>
      </c>
      <c r="O239" s="96">
        <v>300</v>
      </c>
      <c r="P239" s="52">
        <v>0.65690000000000004</v>
      </c>
      <c r="Q239" s="52">
        <v>0.51219999999999999</v>
      </c>
      <c r="R239" s="57">
        <f t="shared" si="145"/>
        <v>-3.5316152385122472E-2</v>
      </c>
      <c r="S239" s="57">
        <f t="shared" si="146"/>
        <v>-3.5069623517276882E-2</v>
      </c>
      <c r="T239" s="57">
        <f t="shared" si="147"/>
        <v>0</v>
      </c>
      <c r="U239" s="57">
        <f t="shared" si="148"/>
        <v>0.82900000000000007</v>
      </c>
      <c r="V239" s="58">
        <f t="shared" si="149"/>
        <v>0.59950000000000003</v>
      </c>
    </row>
    <row r="240" spans="1:22">
      <c r="A240" s="138">
        <v>11</v>
      </c>
      <c r="B240" s="135" t="s">
        <v>274</v>
      </c>
      <c r="C240" s="136" t="s">
        <v>271</v>
      </c>
      <c r="D240" s="94">
        <v>5725100627.4200001</v>
      </c>
      <c r="E240" s="95">
        <f t="shared" si="143"/>
        <v>0.42696287694410717</v>
      </c>
      <c r="F240" s="91">
        <v>39.68</v>
      </c>
      <c r="G240" s="91">
        <v>39.880000000000003</v>
      </c>
      <c r="H240" s="96">
        <v>288</v>
      </c>
      <c r="I240" s="52">
        <v>0</v>
      </c>
      <c r="J240" s="52">
        <v>9.0399999999999994E-2</v>
      </c>
      <c r="K240" s="94">
        <v>5552330035.3500004</v>
      </c>
      <c r="L240" s="95">
        <f t="shared" si="144"/>
        <v>0.41982940103097555</v>
      </c>
      <c r="M240" s="91">
        <v>39.520000000000003</v>
      </c>
      <c r="N240" s="91">
        <v>39.72</v>
      </c>
      <c r="O240" s="96">
        <v>288</v>
      </c>
      <c r="P240" s="52">
        <v>-3.6600000000000001E-2</v>
      </c>
      <c r="Q240" s="52">
        <v>5.0500000000000003E-2</v>
      </c>
      <c r="R240" s="57">
        <f t="shared" si="145"/>
        <v>-3.0177738927858508E-2</v>
      </c>
      <c r="S240" s="57">
        <f t="shared" si="146"/>
        <v>-4.0120361083250677E-3</v>
      </c>
      <c r="T240" s="57">
        <f t="shared" si="147"/>
        <v>0</v>
      </c>
      <c r="U240" s="57">
        <f t="shared" si="148"/>
        <v>-3.6600000000000001E-2</v>
      </c>
      <c r="V240" s="58">
        <f t="shared" si="149"/>
        <v>-3.9899999999999991E-2</v>
      </c>
    </row>
    <row r="241" spans="1:26">
      <c r="A241" s="138">
        <v>12</v>
      </c>
      <c r="B241" s="135" t="s">
        <v>275</v>
      </c>
      <c r="C241" s="136" t="s">
        <v>271</v>
      </c>
      <c r="D241" s="97">
        <v>63441867.030000001</v>
      </c>
      <c r="E241" s="95">
        <f t="shared" si="143"/>
        <v>4.7313268060479707E-3</v>
      </c>
      <c r="F241" s="91">
        <v>36.1</v>
      </c>
      <c r="G241" s="91">
        <v>36.299999999999997</v>
      </c>
      <c r="H241" s="96">
        <v>71</v>
      </c>
      <c r="I241" s="52">
        <v>0</v>
      </c>
      <c r="J241" s="52">
        <v>3.5999999999999999E-3</v>
      </c>
      <c r="K241" s="97">
        <v>63201046.289999999</v>
      </c>
      <c r="L241" s="95">
        <f t="shared" si="144"/>
        <v>4.7788328934933472E-3</v>
      </c>
      <c r="M241" s="91">
        <v>36.020000000000003</v>
      </c>
      <c r="N241" s="91">
        <v>36.22</v>
      </c>
      <c r="O241" s="96">
        <v>71</v>
      </c>
      <c r="P241" s="52">
        <v>4.7999999999999996E-3</v>
      </c>
      <c r="Q241" s="52">
        <v>8.3999999999999995E-3</v>
      </c>
      <c r="R241" s="57">
        <f t="shared" si="145"/>
        <v>-3.7959276937124856E-3</v>
      </c>
      <c r="S241" s="57">
        <f t="shared" si="146"/>
        <v>-2.2038567493112482E-3</v>
      </c>
      <c r="T241" s="57">
        <f t="shared" si="147"/>
        <v>0</v>
      </c>
      <c r="U241" s="57">
        <f t="shared" si="148"/>
        <v>4.7999999999999996E-3</v>
      </c>
      <c r="V241" s="58">
        <f t="shared" si="149"/>
        <v>4.7999999999999996E-3</v>
      </c>
    </row>
    <row r="242" spans="1:26">
      <c r="A242" s="130"/>
      <c r="B242" s="130"/>
      <c r="C242" s="131" t="s">
        <v>276</v>
      </c>
      <c r="D242" s="90">
        <f>SUM(D230:D241)</f>
        <v>13408895565.80691</v>
      </c>
      <c r="E242" s="92"/>
      <c r="F242" s="92"/>
      <c r="G242" s="93"/>
      <c r="H242" s="90">
        <f>SUM(H230:H241)</f>
        <v>2386</v>
      </c>
      <c r="I242" s="113"/>
      <c r="J242" s="113"/>
      <c r="K242" s="90">
        <f>SUM(K230:K241)</f>
        <v>13225205337.489792</v>
      </c>
      <c r="L242" s="92"/>
      <c r="M242" s="92"/>
      <c r="N242" s="93"/>
      <c r="O242" s="90">
        <f>SUM(O230:O241)</f>
        <v>2747</v>
      </c>
      <c r="P242" s="113"/>
      <c r="Q242" s="113"/>
      <c r="R242" s="57">
        <f t="shared" si="145"/>
        <v>-1.3699131849869376E-2</v>
      </c>
      <c r="S242" s="57" t="e">
        <f t="shared" si="146"/>
        <v>#DIV/0!</v>
      </c>
      <c r="T242" s="57">
        <f t="shared" si="147"/>
        <v>0.15129924559932942</v>
      </c>
      <c r="U242" s="57">
        <f t="shared" si="148"/>
        <v>0</v>
      </c>
      <c r="V242" s="58">
        <f t="shared" si="149"/>
        <v>0</v>
      </c>
      <c r="Z242" s="65"/>
    </row>
    <row r="243" spans="1:26">
      <c r="A243" s="98"/>
      <c r="B243" s="98"/>
      <c r="C243" s="99" t="s">
        <v>277</v>
      </c>
      <c r="D243" s="100">
        <f>SUM(D217,D222,D227,D242)</f>
        <v>4631964679964.1299</v>
      </c>
      <c r="E243" s="101"/>
      <c r="F243" s="101"/>
      <c r="G243" s="102"/>
      <c r="H243" s="100">
        <f>SUM(H217,H222,H227,H242)</f>
        <v>848502</v>
      </c>
      <c r="I243" s="114"/>
      <c r="J243" s="114"/>
      <c r="K243" s="100">
        <f>SUM(K217,K222,K227,K242)</f>
        <v>4766899496718.2676</v>
      </c>
      <c r="L243" s="101"/>
      <c r="M243" s="101"/>
      <c r="N243" s="100"/>
      <c r="O243" s="100">
        <f>SUM(O217,O222,O227,O242)</f>
        <v>852626</v>
      </c>
      <c r="P243" s="115"/>
      <c r="Q243" s="100"/>
      <c r="R243" s="121"/>
      <c r="S243" s="122"/>
      <c r="T243" s="122"/>
      <c r="U243" s="123"/>
      <c r="V243" s="123"/>
      <c r="Z243" s="65"/>
    </row>
    <row r="244" spans="1:26">
      <c r="A244" s="103" t="s">
        <v>278</v>
      </c>
      <c r="B244" s="128" t="s">
        <v>312</v>
      </c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</row>
    <row r="245" spans="1:26">
      <c r="B245" s="127"/>
    </row>
    <row r="246" spans="1:26">
      <c r="B246" s="127"/>
      <c r="C246" s="105"/>
      <c r="D246" s="106"/>
      <c r="K246" s="106"/>
    </row>
    <row r="247" spans="1:26" ht="15">
      <c r="B247" s="107"/>
      <c r="C247" s="108"/>
      <c r="D247" s="109"/>
      <c r="F247" s="110"/>
      <c r="G247" s="110"/>
      <c r="I247" s="116"/>
      <c r="J247" s="117"/>
    </row>
    <row r="250" spans="1:26">
      <c r="B250" s="105"/>
    </row>
  </sheetData>
  <sheetProtection algorithmName="SHA-512" hashValue="fJKAUgTRJBtFPd0H3K+CYV38SW72QfDTx9UNoMDZotqkN2TTe9L7nMQToOd87J0ZlPar7pGkY3RRtGEHo5F8rQ==" saltValue="g/VPI1DHUINhmR3S2nOmPw==" spinCount="100000" sheet="1" objects="1" scenarios="1"/>
  <sortState ref="A150:C177">
    <sortCondition descending="1" ref="A149"/>
  </sortState>
  <mergeCells count="34">
    <mergeCell ref="A219:V219"/>
    <mergeCell ref="A224:V224"/>
    <mergeCell ref="B228:V228"/>
    <mergeCell ref="A229:V229"/>
    <mergeCell ref="B197:V197"/>
    <mergeCell ref="A198:V198"/>
    <mergeCell ref="B212:V212"/>
    <mergeCell ref="A213:V213"/>
    <mergeCell ref="B218:U218"/>
    <mergeCell ref="B186:V186"/>
    <mergeCell ref="A187:V187"/>
    <mergeCell ref="B192:V192"/>
    <mergeCell ref="A193:V193"/>
    <mergeCell ref="A194:V194"/>
    <mergeCell ref="A130:V130"/>
    <mergeCell ref="B147:V147"/>
    <mergeCell ref="A148:V148"/>
    <mergeCell ref="B155:V155"/>
    <mergeCell ref="A156:V156"/>
    <mergeCell ref="A70:V70"/>
    <mergeCell ref="B109:V109"/>
    <mergeCell ref="A110:V110"/>
    <mergeCell ref="A111:V111"/>
    <mergeCell ref="B129:V129"/>
    <mergeCell ref="B4:V4"/>
    <mergeCell ref="A5:V5"/>
    <mergeCell ref="B26:V26"/>
    <mergeCell ref="A27:V27"/>
    <mergeCell ref="B69:V69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4 E94 E75 L49 E49 L34 E34 L134 E134" formula="1"/>
    <ignoredError sqref="S154 S25 T39 S68 S108 S146 S185 S191 S216 S242 T225:T226 R50:T50 R134 T164 R123:T123 R46:T46" evalError="1"/>
    <ignoredError sqref="P120:Q120 I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workbookViewId="0">
      <selection activeCell="H8" sqref="H8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65"/>
      <c r="B1" s="165"/>
      <c r="C1" s="165"/>
      <c r="D1" s="165"/>
      <c r="E1" s="15"/>
      <c r="F1" s="150"/>
    </row>
    <row r="2" spans="1:6" ht="27.6">
      <c r="A2" s="166" t="s">
        <v>279</v>
      </c>
      <c r="B2" s="167" t="s">
        <v>309</v>
      </c>
      <c r="C2" s="167" t="s">
        <v>315</v>
      </c>
      <c r="D2" s="168"/>
      <c r="E2" s="15"/>
      <c r="F2" s="150"/>
    </row>
    <row r="3" spans="1:6">
      <c r="A3" s="169" t="s">
        <v>17</v>
      </c>
      <c r="B3" s="170">
        <f t="shared" ref="B3:C10" si="0">B13</f>
        <v>37.42128971476</v>
      </c>
      <c r="C3" s="170">
        <f t="shared" si="0"/>
        <v>37.398821266276308</v>
      </c>
      <c r="D3" s="168"/>
      <c r="E3" s="15"/>
      <c r="F3" s="150"/>
    </row>
    <row r="4" spans="1:6" ht="17.25" customHeight="1">
      <c r="A4" s="166" t="s">
        <v>54</v>
      </c>
      <c r="B4" s="171">
        <f t="shared" si="0"/>
        <v>2212.6900033948405</v>
      </c>
      <c r="C4" s="171">
        <f t="shared" si="0"/>
        <v>2332.4516110567911</v>
      </c>
      <c r="D4" s="168"/>
      <c r="E4" s="15"/>
      <c r="F4" s="150"/>
    </row>
    <row r="5" spans="1:6" ht="19.5" customHeight="1">
      <c r="A5" s="166" t="s">
        <v>280</v>
      </c>
      <c r="B5" s="170">
        <f t="shared" si="0"/>
        <v>192.65167516949469</v>
      </c>
      <c r="C5" s="170">
        <f t="shared" si="0"/>
        <v>195.44623697335143</v>
      </c>
      <c r="D5" s="168"/>
      <c r="E5" s="15"/>
      <c r="F5" s="150"/>
    </row>
    <row r="6" spans="1:6">
      <c r="A6" s="166" t="s">
        <v>157</v>
      </c>
      <c r="B6" s="171">
        <f t="shared" si="0"/>
        <v>1809.7410566076073</v>
      </c>
      <c r="C6" s="171">
        <f t="shared" si="0"/>
        <v>1822.1533800108662</v>
      </c>
      <c r="D6" s="168"/>
      <c r="E6" s="15"/>
      <c r="F6" s="150"/>
    </row>
    <row r="7" spans="1:6">
      <c r="A7" s="166" t="s">
        <v>281</v>
      </c>
      <c r="B7" s="170">
        <f t="shared" si="0"/>
        <v>101.18038492677501</v>
      </c>
      <c r="C7" s="170">
        <f t="shared" si="0"/>
        <v>101.22755666606341</v>
      </c>
      <c r="D7" s="168"/>
      <c r="E7" s="15"/>
      <c r="F7" s="150"/>
    </row>
    <row r="8" spans="1:6">
      <c r="A8" s="166" t="s">
        <v>195</v>
      </c>
      <c r="B8" s="172">
        <f t="shared" si="0"/>
        <v>57.327361079561818</v>
      </c>
      <c r="C8" s="172">
        <f t="shared" si="0"/>
        <v>57.195873585465897</v>
      </c>
      <c r="D8" s="168"/>
      <c r="E8" s="15"/>
      <c r="F8" s="150"/>
    </row>
    <row r="9" spans="1:6">
      <c r="A9" s="166" t="s">
        <v>226</v>
      </c>
      <c r="B9" s="170">
        <f t="shared" si="0"/>
        <v>6.6635386120999991</v>
      </c>
      <c r="C9" s="170">
        <f t="shared" si="0"/>
        <v>6.6478566253700002</v>
      </c>
      <c r="D9" s="168"/>
      <c r="E9" s="15"/>
      <c r="F9" s="150"/>
    </row>
    <row r="10" spans="1:6">
      <c r="A10" s="166" t="s">
        <v>282</v>
      </c>
      <c r="B10" s="170">
        <f t="shared" si="0"/>
        <v>55.019083815621016</v>
      </c>
      <c r="C10" s="170">
        <f t="shared" si="0"/>
        <v>54.957865523779155</v>
      </c>
      <c r="D10" s="168"/>
      <c r="E10" s="15"/>
      <c r="F10" s="150"/>
    </row>
    <row r="11" spans="1:6">
      <c r="A11" s="166"/>
      <c r="B11" s="170"/>
      <c r="C11" s="170"/>
      <c r="D11" s="168"/>
      <c r="E11" s="15"/>
      <c r="F11" s="150"/>
    </row>
    <row r="12" spans="1:6">
      <c r="A12" s="165"/>
      <c r="B12" s="165"/>
      <c r="C12" s="165"/>
      <c r="D12" s="165"/>
      <c r="E12" s="15"/>
      <c r="F12" s="150"/>
    </row>
    <row r="13" spans="1:6">
      <c r="A13" s="173" t="s">
        <v>17</v>
      </c>
      <c r="B13" s="174">
        <f>'Weekly Valuation'!D25/1000000000</f>
        <v>37.42128971476</v>
      </c>
      <c r="C13" s="175">
        <f>'Weekly Valuation'!K25/1000000000</f>
        <v>37.398821266276308</v>
      </c>
      <c r="D13" s="165"/>
      <c r="E13" s="15"/>
      <c r="F13" s="150"/>
    </row>
    <row r="14" spans="1:6">
      <c r="A14" s="176" t="s">
        <v>54</v>
      </c>
      <c r="B14" s="174">
        <f>'Weekly Valuation'!D68/1000000000</f>
        <v>2212.6900033948405</v>
      </c>
      <c r="C14" s="177">
        <f>'Weekly Valuation'!K68/1000000000</f>
        <v>2332.4516110567911</v>
      </c>
      <c r="D14" s="165"/>
      <c r="E14" s="15"/>
      <c r="F14" s="150"/>
    </row>
    <row r="15" spans="1:6">
      <c r="A15" s="176" t="s">
        <v>280</v>
      </c>
      <c r="B15" s="174">
        <f>'Weekly Valuation'!D108/1000000000</f>
        <v>192.65167516949469</v>
      </c>
      <c r="C15" s="175">
        <f>'Weekly Valuation'!K108/1000000000</f>
        <v>195.44623697335143</v>
      </c>
      <c r="D15" s="165"/>
      <c r="E15" s="15"/>
      <c r="F15" s="150"/>
    </row>
    <row r="16" spans="1:6">
      <c r="A16" s="176" t="s">
        <v>157</v>
      </c>
      <c r="B16" s="174">
        <f>'Weekly Valuation'!D146/1000000000</f>
        <v>1809.7410566076073</v>
      </c>
      <c r="C16" s="177">
        <f>'Weekly Valuation'!K146/1000000000</f>
        <v>1822.1533800108662</v>
      </c>
      <c r="D16" s="165"/>
      <c r="E16" s="15"/>
      <c r="F16" s="150"/>
    </row>
    <row r="17" spans="1:6">
      <c r="A17" s="176" t="s">
        <v>281</v>
      </c>
      <c r="B17" s="174">
        <f>'Weekly Valuation'!D154/1000000000</f>
        <v>101.18038492677501</v>
      </c>
      <c r="C17" s="175">
        <f>'Weekly Valuation'!K154/1000000000</f>
        <v>101.22755666606341</v>
      </c>
      <c r="D17" s="165"/>
      <c r="E17" s="15"/>
      <c r="F17" s="150"/>
    </row>
    <row r="18" spans="1:6">
      <c r="A18" s="176" t="s">
        <v>195</v>
      </c>
      <c r="B18" s="174">
        <f>'Weekly Valuation'!D185/1000000000</f>
        <v>57.327361079561818</v>
      </c>
      <c r="C18" s="178">
        <f>'Weekly Valuation'!K185/1000000000</f>
        <v>57.195873585465897</v>
      </c>
      <c r="D18" s="165"/>
      <c r="E18" s="15"/>
      <c r="F18" s="150"/>
    </row>
    <row r="19" spans="1:6">
      <c r="A19" s="176" t="s">
        <v>226</v>
      </c>
      <c r="B19" s="174">
        <f>'Weekly Valuation'!D191/1000000000</f>
        <v>6.6635386120999991</v>
      </c>
      <c r="C19" s="175">
        <f>'Weekly Valuation'!K191/1000000000</f>
        <v>6.6478566253700002</v>
      </c>
      <c r="D19" s="165"/>
      <c r="E19" s="15"/>
      <c r="F19" s="150"/>
    </row>
    <row r="20" spans="1:6">
      <c r="A20" s="176" t="s">
        <v>282</v>
      </c>
      <c r="B20" s="174">
        <f>'Weekly Valuation'!D216/1000000000</f>
        <v>55.019083815621016</v>
      </c>
      <c r="C20" s="175">
        <f>'Weekly Valuation'!K216/1000000000</f>
        <v>54.957865523779155</v>
      </c>
      <c r="D20" s="165"/>
      <c r="E20" s="15"/>
      <c r="F20" s="150"/>
    </row>
    <row r="21" spans="1:6">
      <c r="A21" s="179"/>
      <c r="B21" s="165"/>
      <c r="C21" s="180"/>
      <c r="D21" s="165"/>
      <c r="E21" s="15"/>
      <c r="F21" s="150"/>
    </row>
    <row r="22" spans="1:6">
      <c r="A22" s="151"/>
      <c r="B22" s="149"/>
      <c r="C22" s="152"/>
      <c r="D22" s="149"/>
      <c r="E22" s="15"/>
      <c r="F22" s="150"/>
    </row>
    <row r="23" spans="1:6">
      <c r="A23" s="21"/>
      <c r="B23" s="22"/>
      <c r="C23" s="141"/>
      <c r="D23" s="15"/>
      <c r="E23" s="15"/>
      <c r="F23" s="150"/>
    </row>
    <row r="24" spans="1:6">
      <c r="A24" s="21"/>
      <c r="B24" s="22"/>
      <c r="C24" s="22"/>
      <c r="D24" s="15"/>
      <c r="E24" s="15"/>
    </row>
    <row r="25" spans="1:6">
      <c r="A25" s="133"/>
      <c r="B25" s="134"/>
      <c r="C25" s="134"/>
      <c r="D25" s="19"/>
      <c r="E25" s="19"/>
    </row>
    <row r="26" spans="1:6">
      <c r="A26" s="21"/>
      <c r="B26" s="22"/>
      <c r="C26" s="22"/>
      <c r="D26" s="15"/>
      <c r="E26" s="15"/>
    </row>
    <row r="27" spans="1:6">
      <c r="A27" s="21"/>
      <c r="B27" s="22"/>
      <c r="C27" s="22"/>
      <c r="D27" s="15"/>
      <c r="E27" s="15"/>
    </row>
    <row r="28" spans="1:6">
      <c r="A28" s="15"/>
      <c r="B28" s="15"/>
      <c r="C28" s="15"/>
      <c r="D28" s="15"/>
      <c r="E28" s="15"/>
    </row>
    <row r="29" spans="1:6">
      <c r="A29" s="15"/>
      <c r="B29" s="15"/>
      <c r="C29" s="15"/>
      <c r="D29" s="15"/>
    </row>
  </sheetData>
  <sheetProtection algorithmName="SHA-512" hashValue="qRYx7NW894iP9vcu94guRX8eCASqL+muFrbeqWBeQQXQTJihspoQ6wDtUKEUMlVzA0u7gkOjWyS2KtsoHA+D8w==" saltValue="ZM2RRGdh/IpKwaSHyf/rl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0" sqref="J10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81" t="s">
        <v>279</v>
      </c>
      <c r="B1" s="182">
        <v>45730</v>
      </c>
      <c r="C1" s="19"/>
      <c r="D1" s="19"/>
      <c r="E1" s="15"/>
      <c r="F1" s="15"/>
      <c r="G1" s="15"/>
    </row>
    <row r="2" spans="1:7">
      <c r="A2" s="179" t="s">
        <v>226</v>
      </c>
      <c r="B2" s="183">
        <f>'Weekly Valuation'!K191</f>
        <v>6647856625.3699999</v>
      </c>
      <c r="C2" s="19"/>
      <c r="D2" s="19"/>
      <c r="E2" s="15"/>
      <c r="F2" s="15"/>
      <c r="G2" s="15"/>
    </row>
    <row r="3" spans="1:7">
      <c r="A3" s="179" t="s">
        <v>17</v>
      </c>
      <c r="B3" s="183">
        <f>'Weekly Valuation'!K25</f>
        <v>37398821266.276306</v>
      </c>
      <c r="C3" s="19"/>
      <c r="D3" s="19"/>
      <c r="E3" s="15"/>
      <c r="F3" s="15"/>
      <c r="G3" s="15"/>
    </row>
    <row r="4" spans="1:7">
      <c r="A4" s="179" t="s">
        <v>282</v>
      </c>
      <c r="B4" s="184">
        <f>'Weekly Valuation'!K216</f>
        <v>54957865523.779152</v>
      </c>
      <c r="C4" s="19"/>
      <c r="D4" s="19"/>
      <c r="E4" s="15"/>
      <c r="F4" s="15"/>
      <c r="G4" s="15"/>
    </row>
    <row r="5" spans="1:7">
      <c r="A5" s="179" t="s">
        <v>195</v>
      </c>
      <c r="B5" s="183">
        <f>'Weekly Valuation'!K185</f>
        <v>57195873585.465897</v>
      </c>
      <c r="C5" s="19"/>
      <c r="D5" s="19"/>
      <c r="E5" s="15"/>
      <c r="F5" s="15"/>
      <c r="G5" s="15"/>
    </row>
    <row r="6" spans="1:7">
      <c r="A6" s="179" t="s">
        <v>281</v>
      </c>
      <c r="B6" s="183">
        <f>'Weekly Valuation'!K154</f>
        <v>101227556666.0634</v>
      </c>
      <c r="C6" s="19"/>
      <c r="D6" s="19"/>
      <c r="E6" s="15"/>
      <c r="F6" s="15"/>
      <c r="G6" s="15"/>
    </row>
    <row r="7" spans="1:7">
      <c r="A7" s="179" t="s">
        <v>280</v>
      </c>
      <c r="B7" s="183">
        <f>'Weekly Valuation'!K108</f>
        <v>195446236973.35144</v>
      </c>
      <c r="C7" s="19"/>
      <c r="D7" s="19"/>
      <c r="E7" s="15"/>
      <c r="F7" s="15"/>
      <c r="G7" s="15"/>
    </row>
    <row r="8" spans="1:7">
      <c r="A8" s="179" t="s">
        <v>54</v>
      </c>
      <c r="B8" s="180">
        <f>'Weekly Valuation'!K68</f>
        <v>2332451611056.791</v>
      </c>
      <c r="C8" s="19"/>
      <c r="D8" s="19"/>
      <c r="E8" s="15"/>
      <c r="F8" s="15"/>
      <c r="G8" s="15"/>
    </row>
    <row r="9" spans="1:7">
      <c r="A9" s="179" t="s">
        <v>157</v>
      </c>
      <c r="B9" s="180">
        <f>'Weekly Valuation'!K146</f>
        <v>1822153380010.8662</v>
      </c>
      <c r="C9" s="19"/>
      <c r="D9" s="19"/>
      <c r="E9" s="15"/>
      <c r="F9" s="15"/>
      <c r="G9" s="15"/>
    </row>
    <row r="10" spans="1:7">
      <c r="A10" s="165"/>
      <c r="B10" s="165"/>
      <c r="C10" s="19"/>
      <c r="D10" s="19"/>
      <c r="E10" s="15"/>
      <c r="F10" s="15"/>
      <c r="G10" s="15"/>
    </row>
    <row r="11" spans="1:7">
      <c r="A11" s="179"/>
      <c r="B11" s="185"/>
      <c r="C11" s="19"/>
      <c r="D11" s="19"/>
      <c r="E11" s="15"/>
      <c r="F11" s="15"/>
      <c r="G11" s="15"/>
    </row>
    <row r="12" spans="1:7">
      <c r="A12" s="179"/>
      <c r="B12" s="19"/>
      <c r="C12" s="19"/>
      <c r="D12" s="19"/>
      <c r="E12" s="15"/>
      <c r="F12" s="15"/>
      <c r="G12" s="15"/>
    </row>
    <row r="13" spans="1:7">
      <c r="A13" s="134"/>
      <c r="B13" s="134"/>
      <c r="C13" s="19"/>
      <c r="D13" s="19"/>
      <c r="E13" s="15"/>
      <c r="F13" s="15"/>
      <c r="G13" s="15"/>
    </row>
    <row r="14" spans="1:7">
      <c r="A14" s="134"/>
      <c r="B14" s="134"/>
      <c r="C14" s="19"/>
      <c r="D14" s="19"/>
      <c r="E14" s="15"/>
      <c r="F14" s="15"/>
      <c r="G14" s="15"/>
    </row>
    <row r="15" spans="1:7" ht="16.5" customHeight="1">
      <c r="A15" s="184"/>
      <c r="B15" s="184"/>
      <c r="C15" s="19"/>
      <c r="D15" s="19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5"/>
      <c r="B18" s="22"/>
      <c r="C18" s="15"/>
      <c r="D18" s="15"/>
      <c r="E18" s="15"/>
      <c r="F18" s="15"/>
      <c r="G18" s="15"/>
    </row>
    <row r="19" spans="1:17">
      <c r="A19" s="125"/>
      <c r="B19" s="125"/>
      <c r="C19" s="15"/>
      <c r="D19" s="15"/>
      <c r="E19" s="15"/>
      <c r="F19" s="15"/>
      <c r="G19" s="15"/>
    </row>
    <row r="20" spans="1:17">
      <c r="A20" s="125"/>
      <c r="B20" s="125"/>
      <c r="C20" s="15"/>
      <c r="D20" s="15"/>
      <c r="E20" s="15"/>
      <c r="F20" s="15"/>
      <c r="G20" s="15"/>
    </row>
    <row r="21" spans="1:17">
      <c r="A21" s="21"/>
      <c r="B21" s="125"/>
      <c r="C21" s="15"/>
      <c r="D21" s="15"/>
      <c r="E21" s="15"/>
      <c r="F21" s="15"/>
      <c r="G21" s="15"/>
    </row>
    <row r="22" spans="1:17">
      <c r="A22" s="15"/>
      <c r="B22" s="125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20"/>
    </row>
    <row r="33" spans="1:17" ht="1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20"/>
    </row>
  </sheetData>
  <sheetProtection algorithmName="SHA-512" hashValue="4Uzntz0HTAvjqMlOsvkg8G/jVdebmjcDDW6hnaJY+Yz7ZuVCjQpypbwEEWT8JtTAudukB8b8TuIMNFoTdHD5Lw==" saltValue="bYqb8lLgL1X9BC9mwNUW/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1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86" t="s">
        <v>283</v>
      </c>
      <c r="B2" s="187">
        <v>45681</v>
      </c>
      <c r="C2" s="187">
        <v>45688</v>
      </c>
      <c r="D2" s="187">
        <v>45695</v>
      </c>
      <c r="E2" s="187">
        <v>45702</v>
      </c>
      <c r="F2" s="187">
        <v>45709</v>
      </c>
      <c r="G2" s="187">
        <v>45716</v>
      </c>
      <c r="H2" s="187">
        <v>45723</v>
      </c>
      <c r="I2" s="187">
        <v>45730</v>
      </c>
      <c r="J2" s="19"/>
      <c r="K2" s="15"/>
      <c r="L2" s="15"/>
      <c r="M2" s="15"/>
    </row>
    <row r="3" spans="1:13">
      <c r="A3" s="186" t="s">
        <v>284</v>
      </c>
      <c r="B3" s="188">
        <f t="shared" ref="B3:I3" si="0">B4</f>
        <v>4119.3897630881565</v>
      </c>
      <c r="C3" s="188">
        <f t="shared" si="0"/>
        <v>4111.8204981719919</v>
      </c>
      <c r="D3" s="188">
        <f t="shared" si="0"/>
        <v>4191.3962694654292</v>
      </c>
      <c r="E3" s="188">
        <f t="shared" si="0"/>
        <v>4269.5517023318498</v>
      </c>
      <c r="F3" s="188">
        <f t="shared" si="0"/>
        <v>4304.4471471275037</v>
      </c>
      <c r="G3" s="188">
        <f t="shared" si="0"/>
        <v>4378.8424481915499</v>
      </c>
      <c r="H3" s="188">
        <f t="shared" si="0"/>
        <v>4472.6943933207594</v>
      </c>
      <c r="I3" s="188">
        <f t="shared" si="0"/>
        <v>4607.4792017079635</v>
      </c>
      <c r="J3" s="19"/>
      <c r="K3" s="15"/>
      <c r="L3" s="15"/>
      <c r="M3" s="15"/>
    </row>
    <row r="4" spans="1:13">
      <c r="A4" s="19"/>
      <c r="B4" s="189">
        <f>'NAV Trend'!C10/1000000000</f>
        <v>4119.3897630881565</v>
      </c>
      <c r="C4" s="189">
        <f>'NAV Trend'!D10/1000000000</f>
        <v>4111.8204981719919</v>
      </c>
      <c r="D4" s="189">
        <f>'NAV Trend'!E10/1000000000</f>
        <v>4191.3962694654292</v>
      </c>
      <c r="E4" s="189">
        <f>'NAV Trend'!F10/1000000000</f>
        <v>4269.5517023318498</v>
      </c>
      <c r="F4" s="189">
        <f>'NAV Trend'!G10/1000000000</f>
        <v>4304.4471471275037</v>
      </c>
      <c r="G4" s="189">
        <f>'NAV Trend'!H10/1000000000</f>
        <v>4378.8424481915499</v>
      </c>
      <c r="H4" s="190">
        <f>'NAV Trend'!I10/1000000000</f>
        <v>4472.6943933207594</v>
      </c>
      <c r="I4" s="190">
        <f>'NAV Trend'!J10/1000000000</f>
        <v>4607.4792017079635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p6omk47K2vyh+XApVKhWKd+cPHBr119Qw4IPOuZCpMokDgHrESvHFsnzAYmljHmDErS4Ty9wUZHR6HGSa2aBfQ==" saltValue="fu5eFUuNmHuOvixmO8mha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1"/>
  <sheetViews>
    <sheetView workbookViewId="0">
      <selection activeCell="E7" sqref="E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9"/>
    </row>
    <row r="2" spans="1:12">
      <c r="A2" s="186" t="s">
        <v>283</v>
      </c>
      <c r="B2" s="187">
        <v>45681</v>
      </c>
      <c r="C2" s="187">
        <v>45688</v>
      </c>
      <c r="D2" s="187">
        <v>45695</v>
      </c>
      <c r="E2" s="187">
        <v>45702</v>
      </c>
      <c r="F2" s="187">
        <v>45709</v>
      </c>
      <c r="G2" s="187">
        <v>45716</v>
      </c>
      <c r="H2" s="187">
        <v>45723</v>
      </c>
      <c r="I2" s="187">
        <v>45730</v>
      </c>
      <c r="J2" s="19"/>
      <c r="K2" s="15"/>
      <c r="L2" s="19"/>
    </row>
    <row r="3" spans="1:12">
      <c r="A3" s="186" t="s">
        <v>285</v>
      </c>
      <c r="B3" s="188">
        <f t="shared" ref="B3:I3" si="0">B4</f>
        <v>12.926648581233682</v>
      </c>
      <c r="C3" s="188">
        <f t="shared" si="0"/>
        <v>13.139930136069998</v>
      </c>
      <c r="D3" s="188">
        <f t="shared" si="0"/>
        <v>13.518762702094183</v>
      </c>
      <c r="E3" s="188">
        <f t="shared" si="0"/>
        <v>13.762029268867213</v>
      </c>
      <c r="F3" s="188">
        <f t="shared" si="0"/>
        <v>13.757028670379999</v>
      </c>
      <c r="G3" s="188">
        <f t="shared" si="0"/>
        <v>13.569005930702859</v>
      </c>
      <c r="H3" s="188">
        <f t="shared" si="0"/>
        <v>13.40889556580691</v>
      </c>
      <c r="I3" s="188">
        <f t="shared" si="0"/>
        <v>13.225205337489792</v>
      </c>
      <c r="J3" s="19"/>
      <c r="K3" s="15"/>
      <c r="L3" s="19"/>
    </row>
    <row r="4" spans="1:12">
      <c r="A4" s="19"/>
      <c r="B4" s="189">
        <f>'NAV Trend'!C16/1000000000</f>
        <v>12.926648581233682</v>
      </c>
      <c r="C4" s="189">
        <f>'NAV Trend'!D16/1000000000</f>
        <v>13.139930136069998</v>
      </c>
      <c r="D4" s="189">
        <f>'NAV Trend'!E16/1000000000</f>
        <v>13.518762702094183</v>
      </c>
      <c r="E4" s="189">
        <f>'NAV Trend'!F16/1000000000</f>
        <v>13.762029268867213</v>
      </c>
      <c r="F4" s="189">
        <f>'NAV Trend'!G16/1000000000</f>
        <v>13.757028670379999</v>
      </c>
      <c r="G4" s="189">
        <f>'NAV Trend'!H16/1000000000</f>
        <v>13.569005930702859</v>
      </c>
      <c r="H4" s="189">
        <f>'NAV Trend'!I16/1000000000</f>
        <v>13.40889556580691</v>
      </c>
      <c r="I4" s="190">
        <f>'NAV Trend'!J16/1000000000</f>
        <v>13.225205337489792</v>
      </c>
      <c r="J4" s="19"/>
      <c r="K4" s="15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9"/>
    </row>
    <row r="6" spans="1:1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9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D7ZrwapiRTO3SCaMIascohri/NMqKysTYZ631wckZv/y6puz7+Yp/xmiLHkki+7N2ZVY5EM0WopDH/3znKVpNA==" saltValue="BzXbPFLzQL2Vbns0OeQ+T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45674</v>
      </c>
      <c r="C1" s="2">
        <v>45681</v>
      </c>
      <c r="D1" s="2">
        <v>45688</v>
      </c>
      <c r="E1" s="2">
        <v>45695</v>
      </c>
      <c r="F1" s="2">
        <v>45702</v>
      </c>
      <c r="G1" s="2">
        <v>45709</v>
      </c>
      <c r="H1" s="2">
        <v>45716</v>
      </c>
      <c r="I1" s="2">
        <v>45723</v>
      </c>
      <c r="J1" s="2">
        <v>45730</v>
      </c>
    </row>
    <row r="2" spans="1:11">
      <c r="A2" s="3" t="s">
        <v>17</v>
      </c>
      <c r="B2" s="4">
        <v>33055654590.010002</v>
      </c>
      <c r="C2" s="4">
        <v>33667453981.210003</v>
      </c>
      <c r="D2" s="4">
        <v>34311367067.189999</v>
      </c>
      <c r="E2" s="4">
        <v>37602437204.949997</v>
      </c>
      <c r="F2" s="4">
        <v>38501630325.360001</v>
      </c>
      <c r="G2" s="4">
        <v>38542552735.119995</v>
      </c>
      <c r="H2" s="4">
        <v>38249076563.470001</v>
      </c>
      <c r="I2" s="4">
        <v>37421289714.760002</v>
      </c>
      <c r="J2" s="4">
        <v>37398821266.276306</v>
      </c>
    </row>
    <row r="3" spans="1:11">
      <c r="A3" s="3" t="s">
        <v>54</v>
      </c>
      <c r="B3" s="4">
        <v>1833494333831.687</v>
      </c>
      <c r="C3" s="4">
        <v>1887272680234.0166</v>
      </c>
      <c r="D3" s="4">
        <v>1936499649559.6733</v>
      </c>
      <c r="E3" s="4">
        <v>1986545662853.3892</v>
      </c>
      <c r="F3" s="4">
        <v>2038200432744.7246</v>
      </c>
      <c r="G3" s="4">
        <v>2072298319201.4285</v>
      </c>
      <c r="H3" s="4">
        <v>2134730862264.1289</v>
      </c>
      <c r="I3" s="4">
        <v>2212690003394.8403</v>
      </c>
      <c r="J3" s="4">
        <v>2332451611056.791</v>
      </c>
    </row>
    <row r="4" spans="1:11">
      <c r="A4" s="3" t="s">
        <v>280</v>
      </c>
      <c r="B4" s="5">
        <v>199572944900.79062</v>
      </c>
      <c r="C4" s="5">
        <v>193295117054.89386</v>
      </c>
      <c r="D4" s="5">
        <v>192710764728.50818</v>
      </c>
      <c r="E4" s="5">
        <v>192823646052.3956</v>
      </c>
      <c r="F4" s="5">
        <v>193170423716.56946</v>
      </c>
      <c r="G4" s="5">
        <v>192875996875.99237</v>
      </c>
      <c r="H4" s="5">
        <v>192425332553.69519</v>
      </c>
      <c r="I4" s="5">
        <v>192651675169.49469</v>
      </c>
      <c r="J4" s="5">
        <v>195446236973.35144</v>
      </c>
    </row>
    <row r="5" spans="1:11">
      <c r="A5" s="3" t="s">
        <v>157</v>
      </c>
      <c r="B5" s="4">
        <v>1738459762464.4448</v>
      </c>
      <c r="C5" s="4">
        <v>1788025443922.3008</v>
      </c>
      <c r="D5" s="4">
        <v>1729854588802.0955</v>
      </c>
      <c r="E5" s="4">
        <v>1755642575885.7151</v>
      </c>
      <c r="F5" s="4">
        <v>1779191321733.2319</v>
      </c>
      <c r="G5" s="4">
        <v>1780596293589.6721</v>
      </c>
      <c r="H5" s="4">
        <v>1793326811823.8843</v>
      </c>
      <c r="I5" s="4">
        <v>1809741056607.6074</v>
      </c>
      <c r="J5" s="4">
        <v>1822153380010.8662</v>
      </c>
    </row>
    <row r="6" spans="1:11">
      <c r="A6" s="3" t="s">
        <v>281</v>
      </c>
      <c r="B6" s="6">
        <v>100848197035.93321</v>
      </c>
      <c r="C6" s="6">
        <v>100883151715.23096</v>
      </c>
      <c r="D6" s="6">
        <v>100943942196.36</v>
      </c>
      <c r="E6" s="6">
        <v>100952306055.92899</v>
      </c>
      <c r="F6" s="6">
        <v>101014000313.43393</v>
      </c>
      <c r="G6" s="6">
        <v>101070214650.21515</v>
      </c>
      <c r="H6" s="6">
        <v>101128099964.18001</v>
      </c>
      <c r="I6" s="6">
        <v>101180384926.77501</v>
      </c>
      <c r="J6" s="6">
        <v>101227556666.0634</v>
      </c>
    </row>
    <row r="7" spans="1:11">
      <c r="A7" s="3" t="s">
        <v>195</v>
      </c>
      <c r="B7" s="7">
        <v>54483397031.599197</v>
      </c>
      <c r="C7" s="7">
        <v>55157132700.650406</v>
      </c>
      <c r="D7" s="7">
        <v>55883226354.418106</v>
      </c>
      <c r="E7" s="7">
        <v>57357776059.173073</v>
      </c>
      <c r="F7" s="7">
        <v>58252652887.652779</v>
      </c>
      <c r="G7" s="7">
        <v>58059986733.763725</v>
      </c>
      <c r="H7" s="7">
        <v>57798914251.53302</v>
      </c>
      <c r="I7" s="7">
        <v>57327361079.561821</v>
      </c>
      <c r="J7" s="7">
        <v>57195873585.465897</v>
      </c>
    </row>
    <row r="8" spans="1:11">
      <c r="A8" s="3" t="s">
        <v>226</v>
      </c>
      <c r="B8" s="6">
        <v>6021515311.3500004</v>
      </c>
      <c r="C8" s="6">
        <v>6147393660.5699997</v>
      </c>
      <c r="D8" s="6">
        <v>6263863102.0599995</v>
      </c>
      <c r="E8" s="6">
        <v>6582585973.7099991</v>
      </c>
      <c r="F8" s="6">
        <v>6738837889.1400003</v>
      </c>
      <c r="G8" s="6">
        <v>6681271892.7000008</v>
      </c>
      <c r="H8" s="6">
        <v>6710470953.1500006</v>
      </c>
      <c r="I8" s="6">
        <v>6663538612.0999994</v>
      </c>
      <c r="J8" s="6">
        <v>6647856625.3699999</v>
      </c>
    </row>
    <row r="9" spans="1:11">
      <c r="A9" s="3" t="s">
        <v>282</v>
      </c>
      <c r="B9" s="6">
        <v>53769824668.250122</v>
      </c>
      <c r="C9" s="6">
        <v>54941389819.284477</v>
      </c>
      <c r="D9" s="6">
        <v>55353096361.686783</v>
      </c>
      <c r="E9" s="6">
        <v>53889279380.166801</v>
      </c>
      <c r="F9" s="6">
        <v>54482402721.736488</v>
      </c>
      <c r="G9" s="6">
        <v>54322511448.611656</v>
      </c>
      <c r="H9" s="6">
        <v>54472879817.508156</v>
      </c>
      <c r="I9" s="6">
        <v>55019083815.621017</v>
      </c>
      <c r="J9" s="6">
        <v>54957865523.779152</v>
      </c>
    </row>
    <row r="10" spans="1:11" ht="15.6">
      <c r="A10" s="8" t="s">
        <v>286</v>
      </c>
      <c r="B10" s="9">
        <f t="shared" ref="B10:J10" si="0">SUM(B2:B9)</f>
        <v>4019705629834.0649</v>
      </c>
      <c r="C10" s="9">
        <f t="shared" si="0"/>
        <v>4119389763088.1567</v>
      </c>
      <c r="D10" s="9">
        <f t="shared" si="0"/>
        <v>4111820498171.9917</v>
      </c>
      <c r="E10" s="9">
        <f t="shared" si="0"/>
        <v>4191396269465.4292</v>
      </c>
      <c r="F10" s="9">
        <f t="shared" si="0"/>
        <v>4269551702331.8496</v>
      </c>
      <c r="G10" s="9">
        <f t="shared" si="0"/>
        <v>4304447147127.5039</v>
      </c>
      <c r="H10" s="9">
        <f t="shared" si="0"/>
        <v>4378842448191.5498</v>
      </c>
      <c r="I10" s="9">
        <f t="shared" si="0"/>
        <v>4472694393320.7598</v>
      </c>
      <c r="J10" s="9">
        <f t="shared" si="0"/>
        <v>4607479201707.9639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287</v>
      </c>
      <c r="B12" s="124" t="s">
        <v>288</v>
      </c>
      <c r="C12" s="13">
        <f>(B10+C10)/2</f>
        <v>4069547696461.1108</v>
      </c>
      <c r="D12" s="14">
        <f t="shared" ref="D12:J12" si="1">(C10+D10)/2</f>
        <v>4115605130630.0742</v>
      </c>
      <c r="E12" s="14">
        <f t="shared" si="1"/>
        <v>4151608383818.7104</v>
      </c>
      <c r="F12" s="14">
        <f t="shared" si="1"/>
        <v>4230473985898.6396</v>
      </c>
      <c r="G12" s="14">
        <f t="shared" si="1"/>
        <v>4286999424729.6768</v>
      </c>
      <c r="H12" s="14">
        <f t="shared" si="1"/>
        <v>4341644797659.5269</v>
      </c>
      <c r="I12" s="14">
        <f t="shared" si="1"/>
        <v>4425768420756.1543</v>
      </c>
      <c r="J12" s="14">
        <f t="shared" si="1"/>
        <v>4540086797514.3613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45674</v>
      </c>
      <c r="C15" s="2">
        <v>45681</v>
      </c>
      <c r="D15" s="2">
        <v>45688</v>
      </c>
      <c r="E15" s="2">
        <v>45695</v>
      </c>
      <c r="F15" s="2">
        <v>45702</v>
      </c>
      <c r="G15" s="2">
        <v>45709</v>
      </c>
      <c r="H15" s="2">
        <v>45716</v>
      </c>
      <c r="I15" s="2">
        <v>45723</v>
      </c>
      <c r="J15" s="2">
        <v>45730</v>
      </c>
      <c r="K15" s="15"/>
    </row>
    <row r="16" spans="1:11">
      <c r="A16" s="16" t="s">
        <v>289</v>
      </c>
      <c r="B16" s="17">
        <v>13126291240.540001</v>
      </c>
      <c r="C16" s="17">
        <v>12926648581.233683</v>
      </c>
      <c r="D16" s="17">
        <v>13139930136.069998</v>
      </c>
      <c r="E16" s="17">
        <v>13518762702.094183</v>
      </c>
      <c r="F16" s="17">
        <v>13762029268.867212</v>
      </c>
      <c r="G16" s="17">
        <v>13757028670.379999</v>
      </c>
      <c r="H16" s="17">
        <v>13569005930.70286</v>
      </c>
      <c r="I16" s="17">
        <v>13408895565.80691</v>
      </c>
      <c r="J16" s="17">
        <v>13225205337.489792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RsqlaqMyvQpYkO98M7EyqMLhpp9nW6lMzdsleHocIa4xk6T9tRkA3CRnUG90fV2GFPxTjk2TFtVnm7I9zHp4PQ==" saltValue="WeHmdBcPzxF1yTJyj6xsB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2025-03-19T13:54:10Z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